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July-2022\G49801-pLecumberri-Sanchez\1-Supp-Mat\"/>
    </mc:Choice>
  </mc:AlternateContent>
  <xr:revisionPtr revIDLastSave="0" documentId="13_ncr:1_{76DC56FB-83FD-4A08-BEA8-6D04EB8AD966}" xr6:coauthVersionLast="47" xr6:coauthVersionMax="47" xr10:uidLastSave="{00000000-0000-0000-0000-000000000000}"/>
  <bookViews>
    <workbookView xWindow="-120" yWindow="-120" windowWidth="20730" windowHeight="10215" xr2:uid="{9C377ACC-EEF1-3F45-AA5C-9F8A12DBE987}"/>
  </bookViews>
  <sheets>
    <sheet name="This study" sheetId="1" r:id="rId1"/>
    <sheet name="Literature" sheetId="2" r:id="rId2"/>
    <sheet name="References" sheetId="3" r:id="rId3"/>
    <sheet name="G4980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/>
  <c r="J11" i="1"/>
  <c r="M11" i="1"/>
  <c r="J28" i="1"/>
  <c r="M19" i="1"/>
  <c r="O173" i="2" l="1"/>
  <c r="M173" i="2"/>
  <c r="L173" i="2"/>
  <c r="J173" i="2"/>
  <c r="K173" i="2" s="1"/>
  <c r="O172" i="2"/>
  <c r="M172" i="2"/>
  <c r="L172" i="2"/>
  <c r="P172" i="2" s="1"/>
  <c r="K172" i="2"/>
  <c r="J172" i="2"/>
  <c r="O171" i="2"/>
  <c r="M171" i="2"/>
  <c r="L171" i="2"/>
  <c r="J171" i="2"/>
  <c r="K171" i="2" s="1"/>
  <c r="O170" i="2"/>
  <c r="M170" i="2"/>
  <c r="L170" i="2"/>
  <c r="J170" i="2"/>
  <c r="K170" i="2" s="1"/>
  <c r="O169" i="2"/>
  <c r="P169" i="2" s="1"/>
  <c r="Q169" i="2" s="1"/>
  <c r="M169" i="2"/>
  <c r="L169" i="2"/>
  <c r="J169" i="2"/>
  <c r="K169" i="2" s="1"/>
  <c r="O168" i="2"/>
  <c r="M168" i="2"/>
  <c r="L168" i="2"/>
  <c r="J168" i="2"/>
  <c r="K168" i="2" s="1"/>
  <c r="O167" i="2"/>
  <c r="M167" i="2"/>
  <c r="L167" i="2"/>
  <c r="K167" i="2"/>
  <c r="J167" i="2"/>
  <c r="O166" i="2"/>
  <c r="M166" i="2"/>
  <c r="L166" i="2"/>
  <c r="J166" i="2"/>
  <c r="K166" i="2" s="1"/>
  <c r="O165" i="2"/>
  <c r="M165" i="2"/>
  <c r="L165" i="2"/>
  <c r="J165" i="2"/>
  <c r="K165" i="2" s="1"/>
  <c r="O164" i="2"/>
  <c r="M164" i="2"/>
  <c r="L164" i="2"/>
  <c r="P164" i="2" s="1"/>
  <c r="Q164" i="2" s="1"/>
  <c r="K164" i="2"/>
  <c r="J164" i="2"/>
  <c r="P163" i="2"/>
  <c r="O163" i="2"/>
  <c r="M163" i="2"/>
  <c r="L163" i="2"/>
  <c r="Q163" i="2" s="1"/>
  <c r="J163" i="2"/>
  <c r="K163" i="2" s="1"/>
  <c r="O162" i="2"/>
  <c r="M162" i="2"/>
  <c r="L162" i="2"/>
  <c r="J162" i="2"/>
  <c r="K162" i="2" s="1"/>
  <c r="O161" i="2"/>
  <c r="P161" i="2" s="1"/>
  <c r="Q161" i="2" s="1"/>
  <c r="M161" i="2"/>
  <c r="L161" i="2"/>
  <c r="J161" i="2"/>
  <c r="K161" i="2" s="1"/>
  <c r="O160" i="2"/>
  <c r="M160" i="2"/>
  <c r="L160" i="2"/>
  <c r="J160" i="2"/>
  <c r="K160" i="2" s="1"/>
  <c r="AC157" i="2"/>
  <c r="AB157" i="2"/>
  <c r="AD157" i="2" s="1"/>
  <c r="X157" i="2"/>
  <c r="W157" i="2"/>
  <c r="Y157" i="2" s="1"/>
  <c r="O157" i="2"/>
  <c r="M157" i="2"/>
  <c r="L157" i="2"/>
  <c r="P157" i="2" s="1"/>
  <c r="J157" i="2"/>
  <c r="AC156" i="2"/>
  <c r="AB156" i="2"/>
  <c r="AD156" i="2" s="1"/>
  <c r="X156" i="2"/>
  <c r="W156" i="2"/>
  <c r="Y156" i="2" s="1"/>
  <c r="O156" i="2"/>
  <c r="M156" i="2"/>
  <c r="L156" i="2"/>
  <c r="P156" i="2" s="1"/>
  <c r="J156" i="2"/>
  <c r="AC155" i="2"/>
  <c r="AB155" i="2"/>
  <c r="AD155" i="2" s="1"/>
  <c r="X155" i="2"/>
  <c r="Y155" i="2" s="1"/>
  <c r="W155" i="2"/>
  <c r="O155" i="2"/>
  <c r="P155" i="2" s="1"/>
  <c r="M155" i="2"/>
  <c r="L155" i="2"/>
  <c r="J155" i="2"/>
  <c r="AC154" i="2"/>
  <c r="AB154" i="2"/>
  <c r="AD154" i="2" s="1"/>
  <c r="X154" i="2"/>
  <c r="Y154" i="2" s="1"/>
  <c r="W154" i="2"/>
  <c r="O154" i="2"/>
  <c r="M154" i="2"/>
  <c r="L154" i="2"/>
  <c r="P154" i="2" s="1"/>
  <c r="J154" i="2"/>
  <c r="P151" i="2"/>
  <c r="O151" i="2"/>
  <c r="M151" i="2"/>
  <c r="L151" i="2"/>
  <c r="Q151" i="2" s="1"/>
  <c r="J151" i="2"/>
  <c r="K151" i="2" s="1"/>
  <c r="O150" i="2"/>
  <c r="M150" i="2"/>
  <c r="L150" i="2"/>
  <c r="K150" i="2"/>
  <c r="J150" i="2"/>
  <c r="O149" i="2"/>
  <c r="P149" i="2" s="1"/>
  <c r="Q149" i="2" s="1"/>
  <c r="M149" i="2"/>
  <c r="L149" i="2"/>
  <c r="J149" i="2"/>
  <c r="K149" i="2" s="1"/>
  <c r="O148" i="2"/>
  <c r="M148" i="2"/>
  <c r="L148" i="2"/>
  <c r="K148" i="2"/>
  <c r="J148" i="2"/>
  <c r="O147" i="2"/>
  <c r="M147" i="2"/>
  <c r="L147" i="2"/>
  <c r="K147" i="2"/>
  <c r="J147" i="2"/>
  <c r="AC144" i="2"/>
  <c r="AB144" i="2"/>
  <c r="AD144" i="2" s="1"/>
  <c r="X144" i="2"/>
  <c r="W144" i="2"/>
  <c r="Y144" i="2" s="1"/>
  <c r="P144" i="2"/>
  <c r="O144" i="2"/>
  <c r="M144" i="2"/>
  <c r="L144" i="2"/>
  <c r="J144" i="2"/>
  <c r="AC143" i="2"/>
  <c r="AB143" i="2"/>
  <c r="AD143" i="2" s="1"/>
  <c r="Y143" i="2"/>
  <c r="X143" i="2"/>
  <c r="W143" i="2"/>
  <c r="O143" i="2"/>
  <c r="M143" i="2"/>
  <c r="L143" i="2"/>
  <c r="P143" i="2" s="1"/>
  <c r="J143" i="2"/>
  <c r="AD142" i="2"/>
  <c r="AC142" i="2"/>
  <c r="AB142" i="2"/>
  <c r="X142" i="2"/>
  <c r="W142" i="2"/>
  <c r="Y142" i="2" s="1"/>
  <c r="O142" i="2"/>
  <c r="P142" i="2" s="1"/>
  <c r="M142" i="2"/>
  <c r="L142" i="2"/>
  <c r="J142" i="2"/>
  <c r="AC141" i="2"/>
  <c r="AB141" i="2"/>
  <c r="AD141" i="2" s="1"/>
  <c r="X141" i="2"/>
  <c r="W141" i="2"/>
  <c r="Y141" i="2" s="1"/>
  <c r="O141" i="2"/>
  <c r="M141" i="2"/>
  <c r="L141" i="2"/>
  <c r="P141" i="2" s="1"/>
  <c r="J141" i="2"/>
  <c r="AC140" i="2"/>
  <c r="AB140" i="2"/>
  <c r="AD140" i="2" s="1"/>
  <c r="X140" i="2"/>
  <c r="W140" i="2"/>
  <c r="Y140" i="2" s="1"/>
  <c r="O140" i="2"/>
  <c r="M140" i="2"/>
  <c r="L140" i="2"/>
  <c r="P140" i="2" s="1"/>
  <c r="J140" i="2"/>
  <c r="AC139" i="2"/>
  <c r="AB139" i="2"/>
  <c r="AD139" i="2" s="1"/>
  <c r="X139" i="2"/>
  <c r="W139" i="2"/>
  <c r="Y139" i="2" s="1"/>
  <c r="O139" i="2"/>
  <c r="P139" i="2" s="1"/>
  <c r="M139" i="2"/>
  <c r="L139" i="2"/>
  <c r="J139" i="2"/>
  <c r="AC138" i="2"/>
  <c r="AB138" i="2"/>
  <c r="AD138" i="2" s="1"/>
  <c r="X138" i="2"/>
  <c r="Y138" i="2" s="1"/>
  <c r="W138" i="2"/>
  <c r="O138" i="2"/>
  <c r="M138" i="2"/>
  <c r="L138" i="2"/>
  <c r="P138" i="2" s="1"/>
  <c r="J138" i="2"/>
  <c r="AC137" i="2"/>
  <c r="AD137" i="2" s="1"/>
  <c r="AB137" i="2"/>
  <c r="X137" i="2"/>
  <c r="W137" i="2"/>
  <c r="Y137" i="2" s="1"/>
  <c r="O137" i="2"/>
  <c r="M137" i="2"/>
  <c r="L137" i="2"/>
  <c r="P137" i="2" s="1"/>
  <c r="J137" i="2"/>
  <c r="AC136" i="2"/>
  <c r="AB136" i="2"/>
  <c r="AD136" i="2" s="1"/>
  <c r="X136" i="2"/>
  <c r="W136" i="2"/>
  <c r="Y136" i="2" s="1"/>
  <c r="P136" i="2"/>
  <c r="O136" i="2"/>
  <c r="M136" i="2"/>
  <c r="L136" i="2"/>
  <c r="J136" i="2"/>
  <c r="AC135" i="2"/>
  <c r="AB135" i="2"/>
  <c r="AD135" i="2" s="1"/>
  <c r="Y135" i="2"/>
  <c r="X135" i="2"/>
  <c r="W135" i="2"/>
  <c r="O135" i="2"/>
  <c r="M135" i="2"/>
  <c r="L135" i="2"/>
  <c r="P135" i="2" s="1"/>
  <c r="J135" i="2"/>
  <c r="O132" i="2"/>
  <c r="M132" i="2"/>
  <c r="L132" i="2"/>
  <c r="P132" i="2" s="1"/>
  <c r="Q132" i="2" s="1"/>
  <c r="J132" i="2"/>
  <c r="K132" i="2" s="1"/>
  <c r="P131" i="2"/>
  <c r="Q131" i="2" s="1"/>
  <c r="O131" i="2"/>
  <c r="M131" i="2"/>
  <c r="L131" i="2"/>
  <c r="J131" i="2"/>
  <c r="K131" i="2" s="1"/>
  <c r="O130" i="2"/>
  <c r="M130" i="2"/>
  <c r="L130" i="2"/>
  <c r="K130" i="2"/>
  <c r="J130" i="2"/>
  <c r="O129" i="2"/>
  <c r="M129" i="2"/>
  <c r="L129" i="2"/>
  <c r="J129" i="2"/>
  <c r="K129" i="2" s="1"/>
  <c r="O128" i="2"/>
  <c r="M128" i="2"/>
  <c r="L128" i="2"/>
  <c r="J128" i="2"/>
  <c r="K128" i="2" s="1"/>
  <c r="O127" i="2"/>
  <c r="M127" i="2"/>
  <c r="L127" i="2"/>
  <c r="K127" i="2"/>
  <c r="J127" i="2"/>
  <c r="O126" i="2"/>
  <c r="M126" i="2"/>
  <c r="L126" i="2"/>
  <c r="J126" i="2"/>
  <c r="K126" i="2" s="1"/>
  <c r="O125" i="2"/>
  <c r="M125" i="2"/>
  <c r="L125" i="2"/>
  <c r="J125" i="2"/>
  <c r="K125" i="2" s="1"/>
  <c r="O124" i="2"/>
  <c r="M124" i="2"/>
  <c r="L124" i="2"/>
  <c r="P124" i="2" s="1"/>
  <c r="Q124" i="2" s="1"/>
  <c r="K124" i="2"/>
  <c r="J124" i="2"/>
  <c r="P123" i="2"/>
  <c r="Q123" i="2" s="1"/>
  <c r="O123" i="2"/>
  <c r="M123" i="2"/>
  <c r="L123" i="2"/>
  <c r="J123" i="2"/>
  <c r="K123" i="2" s="1"/>
  <c r="O122" i="2"/>
  <c r="M122" i="2"/>
  <c r="L122" i="2"/>
  <c r="K122" i="2"/>
  <c r="J122" i="2"/>
  <c r="O121" i="2"/>
  <c r="M121" i="2"/>
  <c r="L121" i="2"/>
  <c r="J121" i="2"/>
  <c r="K121" i="2" s="1"/>
  <c r="O120" i="2"/>
  <c r="M120" i="2"/>
  <c r="L120" i="2"/>
  <c r="J120" i="2"/>
  <c r="K120" i="2" s="1"/>
  <c r="O119" i="2"/>
  <c r="M119" i="2"/>
  <c r="L119" i="2"/>
  <c r="K119" i="2"/>
  <c r="J119" i="2"/>
  <c r="O118" i="2"/>
  <c r="M118" i="2"/>
  <c r="L118" i="2"/>
  <c r="J118" i="2"/>
  <c r="K118" i="2" s="1"/>
  <c r="O117" i="2"/>
  <c r="M117" i="2"/>
  <c r="L117" i="2"/>
  <c r="J117" i="2"/>
  <c r="K117" i="2" s="1"/>
  <c r="O116" i="2"/>
  <c r="M116" i="2"/>
  <c r="L116" i="2"/>
  <c r="P116" i="2" s="1"/>
  <c r="Q116" i="2" s="1"/>
  <c r="K116" i="2"/>
  <c r="J116" i="2"/>
  <c r="P115" i="2"/>
  <c r="Q115" i="2" s="1"/>
  <c r="O115" i="2"/>
  <c r="M115" i="2"/>
  <c r="L115" i="2"/>
  <c r="J115" i="2"/>
  <c r="K115" i="2" s="1"/>
  <c r="O114" i="2"/>
  <c r="M114" i="2"/>
  <c r="L114" i="2"/>
  <c r="K114" i="2"/>
  <c r="J114" i="2"/>
  <c r="O113" i="2"/>
  <c r="M113" i="2"/>
  <c r="L113" i="2"/>
  <c r="J113" i="2"/>
  <c r="K113" i="2" s="1"/>
  <c r="O112" i="2"/>
  <c r="M112" i="2"/>
  <c r="L112" i="2"/>
  <c r="J112" i="2"/>
  <c r="K112" i="2" s="1"/>
  <c r="O111" i="2"/>
  <c r="M111" i="2"/>
  <c r="L111" i="2"/>
  <c r="K111" i="2"/>
  <c r="J111" i="2"/>
  <c r="O110" i="2"/>
  <c r="M110" i="2"/>
  <c r="L110" i="2"/>
  <c r="J110" i="2"/>
  <c r="K110" i="2" s="1"/>
  <c r="O109" i="2"/>
  <c r="M109" i="2"/>
  <c r="L109" i="2"/>
  <c r="J109" i="2"/>
  <c r="K109" i="2" s="1"/>
  <c r="O108" i="2"/>
  <c r="M108" i="2"/>
  <c r="L108" i="2"/>
  <c r="P108" i="2" s="1"/>
  <c r="Q108" i="2" s="1"/>
  <c r="K108" i="2"/>
  <c r="J108" i="2"/>
  <c r="P107" i="2"/>
  <c r="Q107" i="2" s="1"/>
  <c r="O107" i="2"/>
  <c r="M107" i="2"/>
  <c r="L107" i="2"/>
  <c r="J107" i="2"/>
  <c r="K107" i="2" s="1"/>
  <c r="O106" i="2"/>
  <c r="M106" i="2"/>
  <c r="L106" i="2"/>
  <c r="K106" i="2"/>
  <c r="J106" i="2"/>
  <c r="O105" i="2"/>
  <c r="M105" i="2"/>
  <c r="L105" i="2"/>
  <c r="J105" i="2"/>
  <c r="K105" i="2" s="1"/>
  <c r="O104" i="2"/>
  <c r="M104" i="2"/>
  <c r="L104" i="2"/>
  <c r="J104" i="2"/>
  <c r="K104" i="2" s="1"/>
  <c r="AB99" i="2"/>
  <c r="AA99" i="2"/>
  <c r="AC99" i="2" s="1"/>
  <c r="X99" i="2"/>
  <c r="Y99" i="2" s="1"/>
  <c r="W99" i="2"/>
  <c r="V99" i="2"/>
  <c r="O99" i="2"/>
  <c r="M99" i="2"/>
  <c r="L99" i="2"/>
  <c r="P99" i="2" s="1"/>
  <c r="J99" i="2"/>
  <c r="K99" i="2" s="1"/>
  <c r="AA98" i="2"/>
  <c r="AC98" i="2" s="1"/>
  <c r="V98" i="2"/>
  <c r="O98" i="2"/>
  <c r="M98" i="2"/>
  <c r="L98" i="2"/>
  <c r="P98" i="2" s="1"/>
  <c r="K98" i="2"/>
  <c r="J98" i="2"/>
  <c r="AC97" i="2"/>
  <c r="AD97" i="2" s="1"/>
  <c r="AB97" i="2"/>
  <c r="AA97" i="2"/>
  <c r="W97" i="2"/>
  <c r="Y97" i="2" s="1"/>
  <c r="V97" i="2"/>
  <c r="X97" i="2" s="1"/>
  <c r="O97" i="2"/>
  <c r="P97" i="2" s="1"/>
  <c r="M97" i="2"/>
  <c r="L97" i="2"/>
  <c r="J97" i="2"/>
  <c r="K97" i="2" s="1"/>
  <c r="AD94" i="2"/>
  <c r="AC94" i="2"/>
  <c r="AB94" i="2"/>
  <c r="Y94" i="2"/>
  <c r="X94" i="2"/>
  <c r="W94" i="2"/>
  <c r="O94" i="2"/>
  <c r="M94" i="2"/>
  <c r="L94" i="2"/>
  <c r="K94" i="2"/>
  <c r="J94" i="2"/>
  <c r="AC93" i="2"/>
  <c r="AB93" i="2"/>
  <c r="AD93" i="2" s="1"/>
  <c r="Y93" i="2"/>
  <c r="X93" i="2"/>
  <c r="W93" i="2"/>
  <c r="O93" i="2"/>
  <c r="M93" i="2"/>
  <c r="L93" i="2"/>
  <c r="P93" i="2" s="1"/>
  <c r="K93" i="2"/>
  <c r="J93" i="2"/>
  <c r="AC92" i="2"/>
  <c r="AD92" i="2" s="1"/>
  <c r="AB92" i="2"/>
  <c r="X92" i="2"/>
  <c r="W92" i="2"/>
  <c r="Y92" i="2" s="1"/>
  <c r="O92" i="2"/>
  <c r="P92" i="2" s="1"/>
  <c r="M92" i="2"/>
  <c r="L92" i="2"/>
  <c r="J92" i="2"/>
  <c r="K92" i="2" s="1"/>
  <c r="O91" i="2"/>
  <c r="P91" i="2" s="1"/>
  <c r="M91" i="2"/>
  <c r="L91" i="2"/>
  <c r="K91" i="2"/>
  <c r="J91" i="2"/>
  <c r="O90" i="2"/>
  <c r="M90" i="2"/>
  <c r="L90" i="2"/>
  <c r="K90" i="2"/>
  <c r="J90" i="2"/>
  <c r="O89" i="2"/>
  <c r="M89" i="2"/>
  <c r="L89" i="2"/>
  <c r="J89" i="2"/>
  <c r="K89" i="2" s="1"/>
  <c r="O88" i="2"/>
  <c r="M88" i="2"/>
  <c r="L88" i="2"/>
  <c r="J88" i="2"/>
  <c r="K88" i="2" s="1"/>
  <c r="O87" i="2"/>
  <c r="M87" i="2"/>
  <c r="L87" i="2"/>
  <c r="P87" i="2" s="1"/>
  <c r="K87" i="2"/>
  <c r="J87" i="2"/>
  <c r="O86" i="2"/>
  <c r="M86" i="2"/>
  <c r="L86" i="2"/>
  <c r="K86" i="2"/>
  <c r="J86" i="2"/>
  <c r="AC83" i="2"/>
  <c r="AB83" i="2"/>
  <c r="AD83" i="2" s="1"/>
  <c r="X83" i="2"/>
  <c r="W83" i="2"/>
  <c r="Y83" i="2" s="1"/>
  <c r="P83" i="2"/>
  <c r="O83" i="2"/>
  <c r="Q83" i="2" s="1"/>
  <c r="M83" i="2"/>
  <c r="L83" i="2"/>
  <c r="K83" i="2"/>
  <c r="J83" i="2"/>
  <c r="AC82" i="2"/>
  <c r="AB82" i="2"/>
  <c r="AD82" i="2" s="1"/>
  <c r="Y82" i="2"/>
  <c r="X82" i="2"/>
  <c r="W82" i="2"/>
  <c r="O82" i="2"/>
  <c r="M82" i="2"/>
  <c r="L82" i="2"/>
  <c r="J82" i="2"/>
  <c r="K82" i="2" s="1"/>
  <c r="AD81" i="2"/>
  <c r="AC81" i="2"/>
  <c r="AB81" i="2"/>
  <c r="X81" i="2"/>
  <c r="W81" i="2"/>
  <c r="Y81" i="2" s="1"/>
  <c r="P81" i="2"/>
  <c r="O81" i="2"/>
  <c r="Q81" i="2" s="1"/>
  <c r="M81" i="2"/>
  <c r="L81" i="2"/>
  <c r="J81" i="2"/>
  <c r="K81" i="2" s="1"/>
  <c r="AC80" i="2"/>
  <c r="AB80" i="2"/>
  <c r="AD80" i="2" s="1"/>
  <c r="Y80" i="2"/>
  <c r="X80" i="2"/>
  <c r="W80" i="2"/>
  <c r="O80" i="2"/>
  <c r="M80" i="2"/>
  <c r="L80" i="2"/>
  <c r="K80" i="2"/>
  <c r="J80" i="2"/>
  <c r="AC79" i="2"/>
  <c r="AB79" i="2"/>
  <c r="AD79" i="2" s="1"/>
  <c r="X79" i="2"/>
  <c r="W79" i="2"/>
  <c r="Y79" i="2" s="1"/>
  <c r="Q79" i="2"/>
  <c r="O79" i="2"/>
  <c r="M79" i="2"/>
  <c r="L79" i="2"/>
  <c r="P79" i="2" s="1"/>
  <c r="J79" i="2"/>
  <c r="K79" i="2" s="1"/>
  <c r="AC78" i="2"/>
  <c r="AD78" i="2" s="1"/>
  <c r="AB78" i="2"/>
  <c r="X78" i="2"/>
  <c r="W78" i="2"/>
  <c r="O78" i="2"/>
  <c r="M78" i="2"/>
  <c r="L78" i="2"/>
  <c r="J78" i="2"/>
  <c r="K78" i="2" s="1"/>
  <c r="AD77" i="2"/>
  <c r="AC77" i="2"/>
  <c r="AB77" i="2"/>
  <c r="X77" i="2"/>
  <c r="Y77" i="2" s="1"/>
  <c r="W77" i="2"/>
  <c r="O77" i="2"/>
  <c r="P77" i="2" s="1"/>
  <c r="M77" i="2"/>
  <c r="L77" i="2"/>
  <c r="J77" i="2"/>
  <c r="K77" i="2" s="1"/>
  <c r="AC75" i="2"/>
  <c r="AB75" i="2"/>
  <c r="AD75" i="2" s="1"/>
  <c r="X75" i="2"/>
  <c r="W75" i="2"/>
  <c r="Y75" i="2" s="1"/>
  <c r="O75" i="2"/>
  <c r="M75" i="2"/>
  <c r="L75" i="2"/>
  <c r="J75" i="2"/>
  <c r="K75" i="2" s="1"/>
  <c r="AD74" i="2"/>
  <c r="AC74" i="2"/>
  <c r="AB74" i="2"/>
  <c r="X74" i="2"/>
  <c r="W74" i="2"/>
  <c r="Y74" i="2" s="1"/>
  <c r="O74" i="2"/>
  <c r="M74" i="2"/>
  <c r="L74" i="2"/>
  <c r="J74" i="2"/>
  <c r="K74" i="2" s="1"/>
  <c r="AC73" i="2"/>
  <c r="AB73" i="2"/>
  <c r="AD73" i="2" s="1"/>
  <c r="X73" i="2"/>
  <c r="W73" i="2"/>
  <c r="Y73" i="2" s="1"/>
  <c r="O73" i="2"/>
  <c r="M73" i="2"/>
  <c r="L73" i="2"/>
  <c r="J73" i="2"/>
  <c r="K73" i="2" s="1"/>
  <c r="AD72" i="2"/>
  <c r="AC72" i="2"/>
  <c r="AB72" i="2"/>
  <c r="X72" i="2"/>
  <c r="W72" i="2"/>
  <c r="Y72" i="2" s="1"/>
  <c r="O72" i="2"/>
  <c r="M72" i="2"/>
  <c r="L72" i="2"/>
  <c r="K72" i="2"/>
  <c r="J72" i="2"/>
  <c r="AC71" i="2"/>
  <c r="AB71" i="2"/>
  <c r="AD71" i="2" s="1"/>
  <c r="Y71" i="2"/>
  <c r="X71" i="2"/>
  <c r="W71" i="2"/>
  <c r="O71" i="2"/>
  <c r="M71" i="2"/>
  <c r="L71" i="2"/>
  <c r="K71" i="2"/>
  <c r="J71" i="2"/>
  <c r="AC69" i="2"/>
  <c r="AB69" i="2"/>
  <c r="X69" i="2"/>
  <c r="W69" i="2"/>
  <c r="Y69" i="2" s="1"/>
  <c r="O69" i="2"/>
  <c r="M69" i="2"/>
  <c r="L69" i="2"/>
  <c r="P69" i="2" s="1"/>
  <c r="K69" i="2"/>
  <c r="J69" i="2"/>
  <c r="AC68" i="2"/>
  <c r="AD68" i="2" s="1"/>
  <c r="AB68" i="2"/>
  <c r="X68" i="2"/>
  <c r="W68" i="2"/>
  <c r="Y68" i="2" s="1"/>
  <c r="Q68" i="2"/>
  <c r="P68" i="2"/>
  <c r="O68" i="2"/>
  <c r="M68" i="2"/>
  <c r="L68" i="2"/>
  <c r="J68" i="2"/>
  <c r="K68" i="2" s="1"/>
  <c r="AC67" i="2"/>
  <c r="AB67" i="2"/>
  <c r="AD67" i="2" s="1"/>
  <c r="Y67" i="2"/>
  <c r="X67" i="2"/>
  <c r="W67" i="2"/>
  <c r="O67" i="2"/>
  <c r="M67" i="2"/>
  <c r="L67" i="2"/>
  <c r="K67" i="2"/>
  <c r="J67" i="2"/>
  <c r="AC64" i="2"/>
  <c r="X64" i="2"/>
  <c r="Y64" i="2" s="1"/>
  <c r="W64" i="2"/>
  <c r="O64" i="2"/>
  <c r="K64" i="2"/>
  <c r="J64" i="2"/>
  <c r="G64" i="2"/>
  <c r="AC61" i="2"/>
  <c r="X61" i="2"/>
  <c r="O61" i="2"/>
  <c r="J61" i="2"/>
  <c r="K61" i="2" s="1"/>
  <c r="G61" i="2"/>
  <c r="M61" i="2" s="1"/>
  <c r="AD60" i="2"/>
  <c r="AC60" i="2"/>
  <c r="AB60" i="2"/>
  <c r="X60" i="2"/>
  <c r="O60" i="2"/>
  <c r="M60" i="2"/>
  <c r="L60" i="2"/>
  <c r="K60" i="2"/>
  <c r="J60" i="2"/>
  <c r="G60" i="2"/>
  <c r="W60" i="2" s="1"/>
  <c r="Y60" i="2" s="1"/>
  <c r="AC59" i="2"/>
  <c r="X59" i="2"/>
  <c r="O59" i="2"/>
  <c r="K59" i="2"/>
  <c r="J59" i="2"/>
  <c r="G59" i="2"/>
  <c r="M59" i="2" s="1"/>
  <c r="AC58" i="2"/>
  <c r="X58" i="2"/>
  <c r="W58" i="2"/>
  <c r="Y58" i="2" s="1"/>
  <c r="O58" i="2"/>
  <c r="K58" i="2"/>
  <c r="J58" i="2"/>
  <c r="G58" i="2"/>
  <c r="AC57" i="2"/>
  <c r="X57" i="2"/>
  <c r="W57" i="2"/>
  <c r="Y57" i="2" s="1"/>
  <c r="O57" i="2"/>
  <c r="J57" i="2"/>
  <c r="K57" i="2" s="1"/>
  <c r="G57" i="2"/>
  <c r="M57" i="2" s="1"/>
  <c r="AD56" i="2"/>
  <c r="AC56" i="2"/>
  <c r="AB56" i="2"/>
  <c r="X56" i="2"/>
  <c r="O56" i="2"/>
  <c r="M56" i="2"/>
  <c r="L56" i="2"/>
  <c r="K56" i="2"/>
  <c r="J56" i="2"/>
  <c r="G56" i="2"/>
  <c r="W56" i="2" s="1"/>
  <c r="Y56" i="2" s="1"/>
  <c r="AC55" i="2"/>
  <c r="X55" i="2"/>
  <c r="W55" i="2"/>
  <c r="Y55" i="2" s="1"/>
  <c r="O55" i="2"/>
  <c r="J55" i="2"/>
  <c r="K55" i="2" s="1"/>
  <c r="G55" i="2"/>
  <c r="M55" i="2" s="1"/>
  <c r="AC54" i="2"/>
  <c r="X54" i="2"/>
  <c r="W54" i="2"/>
  <c r="Y54" i="2" s="1"/>
  <c r="O54" i="2"/>
  <c r="K54" i="2"/>
  <c r="J54" i="2"/>
  <c r="G54" i="2"/>
  <c r="AC53" i="2"/>
  <c r="X53" i="2"/>
  <c r="W53" i="2"/>
  <c r="Y53" i="2" s="1"/>
  <c r="O53" i="2"/>
  <c r="J53" i="2"/>
  <c r="K53" i="2" s="1"/>
  <c r="G53" i="2"/>
  <c r="L53" i="2" s="1"/>
  <c r="AC52" i="2"/>
  <c r="AB52" i="2"/>
  <c r="AD52" i="2" s="1"/>
  <c r="X52" i="2"/>
  <c r="O52" i="2"/>
  <c r="M52" i="2"/>
  <c r="L52" i="2"/>
  <c r="K52" i="2"/>
  <c r="J52" i="2"/>
  <c r="Y52" i="2" s="1"/>
  <c r="G52" i="2"/>
  <c r="W52" i="2" s="1"/>
  <c r="AA49" i="2"/>
  <c r="AC49" i="2" s="1"/>
  <c r="X49" i="2"/>
  <c r="W49" i="2"/>
  <c r="Y49" i="2" s="1"/>
  <c r="V49" i="2"/>
  <c r="O49" i="2"/>
  <c r="M49" i="2"/>
  <c r="L49" i="2"/>
  <c r="P49" i="2" s="1"/>
  <c r="J49" i="2"/>
  <c r="K49" i="2" s="1"/>
  <c r="AA48" i="2"/>
  <c r="V48" i="2"/>
  <c r="X48" i="2" s="1"/>
  <c r="O48" i="2"/>
  <c r="M48" i="2"/>
  <c r="L48" i="2"/>
  <c r="P48" i="2" s="1"/>
  <c r="K48" i="2"/>
  <c r="J48" i="2"/>
  <c r="AC47" i="2"/>
  <c r="AB47" i="2"/>
  <c r="AD47" i="2" s="1"/>
  <c r="AA47" i="2"/>
  <c r="X47" i="2"/>
  <c r="W47" i="2"/>
  <c r="Y47" i="2" s="1"/>
  <c r="V47" i="2"/>
  <c r="P47" i="2"/>
  <c r="O47" i="2"/>
  <c r="M47" i="2"/>
  <c r="L47" i="2"/>
  <c r="J47" i="2"/>
  <c r="K47" i="2" s="1"/>
  <c r="AC46" i="2"/>
  <c r="AB46" i="2"/>
  <c r="AD46" i="2" s="1"/>
  <c r="AA46" i="2"/>
  <c r="V46" i="2"/>
  <c r="O46" i="2"/>
  <c r="M46" i="2"/>
  <c r="L46" i="2"/>
  <c r="P46" i="2" s="1"/>
  <c r="K46" i="2"/>
  <c r="J46" i="2"/>
  <c r="AA45" i="2"/>
  <c r="AB45" i="2" s="1"/>
  <c r="X45" i="2"/>
  <c r="W45" i="2"/>
  <c r="Y45" i="2" s="1"/>
  <c r="V45" i="2"/>
  <c r="O45" i="2"/>
  <c r="M45" i="2"/>
  <c r="L45" i="2"/>
  <c r="P45" i="2" s="1"/>
  <c r="J45" i="2"/>
  <c r="K45" i="2" s="1"/>
  <c r="AA44" i="2"/>
  <c r="V44" i="2"/>
  <c r="X44" i="2" s="1"/>
  <c r="O44" i="2"/>
  <c r="M44" i="2"/>
  <c r="L44" i="2"/>
  <c r="P44" i="2" s="1"/>
  <c r="K44" i="2"/>
  <c r="J44" i="2"/>
  <c r="AC43" i="2"/>
  <c r="AB43" i="2"/>
  <c r="AD43" i="2" s="1"/>
  <c r="AA43" i="2"/>
  <c r="W43" i="2"/>
  <c r="V43" i="2"/>
  <c r="X43" i="2" s="1"/>
  <c r="P43" i="2"/>
  <c r="O43" i="2"/>
  <c r="M43" i="2"/>
  <c r="L43" i="2"/>
  <c r="J43" i="2"/>
  <c r="K43" i="2" s="1"/>
  <c r="AC42" i="2"/>
  <c r="AB42" i="2"/>
  <c r="AD42" i="2" s="1"/>
  <c r="AA42" i="2"/>
  <c r="V42" i="2"/>
  <c r="O42" i="2"/>
  <c r="M42" i="2"/>
  <c r="L42" i="2"/>
  <c r="P42" i="2" s="1"/>
  <c r="K42" i="2"/>
  <c r="J42" i="2"/>
  <c r="AA41" i="2"/>
  <c r="AB41" i="2" s="1"/>
  <c r="X41" i="2"/>
  <c r="W41" i="2"/>
  <c r="Y41" i="2" s="1"/>
  <c r="V41" i="2"/>
  <c r="O41" i="2"/>
  <c r="M41" i="2"/>
  <c r="L41" i="2"/>
  <c r="P41" i="2" s="1"/>
  <c r="J41" i="2"/>
  <c r="K41" i="2" s="1"/>
  <c r="AA40" i="2"/>
  <c r="V40" i="2"/>
  <c r="X40" i="2" s="1"/>
  <c r="O40" i="2"/>
  <c r="M40" i="2"/>
  <c r="L40" i="2"/>
  <c r="P40" i="2" s="1"/>
  <c r="K40" i="2"/>
  <c r="J40" i="2"/>
  <c r="AC39" i="2"/>
  <c r="AB39" i="2"/>
  <c r="AD39" i="2" s="1"/>
  <c r="AA39" i="2"/>
  <c r="W39" i="2"/>
  <c r="V39" i="2"/>
  <c r="X39" i="2" s="1"/>
  <c r="P39" i="2"/>
  <c r="O39" i="2"/>
  <c r="M39" i="2"/>
  <c r="L39" i="2"/>
  <c r="J39" i="2"/>
  <c r="K39" i="2" s="1"/>
  <c r="AC38" i="2"/>
  <c r="AB38" i="2"/>
  <c r="AD38" i="2" s="1"/>
  <c r="AA38" i="2"/>
  <c r="V38" i="2"/>
  <c r="O38" i="2"/>
  <c r="M38" i="2"/>
  <c r="L38" i="2"/>
  <c r="P38" i="2" s="1"/>
  <c r="K38" i="2"/>
  <c r="J38" i="2"/>
  <c r="AA37" i="2"/>
  <c r="AC37" i="2" s="1"/>
  <c r="X37" i="2"/>
  <c r="W37" i="2"/>
  <c r="Y37" i="2" s="1"/>
  <c r="V37" i="2"/>
  <c r="O37" i="2"/>
  <c r="M37" i="2"/>
  <c r="L37" i="2"/>
  <c r="P37" i="2" s="1"/>
  <c r="J37" i="2"/>
  <c r="K37" i="2" s="1"/>
  <c r="AA36" i="2"/>
  <c r="V36" i="2"/>
  <c r="X36" i="2" s="1"/>
  <c r="O36" i="2"/>
  <c r="M36" i="2"/>
  <c r="L36" i="2"/>
  <c r="P36" i="2" s="1"/>
  <c r="K36" i="2"/>
  <c r="J36" i="2"/>
  <c r="AC35" i="2"/>
  <c r="AB35" i="2"/>
  <c r="AD35" i="2" s="1"/>
  <c r="X35" i="2"/>
  <c r="W35" i="2"/>
  <c r="Y35" i="2" s="1"/>
  <c r="P35" i="2"/>
  <c r="O35" i="2"/>
  <c r="M35" i="2"/>
  <c r="L35" i="2"/>
  <c r="K35" i="2"/>
  <c r="J35" i="2"/>
  <c r="AA34" i="2"/>
  <c r="AC34" i="2" s="1"/>
  <c r="Y34" i="2"/>
  <c r="X34" i="2"/>
  <c r="W34" i="2"/>
  <c r="V34" i="2"/>
  <c r="O34" i="2"/>
  <c r="M34" i="2"/>
  <c r="L34" i="2"/>
  <c r="P34" i="2" s="1"/>
  <c r="K34" i="2"/>
  <c r="J34" i="2"/>
  <c r="AA33" i="2"/>
  <c r="V33" i="2"/>
  <c r="W33" i="2" s="1"/>
  <c r="P33" i="2"/>
  <c r="O33" i="2"/>
  <c r="M33" i="2"/>
  <c r="L33" i="2"/>
  <c r="J33" i="2"/>
  <c r="K33" i="2" s="1"/>
  <c r="AC32" i="2"/>
  <c r="AB32" i="2"/>
  <c r="AD32" i="2" s="1"/>
  <c r="AA32" i="2"/>
  <c r="V32" i="2"/>
  <c r="X32" i="2" s="1"/>
  <c r="O32" i="2"/>
  <c r="P32" i="2" s="1"/>
  <c r="M32" i="2"/>
  <c r="L32" i="2"/>
  <c r="J32" i="2"/>
  <c r="K32" i="2" s="1"/>
  <c r="AA29" i="2"/>
  <c r="AC29" i="2" s="1"/>
  <c r="V29" i="2"/>
  <c r="P29" i="2"/>
  <c r="Q29" i="2" s="1"/>
  <c r="O29" i="2"/>
  <c r="M29" i="2"/>
  <c r="L29" i="2"/>
  <c r="K29" i="2"/>
  <c r="J29" i="2"/>
  <c r="AC28" i="2"/>
  <c r="AB28" i="2"/>
  <c r="AD28" i="2" s="1"/>
  <c r="AA28" i="2"/>
  <c r="X28" i="2"/>
  <c r="Y28" i="2" s="1"/>
  <c r="W28" i="2"/>
  <c r="V28" i="2"/>
  <c r="O28" i="2"/>
  <c r="M28" i="2"/>
  <c r="L28" i="2"/>
  <c r="K28" i="2"/>
  <c r="J28" i="2"/>
  <c r="AC26" i="2"/>
  <c r="AB26" i="2"/>
  <c r="AD26" i="2" s="1"/>
  <c r="X26" i="2"/>
  <c r="Y26" i="2" s="1"/>
  <c r="W26" i="2"/>
  <c r="O26" i="2"/>
  <c r="M26" i="2"/>
  <c r="L26" i="2"/>
  <c r="P26" i="2" s="1"/>
  <c r="J26" i="2"/>
  <c r="K26" i="2" s="1"/>
  <c r="AD25" i="2"/>
  <c r="AC25" i="2"/>
  <c r="AB25" i="2"/>
  <c r="X25" i="2"/>
  <c r="W25" i="2"/>
  <c r="Y25" i="2" s="1"/>
  <c r="O25" i="2"/>
  <c r="P25" i="2" s="1"/>
  <c r="M25" i="2"/>
  <c r="L25" i="2"/>
  <c r="J25" i="2"/>
  <c r="K25" i="2" s="1"/>
  <c r="O22" i="2"/>
  <c r="M22" i="2"/>
  <c r="L22" i="2"/>
  <c r="K22" i="2"/>
  <c r="J22" i="2"/>
  <c r="O21" i="2"/>
  <c r="M21" i="2"/>
  <c r="L21" i="2"/>
  <c r="J21" i="2"/>
  <c r="K21" i="2" s="1"/>
  <c r="O20" i="2"/>
  <c r="M20" i="2"/>
  <c r="L20" i="2"/>
  <c r="J20" i="2"/>
  <c r="K20" i="2" s="1"/>
  <c r="AB18" i="2"/>
  <c r="AD18" i="2" s="1"/>
  <c r="AA18" i="2"/>
  <c r="AC18" i="2" s="1"/>
  <c r="V18" i="2"/>
  <c r="X18" i="2" s="1"/>
  <c r="O18" i="2"/>
  <c r="M18" i="2"/>
  <c r="J18" i="2"/>
  <c r="K18" i="2" s="1"/>
  <c r="G18" i="2"/>
  <c r="L18" i="2" s="1"/>
  <c r="AA17" i="2"/>
  <c r="AC17" i="2" s="1"/>
  <c r="V17" i="2"/>
  <c r="X17" i="2" s="1"/>
  <c r="O17" i="2"/>
  <c r="M17" i="2"/>
  <c r="L17" i="2"/>
  <c r="P17" i="2" s="1"/>
  <c r="K17" i="2"/>
  <c r="J17" i="2"/>
  <c r="G17" i="2"/>
  <c r="W17" i="2" s="1"/>
  <c r="Y17" i="2" s="1"/>
  <c r="AA16" i="2"/>
  <c r="AC16" i="2" s="1"/>
  <c r="X16" i="2"/>
  <c r="V16" i="2"/>
  <c r="O16" i="2"/>
  <c r="J16" i="2"/>
  <c r="K16" i="2" s="1"/>
  <c r="G16" i="2"/>
  <c r="AB16" i="2" s="1"/>
  <c r="AD16" i="2" s="1"/>
  <c r="AA15" i="2"/>
  <c r="AC15" i="2" s="1"/>
  <c r="V15" i="2"/>
  <c r="X15" i="2" s="1"/>
  <c r="O15" i="2"/>
  <c r="J15" i="2"/>
  <c r="K15" i="2" s="1"/>
  <c r="G15" i="2"/>
  <c r="W15" i="2" s="1"/>
  <c r="AA14" i="2"/>
  <c r="AC14" i="2" s="1"/>
  <c r="V14" i="2"/>
  <c r="X14" i="2" s="1"/>
  <c r="O14" i="2"/>
  <c r="J14" i="2"/>
  <c r="K14" i="2" s="1"/>
  <c r="G14" i="2"/>
  <c r="AB14" i="2" s="1"/>
  <c r="AD14" i="2" s="1"/>
  <c r="AA13" i="2"/>
  <c r="AC13" i="2" s="1"/>
  <c r="V13" i="2"/>
  <c r="X13" i="2" s="1"/>
  <c r="O13" i="2"/>
  <c r="J13" i="2"/>
  <c r="K13" i="2" s="1"/>
  <c r="G13" i="2"/>
  <c r="AB13" i="2" s="1"/>
  <c r="AD13" i="2" s="1"/>
  <c r="AA12" i="2"/>
  <c r="AC12" i="2" s="1"/>
  <c r="V12" i="2"/>
  <c r="X12" i="2" s="1"/>
  <c r="O12" i="2"/>
  <c r="J12" i="2"/>
  <c r="K12" i="2" s="1"/>
  <c r="G12" i="2"/>
  <c r="AB12" i="2" s="1"/>
  <c r="Q22" i="2" l="1"/>
  <c r="Q21" i="2"/>
  <c r="Y15" i="2"/>
  <c r="AD12" i="2"/>
  <c r="Q78" i="2"/>
  <c r="Q80" i="2"/>
  <c r="P18" i="2"/>
  <c r="Q18" i="2" s="1"/>
  <c r="Q28" i="2"/>
  <c r="P53" i="2"/>
  <c r="Q53" i="2" s="1"/>
  <c r="Q75" i="2"/>
  <c r="Q74" i="2"/>
  <c r="AD45" i="2"/>
  <c r="W59" i="2"/>
  <c r="Y59" i="2" s="1"/>
  <c r="W61" i="2"/>
  <c r="Y61" i="2" s="1"/>
  <c r="Q129" i="2"/>
  <c r="AC40" i="2"/>
  <c r="AB40" i="2"/>
  <c r="AD40" i="2" s="1"/>
  <c r="AC48" i="2"/>
  <c r="AB48" i="2"/>
  <c r="AD48" i="2" s="1"/>
  <c r="Q67" i="2"/>
  <c r="Q126" i="2"/>
  <c r="AB61" i="2"/>
  <c r="AD61" i="2" s="1"/>
  <c r="P74" i="2"/>
  <c r="P90" i="2"/>
  <c r="X98" i="2"/>
  <c r="W98" i="2"/>
  <c r="Y98" i="2" s="1"/>
  <c r="Q119" i="2"/>
  <c r="Q170" i="2"/>
  <c r="W12" i="2"/>
  <c r="Y12" i="2" s="1"/>
  <c r="W14" i="2"/>
  <c r="Y14" i="2" s="1"/>
  <c r="AB57" i="2"/>
  <c r="AD57" i="2" s="1"/>
  <c r="L61" i="2"/>
  <c r="Q69" i="2"/>
  <c r="P72" i="2"/>
  <c r="Q72" i="2" s="1"/>
  <c r="P82" i="2"/>
  <c r="Q82" i="2" s="1"/>
  <c r="W16" i="2"/>
  <c r="Y16" i="2" s="1"/>
  <c r="Y39" i="2"/>
  <c r="AC44" i="2"/>
  <c r="AB44" i="2"/>
  <c r="AD44" i="2" s="1"/>
  <c r="X29" i="2"/>
  <c r="W29" i="2"/>
  <c r="Y29" i="2" s="1"/>
  <c r="Q25" i="2"/>
  <c r="AB59" i="2"/>
  <c r="AD59" i="2" s="1"/>
  <c r="L13" i="2"/>
  <c r="P22" i="2"/>
  <c r="X33" i="2"/>
  <c r="Y33" i="2" s="1"/>
  <c r="AB53" i="2"/>
  <c r="AD53" i="2" s="1"/>
  <c r="AB55" i="2"/>
  <c r="AD55" i="2" s="1"/>
  <c r="P56" i="2"/>
  <c r="Q56" i="2" s="1"/>
  <c r="P67" i="2"/>
  <c r="P80" i="2"/>
  <c r="AD99" i="2"/>
  <c r="Q167" i="2"/>
  <c r="P28" i="2"/>
  <c r="W13" i="2"/>
  <c r="Y13" i="2" s="1"/>
  <c r="AB17" i="2"/>
  <c r="AD17" i="2" s="1"/>
  <c r="P60" i="2"/>
  <c r="Q60" i="2" s="1"/>
  <c r="M16" i="2"/>
  <c r="L57" i="2"/>
  <c r="M13" i="2"/>
  <c r="L55" i="2"/>
  <c r="P73" i="2"/>
  <c r="Q73" i="2" s="1"/>
  <c r="P78" i="2"/>
  <c r="Q130" i="2"/>
  <c r="L12" i="2"/>
  <c r="L14" i="2"/>
  <c r="L15" i="2"/>
  <c r="W18" i="2"/>
  <c r="Y18" i="2" s="1"/>
  <c r="L59" i="2"/>
  <c r="M12" i="2"/>
  <c r="M14" i="2"/>
  <c r="M15" i="2"/>
  <c r="P21" i="2"/>
  <c r="AB29" i="2"/>
  <c r="AD29" i="2" s="1"/>
  <c r="AB37" i="2"/>
  <c r="AD37" i="2" s="1"/>
  <c r="X46" i="2"/>
  <c r="W46" i="2"/>
  <c r="Y46" i="2" s="1"/>
  <c r="AB49" i="2"/>
  <c r="AD49" i="2" s="1"/>
  <c r="M64" i="2"/>
  <c r="L64" i="2"/>
  <c r="P64" i="2" s="1"/>
  <c r="P86" i="2"/>
  <c r="AB15" i="2"/>
  <c r="AD15" i="2" s="1"/>
  <c r="Q26" i="2"/>
  <c r="W32" i="2"/>
  <c r="Y32" i="2" s="1"/>
  <c r="AC33" i="2"/>
  <c r="AB33" i="2"/>
  <c r="AD33" i="2" s="1"/>
  <c r="W36" i="2"/>
  <c r="Y36" i="2" s="1"/>
  <c r="W40" i="2"/>
  <c r="Y40" i="2" s="1"/>
  <c r="AC41" i="2"/>
  <c r="AD41" i="2" s="1"/>
  <c r="W44" i="2"/>
  <c r="Y44" i="2" s="1"/>
  <c r="AC45" i="2"/>
  <c r="W48" i="2"/>
  <c r="Y48" i="2" s="1"/>
  <c r="M53" i="2"/>
  <c r="M58" i="2"/>
  <c r="AB58" i="2"/>
  <c r="AD58" i="2" s="1"/>
  <c r="L58" i="2"/>
  <c r="P71" i="2"/>
  <c r="Q71" i="2" s="1"/>
  <c r="P75" i="2"/>
  <c r="Q104" i="2"/>
  <c r="Q111" i="2"/>
  <c r="Q120" i="2"/>
  <c r="Q127" i="2"/>
  <c r="AC36" i="2"/>
  <c r="AB36" i="2"/>
  <c r="AD36" i="2" s="1"/>
  <c r="Y43" i="2"/>
  <c r="AB34" i="2"/>
  <c r="AD34" i="2" s="1"/>
  <c r="L16" i="2"/>
  <c r="Q17" i="2"/>
  <c r="X38" i="2"/>
  <c r="W38" i="2"/>
  <c r="Y38" i="2" s="1"/>
  <c r="X42" i="2"/>
  <c r="W42" i="2"/>
  <c r="Y42" i="2" s="1"/>
  <c r="P52" i="2"/>
  <c r="Q52" i="2" s="1"/>
  <c r="AB64" i="2"/>
  <c r="AD64" i="2" s="1"/>
  <c r="Q118" i="2"/>
  <c r="P20" i="2"/>
  <c r="Q20" i="2" s="1"/>
  <c r="M54" i="2"/>
  <c r="AB54" i="2"/>
  <c r="AD54" i="2" s="1"/>
  <c r="L54" i="2"/>
  <c r="AD69" i="2"/>
  <c r="Q77" i="2"/>
  <c r="Y78" i="2"/>
  <c r="P88" i="2"/>
  <c r="P89" i="2"/>
  <c r="Q166" i="2"/>
  <c r="P171" i="2"/>
  <c r="Q171" i="2" s="1"/>
  <c r="Q172" i="2"/>
  <c r="P106" i="2"/>
  <c r="Q106" i="2" s="1"/>
  <c r="P114" i="2"/>
  <c r="Q114" i="2" s="1"/>
  <c r="P122" i="2"/>
  <c r="Q122" i="2" s="1"/>
  <c r="P130" i="2"/>
  <c r="P150" i="2"/>
  <c r="Q150" i="2" s="1"/>
  <c r="P162" i="2"/>
  <c r="Q162" i="2" s="1"/>
  <c r="P170" i="2"/>
  <c r="P105" i="2"/>
  <c r="Q105" i="2" s="1"/>
  <c r="P113" i="2"/>
  <c r="Q113" i="2" s="1"/>
  <c r="P121" i="2"/>
  <c r="Q121" i="2" s="1"/>
  <c r="P129" i="2"/>
  <c r="P104" i="2"/>
  <c r="P112" i="2"/>
  <c r="Q112" i="2" s="1"/>
  <c r="P120" i="2"/>
  <c r="P128" i="2"/>
  <c r="Q128" i="2" s="1"/>
  <c r="P148" i="2"/>
  <c r="Q148" i="2" s="1"/>
  <c r="P160" i="2"/>
  <c r="Q160" i="2" s="1"/>
  <c r="P168" i="2"/>
  <c r="Q168" i="2" s="1"/>
  <c r="P94" i="2"/>
  <c r="P111" i="2"/>
  <c r="P119" i="2"/>
  <c r="P127" i="2"/>
  <c r="P147" i="2"/>
  <c r="Q147" i="2" s="1"/>
  <c r="P167" i="2"/>
  <c r="AB98" i="2"/>
  <c r="AD98" i="2" s="1"/>
  <c r="P110" i="2"/>
  <c r="Q110" i="2" s="1"/>
  <c r="P118" i="2"/>
  <c r="P126" i="2"/>
  <c r="P166" i="2"/>
  <c r="P109" i="2"/>
  <c r="Q109" i="2" s="1"/>
  <c r="P117" i="2"/>
  <c r="Q117" i="2" s="1"/>
  <c r="P125" i="2"/>
  <c r="Q125" i="2" s="1"/>
  <c r="P165" i="2"/>
  <c r="Q165" i="2" s="1"/>
  <c r="P173" i="2"/>
  <c r="Q173" i="2" s="1"/>
  <c r="P57" i="2" l="1"/>
  <c r="Q57" i="2"/>
  <c r="P54" i="2"/>
  <c r="Q54" i="2" s="1"/>
  <c r="P15" i="2"/>
  <c r="Q15" i="2" s="1"/>
  <c r="P58" i="2"/>
  <c r="Q58" i="2" s="1"/>
  <c r="P14" i="2"/>
  <c r="Q14" i="2"/>
  <c r="P13" i="2"/>
  <c r="Q13" i="2"/>
  <c r="Q61" i="2"/>
  <c r="P61" i="2"/>
  <c r="P16" i="2"/>
  <c r="Q16" i="2"/>
  <c r="P59" i="2"/>
  <c r="Q59" i="2"/>
  <c r="P12" i="2"/>
  <c r="Q12" i="2"/>
  <c r="P55" i="2"/>
  <c r="Q55" i="2" s="1"/>
  <c r="AA80" i="1" l="1"/>
  <c r="AC80" i="1" s="1"/>
  <c r="V80" i="1"/>
  <c r="X80" i="1" s="1"/>
  <c r="Q80" i="1"/>
  <c r="P80" i="1"/>
  <c r="M80" i="1"/>
  <c r="J80" i="1"/>
  <c r="K80" i="1" s="1"/>
  <c r="AA79" i="1"/>
  <c r="AC79" i="1" s="1"/>
  <c r="V79" i="1"/>
  <c r="X79" i="1" s="1"/>
  <c r="Q79" i="1"/>
  <c r="P79" i="1"/>
  <c r="M79" i="1"/>
  <c r="J79" i="1"/>
  <c r="K79" i="1" s="1"/>
  <c r="AC78" i="1"/>
  <c r="AB78" i="1"/>
  <c r="X78" i="1"/>
  <c r="W78" i="1"/>
  <c r="Q78" i="1"/>
  <c r="P78" i="1"/>
  <c r="M78" i="1"/>
  <c r="N78" i="1" s="1"/>
  <c r="J78" i="1"/>
  <c r="K78" i="1" s="1"/>
  <c r="AC77" i="1"/>
  <c r="AB77" i="1"/>
  <c r="X77" i="1"/>
  <c r="W77" i="1"/>
  <c r="Q77" i="1"/>
  <c r="P77" i="1"/>
  <c r="M77" i="1"/>
  <c r="N77" i="1" s="1"/>
  <c r="J77" i="1"/>
  <c r="K77" i="1" s="1"/>
  <c r="AA73" i="1"/>
  <c r="AC73" i="1" s="1"/>
  <c r="V73" i="1"/>
  <c r="W73" i="1" s="1"/>
  <c r="Q73" i="1"/>
  <c r="P73" i="1"/>
  <c r="M73" i="1"/>
  <c r="J73" i="1"/>
  <c r="K73" i="1" s="1"/>
  <c r="AA72" i="1"/>
  <c r="AC72" i="1" s="1"/>
  <c r="V72" i="1"/>
  <c r="X72" i="1" s="1"/>
  <c r="Q72" i="1"/>
  <c r="P72" i="1"/>
  <c r="M72" i="1"/>
  <c r="J72" i="1"/>
  <c r="K72" i="1" s="1"/>
  <c r="AA71" i="1"/>
  <c r="AB71" i="1" s="1"/>
  <c r="V71" i="1"/>
  <c r="X71" i="1" s="1"/>
  <c r="Q71" i="1"/>
  <c r="P71" i="1"/>
  <c r="M71" i="1"/>
  <c r="J71" i="1"/>
  <c r="K71" i="1" s="1"/>
  <c r="AA70" i="1"/>
  <c r="AC70" i="1" s="1"/>
  <c r="V70" i="1"/>
  <c r="W70" i="1" s="1"/>
  <c r="Q70" i="1"/>
  <c r="P70" i="1"/>
  <c r="M70" i="1"/>
  <c r="J70" i="1"/>
  <c r="K70" i="1" s="1"/>
  <c r="AA69" i="1"/>
  <c r="AB69" i="1" s="1"/>
  <c r="V69" i="1"/>
  <c r="X69" i="1" s="1"/>
  <c r="Q69" i="1"/>
  <c r="P69" i="1"/>
  <c r="M69" i="1"/>
  <c r="J69" i="1"/>
  <c r="K69" i="1" s="1"/>
  <c r="AA68" i="1"/>
  <c r="AC68" i="1" s="1"/>
  <c r="V68" i="1"/>
  <c r="X68" i="1" s="1"/>
  <c r="Q68" i="1"/>
  <c r="P68" i="1"/>
  <c r="M68" i="1"/>
  <c r="J68" i="1"/>
  <c r="K68" i="1" s="1"/>
  <c r="AA67" i="1"/>
  <c r="AC67" i="1" s="1"/>
  <c r="V67" i="1"/>
  <c r="W67" i="1" s="1"/>
  <c r="Q67" i="1"/>
  <c r="P67" i="1"/>
  <c r="M67" i="1"/>
  <c r="J67" i="1"/>
  <c r="K67" i="1" s="1"/>
  <c r="AA66" i="1"/>
  <c r="AB66" i="1" s="1"/>
  <c r="V66" i="1"/>
  <c r="X66" i="1" s="1"/>
  <c r="Q66" i="1"/>
  <c r="P66" i="1"/>
  <c r="M66" i="1"/>
  <c r="N66" i="1" s="1"/>
  <c r="J66" i="1"/>
  <c r="K66" i="1" s="1"/>
  <c r="AA65" i="1"/>
  <c r="AC65" i="1" s="1"/>
  <c r="V65" i="1"/>
  <c r="X65" i="1" s="1"/>
  <c r="Q65" i="1"/>
  <c r="P65" i="1"/>
  <c r="M65" i="1"/>
  <c r="J65" i="1"/>
  <c r="K65" i="1" s="1"/>
  <c r="AA64" i="1"/>
  <c r="AC64" i="1" s="1"/>
  <c r="V64" i="1"/>
  <c r="X64" i="1" s="1"/>
  <c r="Q64" i="1"/>
  <c r="P64" i="1"/>
  <c r="M64" i="1"/>
  <c r="J64" i="1"/>
  <c r="K64" i="1" s="1"/>
  <c r="AA63" i="1"/>
  <c r="AB63" i="1" s="1"/>
  <c r="V63" i="1"/>
  <c r="X63" i="1" s="1"/>
  <c r="Q63" i="1"/>
  <c r="P63" i="1"/>
  <c r="M63" i="1"/>
  <c r="J63" i="1"/>
  <c r="K63" i="1" s="1"/>
  <c r="AA62" i="1"/>
  <c r="AC62" i="1" s="1"/>
  <c r="V62" i="1"/>
  <c r="W62" i="1" s="1"/>
  <c r="Q62" i="1"/>
  <c r="P62" i="1"/>
  <c r="M62" i="1"/>
  <c r="J62" i="1"/>
  <c r="K62" i="1" s="1"/>
  <c r="AA61" i="1"/>
  <c r="AC61" i="1" s="1"/>
  <c r="V61" i="1"/>
  <c r="X61" i="1" s="1"/>
  <c r="Q61" i="1"/>
  <c r="P61" i="1"/>
  <c r="M61" i="1"/>
  <c r="J61" i="1"/>
  <c r="K61" i="1" s="1"/>
  <c r="AA60" i="1"/>
  <c r="AC60" i="1" s="1"/>
  <c r="V60" i="1"/>
  <c r="X60" i="1" s="1"/>
  <c r="Q60" i="1"/>
  <c r="P60" i="1"/>
  <c r="M60" i="1"/>
  <c r="J60" i="1"/>
  <c r="K60" i="1" s="1"/>
  <c r="AA59" i="1"/>
  <c r="AC59" i="1" s="1"/>
  <c r="V59" i="1"/>
  <c r="W59" i="1" s="1"/>
  <c r="Q59" i="1"/>
  <c r="P59" i="1"/>
  <c r="M59" i="1"/>
  <c r="J59" i="1"/>
  <c r="K59" i="1" s="1"/>
  <c r="AA58" i="1"/>
  <c r="AB58" i="1" s="1"/>
  <c r="V58" i="1"/>
  <c r="X58" i="1" s="1"/>
  <c r="Q58" i="1"/>
  <c r="P58" i="1"/>
  <c r="M58" i="1"/>
  <c r="J58" i="1"/>
  <c r="K58" i="1" s="1"/>
  <c r="AA57" i="1"/>
  <c r="AC57" i="1" s="1"/>
  <c r="V57" i="1"/>
  <c r="X57" i="1" s="1"/>
  <c r="Q57" i="1"/>
  <c r="P57" i="1"/>
  <c r="M57" i="1"/>
  <c r="J57" i="1"/>
  <c r="K57" i="1" s="1"/>
  <c r="AA56" i="1"/>
  <c r="AC56" i="1" s="1"/>
  <c r="V56" i="1"/>
  <c r="X56" i="1" s="1"/>
  <c r="Q56" i="1"/>
  <c r="P56" i="1"/>
  <c r="M56" i="1"/>
  <c r="J56" i="1"/>
  <c r="K56" i="1" s="1"/>
  <c r="AA55" i="1"/>
  <c r="AB55" i="1" s="1"/>
  <c r="V55" i="1"/>
  <c r="X55" i="1" s="1"/>
  <c r="Q55" i="1"/>
  <c r="P55" i="1"/>
  <c r="M55" i="1"/>
  <c r="J55" i="1"/>
  <c r="K55" i="1" s="1"/>
  <c r="AA54" i="1"/>
  <c r="AC54" i="1" s="1"/>
  <c r="V54" i="1"/>
  <c r="W54" i="1" s="1"/>
  <c r="Q54" i="1"/>
  <c r="P54" i="1"/>
  <c r="M54" i="1"/>
  <c r="J54" i="1"/>
  <c r="K54" i="1" s="1"/>
  <c r="AA53" i="1"/>
  <c r="AC53" i="1" s="1"/>
  <c r="V53" i="1"/>
  <c r="X53" i="1" s="1"/>
  <c r="Q53" i="1"/>
  <c r="P53" i="1"/>
  <c r="M53" i="1"/>
  <c r="J53" i="1"/>
  <c r="K53" i="1" s="1"/>
  <c r="AA52" i="1"/>
  <c r="AC52" i="1" s="1"/>
  <c r="V52" i="1"/>
  <c r="X52" i="1" s="1"/>
  <c r="Q52" i="1"/>
  <c r="P52" i="1"/>
  <c r="M52" i="1"/>
  <c r="J52" i="1"/>
  <c r="K52" i="1" s="1"/>
  <c r="AA51" i="1"/>
  <c r="AC51" i="1" s="1"/>
  <c r="V51" i="1"/>
  <c r="W51" i="1" s="1"/>
  <c r="Q51" i="1"/>
  <c r="P51" i="1"/>
  <c r="M51" i="1"/>
  <c r="J51" i="1"/>
  <c r="K51" i="1" s="1"/>
  <c r="AA50" i="1"/>
  <c r="AB50" i="1" s="1"/>
  <c r="V50" i="1"/>
  <c r="X50" i="1" s="1"/>
  <c r="Q50" i="1"/>
  <c r="P50" i="1"/>
  <c r="M50" i="1"/>
  <c r="N50" i="1" s="1"/>
  <c r="J50" i="1"/>
  <c r="K50" i="1" s="1"/>
  <c r="AA49" i="1"/>
  <c r="AC49" i="1" s="1"/>
  <c r="V49" i="1"/>
  <c r="X49" i="1" s="1"/>
  <c r="Q49" i="1"/>
  <c r="P49" i="1"/>
  <c r="M49" i="1"/>
  <c r="J49" i="1"/>
  <c r="K49" i="1" s="1"/>
  <c r="AA48" i="1"/>
  <c r="AC48" i="1" s="1"/>
  <c r="V48" i="1"/>
  <c r="X48" i="1" s="1"/>
  <c r="Q48" i="1"/>
  <c r="P48" i="1"/>
  <c r="M48" i="1"/>
  <c r="J48" i="1"/>
  <c r="K48" i="1" s="1"/>
  <c r="AA47" i="1"/>
  <c r="AB47" i="1" s="1"/>
  <c r="V47" i="1"/>
  <c r="X47" i="1" s="1"/>
  <c r="Q47" i="1"/>
  <c r="P47" i="1"/>
  <c r="M47" i="1"/>
  <c r="J47" i="1"/>
  <c r="K47" i="1" s="1"/>
  <c r="AC46" i="1"/>
  <c r="AB46" i="1"/>
  <c r="X46" i="1"/>
  <c r="W46" i="1"/>
  <c r="Q46" i="1"/>
  <c r="P46" i="1"/>
  <c r="M46" i="1"/>
  <c r="J46" i="1"/>
  <c r="K46" i="1" s="1"/>
  <c r="AC45" i="1"/>
  <c r="AB45" i="1"/>
  <c r="AD45" i="1" s="1"/>
  <c r="X45" i="1"/>
  <c r="W45" i="1"/>
  <c r="Q45" i="1"/>
  <c r="P45" i="1"/>
  <c r="M45" i="1"/>
  <c r="J45" i="1"/>
  <c r="K45" i="1" s="1"/>
  <c r="AC44" i="1"/>
  <c r="AB44" i="1"/>
  <c r="X44" i="1"/>
  <c r="W44" i="1"/>
  <c r="Q44" i="1"/>
  <c r="P44" i="1"/>
  <c r="M44" i="1"/>
  <c r="J44" i="1"/>
  <c r="K44" i="1" s="1"/>
  <c r="AC43" i="1"/>
  <c r="AB43" i="1"/>
  <c r="X43" i="1"/>
  <c r="W43" i="1"/>
  <c r="Y43" i="1" s="1"/>
  <c r="Q43" i="1"/>
  <c r="P43" i="1"/>
  <c r="M43" i="1"/>
  <c r="J43" i="1"/>
  <c r="K43" i="1" s="1"/>
  <c r="AA39" i="1"/>
  <c r="AB39" i="1" s="1"/>
  <c r="V39" i="1"/>
  <c r="X39" i="1" s="1"/>
  <c r="Q39" i="1"/>
  <c r="P39" i="1"/>
  <c r="M39" i="1"/>
  <c r="J39" i="1"/>
  <c r="K39" i="1" s="1"/>
  <c r="AA38" i="1"/>
  <c r="AC38" i="1" s="1"/>
  <c r="V38" i="1"/>
  <c r="X38" i="1" s="1"/>
  <c r="Q38" i="1"/>
  <c r="P38" i="1"/>
  <c r="M38" i="1"/>
  <c r="J38" i="1"/>
  <c r="K38" i="1" s="1"/>
  <c r="AA37" i="1"/>
  <c r="AC37" i="1" s="1"/>
  <c r="V37" i="1"/>
  <c r="X37" i="1" s="1"/>
  <c r="Q37" i="1"/>
  <c r="P37" i="1"/>
  <c r="M37" i="1"/>
  <c r="N37" i="1" s="1"/>
  <c r="O37" i="1" s="1"/>
  <c r="J37" i="1"/>
  <c r="K37" i="1" s="1"/>
  <c r="AA36" i="1"/>
  <c r="AB36" i="1" s="1"/>
  <c r="V36" i="1"/>
  <c r="X36" i="1" s="1"/>
  <c r="Q36" i="1"/>
  <c r="P36" i="1"/>
  <c r="M36" i="1"/>
  <c r="J36" i="1"/>
  <c r="K36" i="1" s="1"/>
  <c r="AA35" i="1"/>
  <c r="AC35" i="1" s="1"/>
  <c r="V35" i="1"/>
  <c r="W35" i="1" s="1"/>
  <c r="Q35" i="1"/>
  <c r="P35" i="1"/>
  <c r="M35" i="1"/>
  <c r="J35" i="1"/>
  <c r="K35" i="1" s="1"/>
  <c r="AA34" i="1"/>
  <c r="AB34" i="1" s="1"/>
  <c r="V34" i="1"/>
  <c r="X34" i="1" s="1"/>
  <c r="Q34" i="1"/>
  <c r="P34" i="1"/>
  <c r="M34" i="1"/>
  <c r="J34" i="1"/>
  <c r="K34" i="1" s="1"/>
  <c r="AA33" i="1"/>
  <c r="AC33" i="1" s="1"/>
  <c r="V33" i="1"/>
  <c r="X33" i="1" s="1"/>
  <c r="Q33" i="1"/>
  <c r="P33" i="1"/>
  <c r="M33" i="1"/>
  <c r="J33" i="1"/>
  <c r="K33" i="1" s="1"/>
  <c r="AA32" i="1"/>
  <c r="AC32" i="1" s="1"/>
  <c r="V32" i="1"/>
  <c r="W32" i="1" s="1"/>
  <c r="Q32" i="1"/>
  <c r="P32" i="1"/>
  <c r="M32" i="1"/>
  <c r="J32" i="1"/>
  <c r="K32" i="1" s="1"/>
  <c r="AC31" i="1"/>
  <c r="AB31" i="1"/>
  <c r="X31" i="1"/>
  <c r="W31" i="1"/>
  <c r="Y31" i="1" s="1"/>
  <c r="Q31" i="1"/>
  <c r="P31" i="1"/>
  <c r="M31" i="1"/>
  <c r="J31" i="1"/>
  <c r="K31" i="1" s="1"/>
  <c r="AC30" i="1"/>
  <c r="AB30" i="1"/>
  <c r="X30" i="1"/>
  <c r="W30" i="1"/>
  <c r="Q30" i="1"/>
  <c r="P30" i="1"/>
  <c r="M30" i="1"/>
  <c r="J30" i="1"/>
  <c r="K30" i="1" s="1"/>
  <c r="AC29" i="1"/>
  <c r="AB29" i="1"/>
  <c r="X29" i="1"/>
  <c r="W29" i="1"/>
  <c r="Q29" i="1"/>
  <c r="P29" i="1"/>
  <c r="M29" i="1"/>
  <c r="J29" i="1"/>
  <c r="K29" i="1" s="1"/>
  <c r="AC28" i="1"/>
  <c r="AB28" i="1"/>
  <c r="X28" i="1"/>
  <c r="W28" i="1"/>
  <c r="Y28" i="1" s="1"/>
  <c r="Q28" i="1"/>
  <c r="P28" i="1"/>
  <c r="M28" i="1"/>
  <c r="K28" i="1"/>
  <c r="AC22" i="1"/>
  <c r="AB22" i="1"/>
  <c r="X22" i="1"/>
  <c r="W22" i="1"/>
  <c r="Y22" i="1" s="1"/>
  <c r="Q22" i="1"/>
  <c r="P22" i="1"/>
  <c r="M22" i="1"/>
  <c r="J22" i="1"/>
  <c r="K22" i="1" s="1"/>
  <c r="AC21" i="1"/>
  <c r="AB21" i="1"/>
  <c r="X21" i="1"/>
  <c r="W21" i="1"/>
  <c r="Q21" i="1"/>
  <c r="P21" i="1"/>
  <c r="M21" i="1"/>
  <c r="J21" i="1"/>
  <c r="K21" i="1" s="1"/>
  <c r="AC20" i="1"/>
  <c r="AB20" i="1"/>
  <c r="X20" i="1"/>
  <c r="W20" i="1"/>
  <c r="Y20" i="1" s="1"/>
  <c r="Q20" i="1"/>
  <c r="P20" i="1"/>
  <c r="M20" i="1"/>
  <c r="J20" i="1"/>
  <c r="K20" i="1" s="1"/>
  <c r="AC19" i="1"/>
  <c r="AB19" i="1"/>
  <c r="X19" i="1"/>
  <c r="W19" i="1"/>
  <c r="Q19" i="1"/>
  <c r="N19" i="1" s="1"/>
  <c r="O19" i="1" s="1"/>
  <c r="P19" i="1"/>
  <c r="J19" i="1"/>
  <c r="K19" i="1" s="1"/>
  <c r="AC18" i="1"/>
  <c r="AB18" i="1"/>
  <c r="X18" i="1"/>
  <c r="W18" i="1"/>
  <c r="Q18" i="1"/>
  <c r="P18" i="1"/>
  <c r="M18" i="1"/>
  <c r="J18" i="1"/>
  <c r="K18" i="1" s="1"/>
  <c r="AC17" i="1"/>
  <c r="AB17" i="1"/>
  <c r="X17" i="1"/>
  <c r="W17" i="1"/>
  <c r="Q17" i="1"/>
  <c r="P17" i="1"/>
  <c r="M17" i="1"/>
  <c r="J17" i="1"/>
  <c r="K17" i="1" s="1"/>
  <c r="AC16" i="1"/>
  <c r="AB16" i="1"/>
  <c r="X16" i="1"/>
  <c r="W16" i="1"/>
  <c r="Q16" i="1"/>
  <c r="P16" i="1"/>
  <c r="M16" i="1"/>
  <c r="J16" i="1"/>
  <c r="K16" i="1" s="1"/>
  <c r="AC15" i="1"/>
  <c r="AB15" i="1"/>
  <c r="X15" i="1"/>
  <c r="W15" i="1"/>
  <c r="Q15" i="1"/>
  <c r="P15" i="1"/>
  <c r="M15" i="1"/>
  <c r="J15" i="1"/>
  <c r="K15" i="1" s="1"/>
  <c r="AC14" i="1"/>
  <c r="AB14" i="1"/>
  <c r="X14" i="1"/>
  <c r="W14" i="1"/>
  <c r="Q14" i="1"/>
  <c r="P14" i="1"/>
  <c r="M14" i="1"/>
  <c r="J14" i="1"/>
  <c r="K14" i="1" s="1"/>
  <c r="AC13" i="1"/>
  <c r="AB13" i="1"/>
  <c r="X13" i="1"/>
  <c r="W13" i="1"/>
  <c r="Q13" i="1"/>
  <c r="P13" i="1"/>
  <c r="M13" i="1"/>
  <c r="J13" i="1"/>
  <c r="K13" i="1" s="1"/>
  <c r="AC12" i="1"/>
  <c r="AB12" i="1"/>
  <c r="AD12" i="1" s="1"/>
  <c r="X12" i="1"/>
  <c r="W12" i="1"/>
  <c r="Q12" i="1"/>
  <c r="P12" i="1"/>
  <c r="M12" i="1"/>
  <c r="J12" i="1"/>
  <c r="K12" i="1" s="1"/>
  <c r="AC11" i="1"/>
  <c r="AB11" i="1"/>
  <c r="AD11" i="1" s="1"/>
  <c r="X11" i="1"/>
  <c r="Y11" i="1" s="1"/>
  <c r="W11" i="1"/>
  <c r="N11" i="1"/>
  <c r="O11" i="1" s="1"/>
  <c r="K11" i="1"/>
  <c r="AD46" i="1" l="1"/>
  <c r="AD13" i="1"/>
  <c r="AD78" i="1"/>
  <c r="N21" i="1"/>
  <c r="N44" i="1"/>
  <c r="O44" i="1" s="1"/>
  <c r="Y21" i="1"/>
  <c r="AD19" i="1"/>
  <c r="AD20" i="1"/>
  <c r="AD21" i="1"/>
  <c r="N61" i="1"/>
  <c r="W58" i="1"/>
  <c r="Y58" i="1" s="1"/>
  <c r="N70" i="1"/>
  <c r="O70" i="1" s="1"/>
  <c r="N72" i="1"/>
  <c r="O72" i="1" s="1"/>
  <c r="X35" i="1"/>
  <c r="Y77" i="1"/>
  <c r="N16" i="1"/>
  <c r="O16" i="1" s="1"/>
  <c r="N18" i="1"/>
  <c r="O18" i="1" s="1"/>
  <c r="W49" i="1"/>
  <c r="Y49" i="1" s="1"/>
  <c r="W65" i="1"/>
  <c r="Y65" i="1" s="1"/>
  <c r="Y45" i="1"/>
  <c r="W48" i="1"/>
  <c r="Y48" i="1" s="1"/>
  <c r="X54" i="1"/>
  <c r="Y54" i="1" s="1"/>
  <c r="W64" i="1"/>
  <c r="Y64" i="1" s="1"/>
  <c r="X70" i="1"/>
  <c r="Y70" i="1" s="1"/>
  <c r="W72" i="1"/>
  <c r="Y72" i="1" s="1"/>
  <c r="N80" i="1"/>
  <c r="O80" i="1" s="1"/>
  <c r="W37" i="1"/>
  <c r="Y37" i="1" s="1"/>
  <c r="W38" i="1"/>
  <c r="Y38" i="1" s="1"/>
  <c r="AC47" i="1"/>
  <c r="AD47" i="1" s="1"/>
  <c r="N51" i="1"/>
  <c r="O51" i="1" s="1"/>
  <c r="AC63" i="1"/>
  <c r="N67" i="1"/>
  <c r="O67" i="1" s="1"/>
  <c r="AB70" i="1"/>
  <c r="AD70" i="1" s="1"/>
  <c r="AC71" i="1"/>
  <c r="AD71" i="1" s="1"/>
  <c r="Y16" i="1"/>
  <c r="Y19" i="1"/>
  <c r="N34" i="1"/>
  <c r="O34" i="1" s="1"/>
  <c r="N43" i="1"/>
  <c r="O43" i="1" s="1"/>
  <c r="N39" i="1"/>
  <c r="O39" i="1" s="1"/>
  <c r="AD18" i="1"/>
  <c r="X32" i="1"/>
  <c r="Y32" i="1" s="1"/>
  <c r="Y14" i="1"/>
  <c r="Y15" i="1"/>
  <c r="Y18" i="1"/>
  <c r="AB38" i="1"/>
  <c r="AD38" i="1" s="1"/>
  <c r="AC39" i="1"/>
  <c r="AD43" i="1"/>
  <c r="AD44" i="1"/>
  <c r="AB53" i="1"/>
  <c r="AD53" i="1" s="1"/>
  <c r="N57" i="1"/>
  <c r="O57" i="1" s="1"/>
  <c r="W61" i="1"/>
  <c r="Y61" i="1" s="1"/>
  <c r="AC69" i="1"/>
  <c r="AD69" i="1" s="1"/>
  <c r="AB73" i="1"/>
  <c r="AD73" i="1" s="1"/>
  <c r="AD77" i="1"/>
  <c r="AB35" i="1"/>
  <c r="AD35" i="1" s="1"/>
  <c r="X59" i="1"/>
  <c r="Y59" i="1" s="1"/>
  <c r="AB60" i="1"/>
  <c r="AD60" i="1" s="1"/>
  <c r="AB62" i="1"/>
  <c r="AD62" i="1" s="1"/>
  <c r="AD30" i="1"/>
  <c r="AD17" i="1"/>
  <c r="AB49" i="1"/>
  <c r="AD49" i="1" s="1"/>
  <c r="AC50" i="1"/>
  <c r="AD50" i="1" s="1"/>
  <c r="AB65" i="1"/>
  <c r="AD65" i="1" s="1"/>
  <c r="AC66" i="1"/>
  <c r="AD66" i="1" s="1"/>
  <c r="AC34" i="1"/>
  <c r="AD34" i="1" s="1"/>
  <c r="N31" i="1"/>
  <c r="O31" i="1" s="1"/>
  <c r="N48" i="1"/>
  <c r="O48" i="1" s="1"/>
  <c r="N64" i="1"/>
  <c r="O64" i="1" s="1"/>
  <c r="AB33" i="1"/>
  <c r="AD33" i="1" s="1"/>
  <c r="Y12" i="1"/>
  <c r="Y13" i="1"/>
  <c r="N32" i="1"/>
  <c r="O32" i="1" s="1"/>
  <c r="Y44" i="1"/>
  <c r="X73" i="1"/>
  <c r="Y73" i="1" s="1"/>
  <c r="AD31" i="1"/>
  <c r="AC36" i="1"/>
  <c r="AD36" i="1" s="1"/>
  <c r="N45" i="1"/>
  <c r="O45" i="1" s="1"/>
  <c r="W50" i="1"/>
  <c r="Y50" i="1" s="1"/>
  <c r="N53" i="1"/>
  <c r="O53" i="1" s="1"/>
  <c r="W56" i="1"/>
  <c r="Y56" i="1" s="1"/>
  <c r="W57" i="1"/>
  <c r="Y57" i="1" s="1"/>
  <c r="AC58" i="1"/>
  <c r="AD58" i="1" s="1"/>
  <c r="N62" i="1"/>
  <c r="O62" i="1" s="1"/>
  <c r="W66" i="1"/>
  <c r="Y66" i="1" s="1"/>
  <c r="N69" i="1"/>
  <c r="O69" i="1" s="1"/>
  <c r="Y78" i="1"/>
  <c r="W80" i="1"/>
  <c r="Y80" i="1" s="1"/>
  <c r="N30" i="1"/>
  <c r="O30" i="1" s="1"/>
  <c r="AB54" i="1"/>
  <c r="AD54" i="1" s="1"/>
  <c r="AB61" i="1"/>
  <c r="AD61" i="1" s="1"/>
  <c r="W79" i="1"/>
  <c r="Y79" i="1" s="1"/>
  <c r="N29" i="1"/>
  <c r="O29" i="1" s="1"/>
  <c r="W39" i="1"/>
  <c r="Y39" i="1" s="1"/>
  <c r="N49" i="1"/>
  <c r="O49" i="1" s="1"/>
  <c r="W53" i="1"/>
  <c r="Y53" i="1" s="1"/>
  <c r="AC55" i="1"/>
  <c r="AD55" i="1" s="1"/>
  <c r="N58" i="1"/>
  <c r="O58" i="1" s="1"/>
  <c r="N65" i="1"/>
  <c r="O65" i="1" s="1"/>
  <c r="W69" i="1"/>
  <c r="Y69" i="1" s="1"/>
  <c r="O77" i="1"/>
  <c r="N13" i="1"/>
  <c r="O13" i="1" s="1"/>
  <c r="AD22" i="1"/>
  <c r="AD28" i="1"/>
  <c r="Y29" i="1"/>
  <c r="Y30" i="1"/>
  <c r="W34" i="1"/>
  <c r="Y34" i="1" s="1"/>
  <c r="N35" i="1"/>
  <c r="O35" i="1" s="1"/>
  <c r="Y46" i="1"/>
  <c r="O50" i="1"/>
  <c r="X51" i="1"/>
  <c r="Y51" i="1" s="1"/>
  <c r="AB52" i="1"/>
  <c r="AD52" i="1" s="1"/>
  <c r="AB57" i="1"/>
  <c r="AD57" i="1" s="1"/>
  <c r="N59" i="1"/>
  <c r="O59" i="1" s="1"/>
  <c r="O61" i="1"/>
  <c r="X62" i="1"/>
  <c r="Y62" i="1" s="1"/>
  <c r="O66" i="1"/>
  <c r="X67" i="1"/>
  <c r="Y67" i="1" s="1"/>
  <c r="AB68" i="1"/>
  <c r="AD68" i="1" s="1"/>
  <c r="AB80" i="1"/>
  <c r="AD80" i="1" s="1"/>
  <c r="N17" i="1"/>
  <c r="AD14" i="1"/>
  <c r="AD15" i="1"/>
  <c r="Y17" i="1"/>
  <c r="AD29" i="1"/>
  <c r="Y35" i="1"/>
  <c r="N38" i="1"/>
  <c r="O38" i="1" s="1"/>
  <c r="N54" i="1"/>
  <c r="O54" i="1" s="1"/>
  <c r="N56" i="1"/>
  <c r="O56" i="1" s="1"/>
  <c r="AD16" i="1"/>
  <c r="O21" i="1"/>
  <c r="AD39" i="1"/>
  <c r="AD63" i="1"/>
  <c r="O78" i="1"/>
  <c r="N79" i="1"/>
  <c r="O79" i="1" s="1"/>
  <c r="N28" i="1"/>
  <c r="O28" i="1" s="1"/>
  <c r="N36" i="1"/>
  <c r="O36" i="1" s="1"/>
  <c r="N47" i="1"/>
  <c r="O47" i="1" s="1"/>
  <c r="N55" i="1"/>
  <c r="O55" i="1" s="1"/>
  <c r="N63" i="1"/>
  <c r="O63" i="1" s="1"/>
  <c r="N71" i="1"/>
  <c r="O71" i="1" s="1"/>
  <c r="N20" i="1"/>
  <c r="O20" i="1" s="1"/>
  <c r="N12" i="1"/>
  <c r="O12" i="1" s="1"/>
  <c r="N15" i="1"/>
  <c r="O15" i="1" s="1"/>
  <c r="N14" i="1"/>
  <c r="O14" i="1" s="1"/>
  <c r="O17" i="1"/>
  <c r="N22" i="1"/>
  <c r="O22" i="1" s="1"/>
  <c r="AB32" i="1"/>
  <c r="AD32" i="1" s="1"/>
  <c r="N33" i="1"/>
  <c r="O33" i="1" s="1"/>
  <c r="W36" i="1"/>
  <c r="Y36" i="1" s="1"/>
  <c r="N46" i="1"/>
  <c r="O46" i="1" s="1"/>
  <c r="W47" i="1"/>
  <c r="Y47" i="1" s="1"/>
  <c r="AB51" i="1"/>
  <c r="AD51" i="1" s="1"/>
  <c r="N52" i="1"/>
  <c r="O52" i="1" s="1"/>
  <c r="W55" i="1"/>
  <c r="Y55" i="1" s="1"/>
  <c r="AB59" i="1"/>
  <c r="AD59" i="1" s="1"/>
  <c r="N60" i="1"/>
  <c r="O60" i="1" s="1"/>
  <c r="W63" i="1"/>
  <c r="Y63" i="1" s="1"/>
  <c r="AB67" i="1"/>
  <c r="AD67" i="1" s="1"/>
  <c r="N68" i="1"/>
  <c r="O68" i="1" s="1"/>
  <c r="W71" i="1"/>
  <c r="Y71" i="1" s="1"/>
  <c r="W33" i="1"/>
  <c r="Y33" i="1" s="1"/>
  <c r="AB37" i="1"/>
  <c r="AD37" i="1" s="1"/>
  <c r="AB48" i="1"/>
  <c r="AD48" i="1" s="1"/>
  <c r="W52" i="1"/>
  <c r="Y52" i="1" s="1"/>
  <c r="AB56" i="1"/>
  <c r="AD56" i="1" s="1"/>
  <c r="W60" i="1"/>
  <c r="Y60" i="1" s="1"/>
  <c r="AB64" i="1"/>
  <c r="AD64" i="1" s="1"/>
  <c r="W68" i="1"/>
  <c r="Y68" i="1" s="1"/>
  <c r="AB72" i="1"/>
  <c r="AD72" i="1" s="1"/>
  <c r="N73" i="1"/>
  <c r="O73" i="1" s="1"/>
  <c r="AB79" i="1"/>
  <c r="AD79" i="1" s="1"/>
</calcChain>
</file>

<file path=xl/sharedStrings.xml><?xml version="1.0" encoding="utf-8"?>
<sst xmlns="http://schemas.openxmlformats.org/spreadsheetml/2006/main" count="1035" uniqueCount="410">
  <si>
    <t>DATA FROM THIS STUDY</t>
  </si>
  <si>
    <t>The "0"  indice in the isotpes represents the present day value, and the "T" indice represents initial value (at the time of formation).</t>
  </si>
  <si>
    <t xml:space="preserve">~Age T (Ma) represents an average of the age for rocks that have age (T) data with errors. </t>
  </si>
  <si>
    <t>WHOLE ROCKS (analyzed through SOLUTION ICPMS)</t>
  </si>
  <si>
    <t>Label in graph</t>
  </si>
  <si>
    <t>Deposit</t>
  </si>
  <si>
    <t>Sample name</t>
  </si>
  <si>
    <t>Lithology</t>
  </si>
  <si>
    <t>Sm (ppm)</t>
  </si>
  <si>
    <t>Nd (ppm)</t>
  </si>
  <si>
    <t>Age reference</t>
  </si>
  <si>
    <t>Felsic intrusions</t>
  </si>
  <si>
    <t>Mactung</t>
  </si>
  <si>
    <t>97.6 ± 0.2 Ma</t>
  </si>
  <si>
    <t>Gebru (2017)</t>
  </si>
  <si>
    <t>Metasediments</t>
  </si>
  <si>
    <t>Argillite</t>
  </si>
  <si>
    <t>Cantung</t>
  </si>
  <si>
    <t>98.2 ± 0.4 Ma</t>
  </si>
  <si>
    <t>Rasmussen (2013)</t>
  </si>
  <si>
    <t>97.3 ±0.3 Ma</t>
  </si>
  <si>
    <t>Lamprophyre</t>
  </si>
  <si>
    <t>541-509 Ma (Lower Cambrian Sekwi Fm)</t>
  </si>
  <si>
    <t>Blusson (1968)</t>
  </si>
  <si>
    <t>U2602-140</t>
  </si>
  <si>
    <t>SCHEELITE (analyzed through SOLUTION ICPMS)</t>
  </si>
  <si>
    <t>Facies</t>
  </si>
  <si>
    <r>
      <t>147</t>
    </r>
    <r>
      <rPr>
        <b/>
        <sz val="12"/>
        <rFont val="Calibri"/>
        <family val="2"/>
        <scheme val="minor"/>
      </rPr>
      <t>Sm/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</si>
  <si>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 xml:space="preserve">Nd </t>
    </r>
    <r>
      <rPr>
        <b/>
        <vertAlign val="subscript"/>
        <sz val="12"/>
        <rFont val="Calibri"/>
        <family val="2"/>
        <scheme val="minor"/>
      </rPr>
      <t>0</t>
    </r>
  </si>
  <si>
    <r>
      <t xml:space="preserve">2SE on </t>
    </r>
    <r>
      <rPr>
        <b/>
        <vertAlign val="superscript"/>
        <sz val="12"/>
        <rFont val="Calibri (Body)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 (Body)"/>
      </rPr>
      <t>144</t>
    </r>
    <r>
      <rPr>
        <b/>
        <sz val="12"/>
        <rFont val="Calibri"/>
        <family val="2"/>
        <scheme val="minor"/>
      </rPr>
      <t xml:space="preserve">Nd </t>
    </r>
    <r>
      <rPr>
        <b/>
        <vertAlign val="subscript"/>
        <sz val="12"/>
        <rFont val="Calibri (Body)"/>
      </rPr>
      <t>0</t>
    </r>
  </si>
  <si>
    <r>
      <t xml:space="preserve">ε Nd </t>
    </r>
    <r>
      <rPr>
        <b/>
        <vertAlign val="subscript"/>
        <sz val="12"/>
        <rFont val="Calibri"/>
        <family val="2"/>
        <scheme val="minor"/>
      </rPr>
      <t>0</t>
    </r>
  </si>
  <si>
    <r>
      <t xml:space="preserve">2SE on ε Nd </t>
    </r>
    <r>
      <rPr>
        <b/>
        <vertAlign val="subscript"/>
        <sz val="12"/>
        <rFont val="Calibri (Body)"/>
      </rPr>
      <t>0</t>
    </r>
  </si>
  <si>
    <r>
      <t>T</t>
    </r>
    <r>
      <rPr>
        <b/>
        <vertAlign val="subscript"/>
        <sz val="12"/>
        <rFont val="Calibri"/>
        <family val="2"/>
        <scheme val="minor"/>
      </rPr>
      <t xml:space="preserve">DM </t>
    </r>
    <r>
      <rPr>
        <b/>
        <sz val="12"/>
        <rFont val="Calibri (Body)"/>
      </rPr>
      <t>(</t>
    </r>
    <r>
      <rPr>
        <b/>
        <sz val="12"/>
        <rFont val="Calibri"/>
        <family val="2"/>
        <scheme val="minor"/>
      </rPr>
      <t>Ga)</t>
    </r>
  </si>
  <si>
    <t>97.5 ± 0.5 Ma</t>
  </si>
  <si>
    <t>Selby et al. (2003) (Re–Os in molybdenite)</t>
  </si>
  <si>
    <t xml:space="preserve">97.5 ± 0.5 Ma </t>
  </si>
  <si>
    <t>94.6  ±  2.1 Ma</t>
  </si>
  <si>
    <t>Elongo et al. unpublished  (Re–Os in molybdenite)</t>
  </si>
  <si>
    <t>18-CA-51</t>
  </si>
  <si>
    <t>SCHEELITE (analyzed through LASS ICPMS; transects through grains)</t>
  </si>
  <si>
    <t>SCHEELITE (analyzed through LASS ICPMS)</t>
  </si>
  <si>
    <t>Average LASS ICPMS data used for plotting purposes</t>
  </si>
  <si>
    <t>LITERATURE DATA</t>
  </si>
  <si>
    <r>
      <rPr>
        <b/>
        <sz val="16"/>
        <color rgb="FFC00000"/>
        <rFont val="Calibri"/>
        <family val="2"/>
        <scheme val="minor"/>
      </rPr>
      <t>RED = RAW DATA FROM THE LITERATURE</t>
    </r>
    <r>
      <rPr>
        <b/>
        <sz val="16"/>
        <rFont val="Calibri"/>
        <family val="2"/>
        <scheme val="minor"/>
      </rPr>
      <t xml:space="preserve">; </t>
    </r>
    <r>
      <rPr>
        <b/>
        <sz val="16"/>
        <color theme="9" tint="-0.249977111117893"/>
        <rFont val="Calibri"/>
        <family val="2"/>
        <scheme val="minor"/>
      </rPr>
      <t>GREEN=CALCULATED IN THIS STUDY FROM LITERATURE DATA</t>
    </r>
  </si>
  <si>
    <t>Geological object / Location</t>
  </si>
  <si>
    <r>
      <t>147</t>
    </r>
    <r>
      <rPr>
        <b/>
        <sz val="12"/>
        <color rgb="FFC00000"/>
        <rFont val="Calibri"/>
        <family val="2"/>
        <scheme val="minor"/>
      </rPr>
      <t>Sm/</t>
    </r>
    <r>
      <rPr>
        <b/>
        <vertAlign val="superscript"/>
        <sz val="12"/>
        <color rgb="FFC00000"/>
        <rFont val="Calibri"/>
        <family val="2"/>
        <scheme val="minor"/>
      </rPr>
      <t>144</t>
    </r>
    <r>
      <rPr>
        <b/>
        <sz val="12"/>
        <color rgb="FFC00000"/>
        <rFont val="Calibri"/>
        <family val="2"/>
        <scheme val="minor"/>
      </rPr>
      <t>Nd</t>
    </r>
  </si>
  <si>
    <r>
      <t>143</t>
    </r>
    <r>
      <rPr>
        <b/>
        <sz val="12"/>
        <color rgb="FFC00000"/>
        <rFont val="Calibri"/>
        <family val="2"/>
        <scheme val="minor"/>
      </rPr>
      <t>Nd/</t>
    </r>
    <r>
      <rPr>
        <b/>
        <vertAlign val="superscript"/>
        <sz val="12"/>
        <color rgb="FFC00000"/>
        <rFont val="Calibri"/>
        <family val="2"/>
        <scheme val="minor"/>
      </rPr>
      <t>144</t>
    </r>
    <r>
      <rPr>
        <b/>
        <sz val="12"/>
        <color rgb="FFC00000"/>
        <rFont val="Calibri"/>
        <family val="2"/>
        <scheme val="minor"/>
      </rPr>
      <t xml:space="preserve">Nd </t>
    </r>
    <r>
      <rPr>
        <b/>
        <vertAlign val="subscript"/>
        <sz val="12"/>
        <color rgb="FFC00000"/>
        <rFont val="Calibri"/>
        <family val="2"/>
        <scheme val="minor"/>
      </rPr>
      <t>0</t>
    </r>
  </si>
  <si>
    <r>
      <t xml:space="preserve">2SE on </t>
    </r>
    <r>
      <rPr>
        <b/>
        <vertAlign val="superscript"/>
        <sz val="12"/>
        <color rgb="FFC00000"/>
        <rFont val="Calibri (Body)"/>
      </rPr>
      <t>143</t>
    </r>
    <r>
      <rPr>
        <b/>
        <sz val="12"/>
        <color rgb="FFC00000"/>
        <rFont val="Calibri"/>
        <family val="2"/>
        <scheme val="minor"/>
      </rPr>
      <t>Nd/</t>
    </r>
    <r>
      <rPr>
        <b/>
        <vertAlign val="superscript"/>
        <sz val="12"/>
        <color rgb="FFC00000"/>
        <rFont val="Calibri (Body)"/>
      </rPr>
      <t>144</t>
    </r>
    <r>
      <rPr>
        <b/>
        <sz val="12"/>
        <color rgb="FFC00000"/>
        <rFont val="Calibri"/>
        <family val="2"/>
        <scheme val="minor"/>
      </rPr>
      <t xml:space="preserve">Nd </t>
    </r>
    <r>
      <rPr>
        <b/>
        <vertAlign val="subscript"/>
        <sz val="12"/>
        <color rgb="FFC00000"/>
        <rFont val="Calibri (Body)"/>
      </rPr>
      <t>0</t>
    </r>
  </si>
  <si>
    <r>
      <t xml:space="preserve">ε Nd </t>
    </r>
    <r>
      <rPr>
        <b/>
        <vertAlign val="subscript"/>
        <sz val="12"/>
        <color theme="9" tint="-0.249977111117893"/>
        <rFont val="Calibri"/>
        <family val="2"/>
        <scheme val="minor"/>
      </rPr>
      <t>0</t>
    </r>
  </si>
  <si>
    <r>
      <t xml:space="preserve">2SE on ε Nd </t>
    </r>
    <r>
      <rPr>
        <b/>
        <vertAlign val="subscript"/>
        <sz val="12"/>
        <color theme="9" tint="-0.249977111117893"/>
        <rFont val="Calibri (Body)"/>
      </rPr>
      <t>0</t>
    </r>
  </si>
  <si>
    <r>
      <t>T</t>
    </r>
    <r>
      <rPr>
        <b/>
        <vertAlign val="subscript"/>
        <sz val="12"/>
        <color theme="9" tint="-0.249977111117893"/>
        <rFont val="Calibri"/>
        <family val="2"/>
        <scheme val="minor"/>
      </rPr>
      <t xml:space="preserve">DM </t>
    </r>
    <r>
      <rPr>
        <b/>
        <sz val="12"/>
        <color theme="9" tint="-0.249977111117893"/>
        <rFont val="Calibri (Body)"/>
      </rPr>
      <t>(</t>
    </r>
    <r>
      <rPr>
        <b/>
        <sz val="12"/>
        <color theme="9" tint="-0.249977111117893"/>
        <rFont val="Calibri"/>
        <family val="2"/>
        <scheme val="minor"/>
      </rPr>
      <t>Ga)</t>
    </r>
  </si>
  <si>
    <t>Raw data source</t>
  </si>
  <si>
    <t>Central Yukon</t>
  </si>
  <si>
    <t>Minette</t>
  </si>
  <si>
    <t>Lamprophyre (Minette)</t>
  </si>
  <si>
    <t xml:space="preserve">Scheelite Dome </t>
  </si>
  <si>
    <t>90.2 ± 0.5</t>
  </si>
  <si>
    <t>Mair et al. (2011)</t>
  </si>
  <si>
    <t>East Ridge minette (ERM)</t>
  </si>
  <si>
    <t>ERM - Cpx</t>
  </si>
  <si>
    <t>ERM - apatite</t>
  </si>
  <si>
    <t>ERM - K-spar</t>
  </si>
  <si>
    <t>SD-104A</t>
  </si>
  <si>
    <t>Lamprophyre (Spessartite)</t>
  </si>
  <si>
    <t>SD-103 A</t>
  </si>
  <si>
    <t>KR-05-157</t>
  </si>
  <si>
    <t>Mafic dyke</t>
  </si>
  <si>
    <r>
      <t>Near Roy pluton (</t>
    </r>
    <r>
      <rPr>
        <i/>
        <sz val="11"/>
        <rFont val="Calibri"/>
        <family val="2"/>
        <scheme val="minor"/>
      </rPr>
      <t>SW Northwest Territories</t>
    </r>
    <r>
      <rPr>
        <sz val="11"/>
        <rFont val="Calibri"/>
        <family val="2"/>
        <scheme val="minor"/>
      </rPr>
      <t>)</t>
    </r>
  </si>
  <si>
    <t>KR-05-213</t>
  </si>
  <si>
    <t>Lamprophyre (kersantite )</t>
  </si>
  <si>
    <r>
      <t>Cantung deposit (</t>
    </r>
    <r>
      <rPr>
        <i/>
        <sz val="11"/>
        <rFont val="Calibri"/>
        <family val="2"/>
        <scheme val="minor"/>
      </rPr>
      <t>SW Northwest Territories</t>
    </r>
    <r>
      <rPr>
        <sz val="11"/>
        <rFont val="Calibri"/>
        <family val="2"/>
        <scheme val="minor"/>
      </rPr>
      <t>)</t>
    </r>
  </si>
  <si>
    <t>KR-05-77</t>
  </si>
  <si>
    <r>
      <t>Near Pelly river pluton (</t>
    </r>
    <r>
      <rPr>
        <i/>
        <sz val="11"/>
        <rFont val="Calibri"/>
        <family val="2"/>
        <scheme val="minor"/>
      </rPr>
      <t>Eastern Yukon</t>
    </r>
    <r>
      <rPr>
        <sz val="11"/>
        <rFont val="Calibri"/>
        <family val="2"/>
        <scheme val="minor"/>
      </rPr>
      <t>)</t>
    </r>
  </si>
  <si>
    <t>Northeastern Yukon</t>
  </si>
  <si>
    <t>Quartz syenite</t>
  </si>
  <si>
    <t xml:space="preserve">Bonnet Plume River Intrusions </t>
  </si>
  <si>
    <t>1711.1± 5.1</t>
  </si>
  <si>
    <t>Thorkelson et al. (2001)</t>
  </si>
  <si>
    <t>Diorite</t>
  </si>
  <si>
    <t>1709± 1.4</t>
  </si>
  <si>
    <t>Imperial Sikanni Chief (at 3 km depth drillcore)</t>
  </si>
  <si>
    <t>Monzogranite</t>
  </si>
  <si>
    <r>
      <t>Fort Simpson magnetic High (</t>
    </r>
    <r>
      <rPr>
        <i/>
        <sz val="11"/>
        <rFont val="Calibri"/>
        <family val="2"/>
        <scheme val="minor"/>
      </rPr>
      <t>Northeastern British Columbia</t>
    </r>
    <r>
      <rPr>
        <sz val="11"/>
        <rFont val="Calibri"/>
        <family val="2"/>
        <scheme val="minor"/>
      </rPr>
      <t>)</t>
    </r>
  </si>
  <si>
    <t>1845± 3</t>
  </si>
  <si>
    <t>Villeneuve et al. (1991)</t>
  </si>
  <si>
    <t>Imperial Island River (at 2.5 km depth drillcore)</t>
  </si>
  <si>
    <t>Granodiorite</t>
  </si>
  <si>
    <r>
      <t>Fort Simpson magnetic High (</t>
    </r>
    <r>
      <rPr>
        <i/>
        <sz val="11"/>
        <rFont val="Calibri"/>
        <family val="2"/>
        <scheme val="minor"/>
      </rPr>
      <t>Southern Yukon</t>
    </r>
    <r>
      <rPr>
        <sz val="11"/>
        <rFont val="Calibri"/>
        <family val="2"/>
        <scheme val="minor"/>
      </rPr>
      <t>)</t>
    </r>
  </si>
  <si>
    <t>Northern Alberta</t>
  </si>
  <si>
    <t>Imperial Wolverine</t>
  </si>
  <si>
    <t>Syenogranite</t>
  </si>
  <si>
    <t>Taltson domain</t>
  </si>
  <si>
    <t>2174± 54</t>
  </si>
  <si>
    <t>Theriault and Ross (1991)</t>
  </si>
  <si>
    <t>Merrill Arab Chard</t>
  </si>
  <si>
    <t>1973± 5</t>
  </si>
  <si>
    <t>ROC Watchusk Lake</t>
  </si>
  <si>
    <t>1948±4</t>
  </si>
  <si>
    <t>Bear Vampire # 1</t>
  </si>
  <si>
    <t>California Standard Mikkwa</t>
  </si>
  <si>
    <t>Biotite-hornblende granite</t>
  </si>
  <si>
    <t>1937±61</t>
  </si>
  <si>
    <t>Chevron Irving Cadotte</t>
  </si>
  <si>
    <t>Granitic gneiss</t>
  </si>
  <si>
    <t>Buffalo Head domain</t>
  </si>
  <si>
    <t>2165±5</t>
  </si>
  <si>
    <t>Fina Keg River</t>
  </si>
  <si>
    <t>1993±10</t>
  </si>
  <si>
    <t>Canadian Hunter et al. Golden</t>
  </si>
  <si>
    <t>1990±13</t>
  </si>
  <si>
    <t>Imperial Pelican Hills</t>
  </si>
  <si>
    <t>2017±2</t>
  </si>
  <si>
    <t>Fina IOE Buffalo Creek</t>
  </si>
  <si>
    <t>2202±196</t>
  </si>
  <si>
    <t>Dome et al. Peavine</t>
  </si>
  <si>
    <t>Leucogranite</t>
  </si>
  <si>
    <t>2072±6</t>
  </si>
  <si>
    <t>Chevron Hunt Creek</t>
  </si>
  <si>
    <t>1991±225</t>
  </si>
  <si>
    <t>Clear Hills</t>
  </si>
  <si>
    <t>Felsic metavolcanic</t>
  </si>
  <si>
    <t>2257±25</t>
  </si>
  <si>
    <t>Chevron et al. Sheldon</t>
  </si>
  <si>
    <t>Monzonite gneiss</t>
  </si>
  <si>
    <t>Chinchaga domain</t>
  </si>
  <si>
    <t>2159±11</t>
  </si>
  <si>
    <t>Two Creek</t>
  </si>
  <si>
    <t>Quartzofeldspathic gneiss</t>
  </si>
  <si>
    <t>2186±68</t>
  </si>
  <si>
    <t>Scurry Rainbow Caribou Banff</t>
  </si>
  <si>
    <t>Porphyritic granite</t>
  </si>
  <si>
    <t>2088±23</t>
  </si>
  <si>
    <t>Phillips Ksituan #1</t>
  </si>
  <si>
    <t>Ksituan domain</t>
  </si>
  <si>
    <t>1986±11</t>
  </si>
  <si>
    <t>Honolulu Belloy</t>
  </si>
  <si>
    <t>1988±3</t>
  </si>
  <si>
    <t>Northwestern British Columbia, near Watson Lake</t>
  </si>
  <si>
    <t>IIC-6</t>
  </si>
  <si>
    <t>Basalt</t>
  </si>
  <si>
    <t>Iskut-Unuk rivers volcanic field (~220km SSW of Watson Lake)</t>
  </si>
  <si>
    <t>2.5-0 (Recent to Quaternary)</t>
  </si>
  <si>
    <t>Cousens and Bevier (1995)</t>
  </si>
  <si>
    <t>IIC-7</t>
  </si>
  <si>
    <t xml:space="preserve">Iskut-Unuk rivers volcanic field </t>
  </si>
  <si>
    <t>IIC-8</t>
  </si>
  <si>
    <t>ICG-9</t>
  </si>
  <si>
    <t>ICG-11</t>
  </si>
  <si>
    <t>ICM-20</t>
  </si>
  <si>
    <t>IKC-22</t>
  </si>
  <si>
    <t>ILF-24</t>
  </si>
  <si>
    <t>ILF-25</t>
  </si>
  <si>
    <t>ILF-30</t>
  </si>
  <si>
    <t>Southwestern Yukon</t>
  </si>
  <si>
    <t>RA-20</t>
  </si>
  <si>
    <t>Watson Lake</t>
  </si>
  <si>
    <t>Abraham et al. (2001)</t>
  </si>
  <si>
    <t>GM 97 S8</t>
  </si>
  <si>
    <t>Basaltic andesite to rhyolite</t>
  </si>
  <si>
    <t xml:space="preserve">Mount Skukum Volcanic Complex </t>
  </si>
  <si>
    <t>57.3–55.4</t>
  </si>
  <si>
    <t>GM 97 S9</t>
  </si>
  <si>
    <t>GM 97 S10</t>
  </si>
  <si>
    <t>GM 97 S17</t>
  </si>
  <si>
    <t>GM 97 S19</t>
  </si>
  <si>
    <t>GM 97 S23</t>
  </si>
  <si>
    <t>GM 97 S39</t>
  </si>
  <si>
    <t>GM 97 S46</t>
  </si>
  <si>
    <t>GM 97 S93</t>
  </si>
  <si>
    <t>GM 97 B53</t>
  </si>
  <si>
    <t>Bennett Lake Volcanic Complex</t>
  </si>
  <si>
    <t>GM 97 B55</t>
  </si>
  <si>
    <t>GM 97 B56</t>
  </si>
  <si>
    <t>GM 97 B58</t>
  </si>
  <si>
    <t>GM 97 B63</t>
  </si>
  <si>
    <t>GM 97 B70</t>
  </si>
  <si>
    <t>GM 97 B74</t>
  </si>
  <si>
    <t>GM 97 B82</t>
  </si>
  <si>
    <t>Western Nothwest Territories</t>
  </si>
  <si>
    <t>R496</t>
  </si>
  <si>
    <t>Continental tholeiites</t>
  </si>
  <si>
    <t>Little Dal basalts</t>
  </si>
  <si>
    <t>Dudas and Lustwerk (1997)</t>
  </si>
  <si>
    <t>TC1-1</t>
  </si>
  <si>
    <t>TC 1-2</t>
  </si>
  <si>
    <t>XBA- 15B</t>
  </si>
  <si>
    <t>XBA-25</t>
  </si>
  <si>
    <t>R420</t>
  </si>
  <si>
    <t>19-4</t>
  </si>
  <si>
    <t>Tsezotene sills</t>
  </si>
  <si>
    <t>779 ± 2</t>
  </si>
  <si>
    <t>43A</t>
  </si>
  <si>
    <t>Imperial Virginia Mills</t>
  </si>
  <si>
    <t>Metagabbro</t>
  </si>
  <si>
    <t>1998±5</t>
  </si>
  <si>
    <t>Imperial Joussard</t>
  </si>
  <si>
    <t>2324±5</t>
  </si>
  <si>
    <t>H. B. East Virginia Hills</t>
  </si>
  <si>
    <t>2332±202</t>
  </si>
  <si>
    <t>Yukon and Northwest Territories</t>
  </si>
  <si>
    <t>CJA- 108/3</t>
  </si>
  <si>
    <t>Sandstone</t>
  </si>
  <si>
    <t>Slats Creek Formation</t>
  </si>
  <si>
    <t>Garzione et al. (1997)</t>
  </si>
  <si>
    <t>CJA- l08/4</t>
  </si>
  <si>
    <t>Siltstone</t>
  </si>
  <si>
    <t>95CG 17</t>
  </si>
  <si>
    <t>Shale</t>
  </si>
  <si>
    <t>Road River Group</t>
  </si>
  <si>
    <t>95CG 18</t>
  </si>
  <si>
    <t>95CG 19</t>
  </si>
  <si>
    <t>95CG 16</t>
  </si>
  <si>
    <t>95CG 15</t>
  </si>
  <si>
    <t>95CG6</t>
  </si>
  <si>
    <t>95CG23</t>
  </si>
  <si>
    <t>Michelle</t>
  </si>
  <si>
    <t>95CG 14</t>
  </si>
  <si>
    <t>Canol</t>
  </si>
  <si>
    <t>95CG9</t>
  </si>
  <si>
    <t>95CG 1 *</t>
  </si>
  <si>
    <t>Imperial</t>
  </si>
  <si>
    <t>95CG2'</t>
  </si>
  <si>
    <t>95CG5a</t>
  </si>
  <si>
    <t>95CG4*</t>
  </si>
  <si>
    <t>95CG3*</t>
  </si>
  <si>
    <t>95CG7*</t>
  </si>
  <si>
    <t>95CG8*</t>
  </si>
  <si>
    <t>95CG 12</t>
  </si>
  <si>
    <t>Tuttle</t>
  </si>
  <si>
    <t>95CG 1 1</t>
  </si>
  <si>
    <t>95CG 10</t>
  </si>
  <si>
    <t>Ford Lake</t>
  </si>
  <si>
    <t>95CG20</t>
  </si>
  <si>
    <t>C52501</t>
  </si>
  <si>
    <t>Besa River</t>
  </si>
  <si>
    <t>95CG2 1</t>
  </si>
  <si>
    <t>Hart River</t>
  </si>
  <si>
    <t>95CG32</t>
  </si>
  <si>
    <t>Keno Hill</t>
  </si>
  <si>
    <t>95CG24</t>
  </si>
  <si>
    <t>Blackie</t>
  </si>
  <si>
    <t>95CG22</t>
  </si>
  <si>
    <t>Etrain</t>
  </si>
  <si>
    <t>47BR-95B</t>
  </si>
  <si>
    <t>Jungle Creek</t>
  </si>
  <si>
    <t>95CG33</t>
  </si>
  <si>
    <t>Mt Christie</t>
  </si>
  <si>
    <t>Eastern Yukon</t>
  </si>
  <si>
    <t>105I-796002</t>
  </si>
  <si>
    <t>Howard Pass (Earn Group)</t>
  </si>
  <si>
    <t>419-385Ma (Devonian)</t>
  </si>
  <si>
    <t>Cousens (2007)</t>
  </si>
  <si>
    <t>105I-796015</t>
  </si>
  <si>
    <t>Black shale</t>
  </si>
  <si>
    <t>105I-796018</t>
  </si>
  <si>
    <t>Mudstone</t>
  </si>
  <si>
    <t>Howard Pass (Road River Group)</t>
  </si>
  <si>
    <t>443-419 (Silurian)</t>
  </si>
  <si>
    <t>105I-796047</t>
  </si>
  <si>
    <t>Carbonaceous shale</t>
  </si>
  <si>
    <t>105I-796098</t>
  </si>
  <si>
    <t>Siliceous shale</t>
  </si>
  <si>
    <t>105I-796110</t>
  </si>
  <si>
    <t>105O-798071</t>
  </si>
  <si>
    <t>Jason deposit (Earn Group)</t>
  </si>
  <si>
    <t>ORO103</t>
  </si>
  <si>
    <t>Silty limestone</t>
  </si>
  <si>
    <t>Howard Pass (Rabbitkettle Fm)</t>
  </si>
  <si>
    <t>497-485.4 Ma (Upper Cambrian Rabbitkettle Fm)</t>
  </si>
  <si>
    <t>ORO122</t>
  </si>
  <si>
    <t>Baritic silty shale</t>
  </si>
  <si>
    <t>105I-SL0108</t>
  </si>
  <si>
    <t>Summit Lake (Earn Group)</t>
  </si>
  <si>
    <t>Windermere Supergroup</t>
  </si>
  <si>
    <t>95CG28</t>
  </si>
  <si>
    <t>Windermere SG (Hyland Group)</t>
  </si>
  <si>
    <t>95CG29</t>
  </si>
  <si>
    <t>95CG26</t>
  </si>
  <si>
    <t>95CG27</t>
  </si>
  <si>
    <t>95CG25</t>
  </si>
  <si>
    <t>Mackenzie Mountains Supergroup</t>
  </si>
  <si>
    <t>Northwest Territories</t>
  </si>
  <si>
    <t>CJ-77-156</t>
  </si>
  <si>
    <t>Mackenzie Mountains SG (Mudcracked Fm., Lower Little Dal Gp.)</t>
  </si>
  <si>
    <t>1000-720 (Early Neoproterozoic )</t>
  </si>
  <si>
    <t>Rainbird et al. (1997)</t>
  </si>
  <si>
    <t>CJ-77-166</t>
  </si>
  <si>
    <t>Shaly sandstone</t>
  </si>
  <si>
    <t>Mackenzie Mountains SG (Unit K5 Katherine Gp.)</t>
  </si>
  <si>
    <t>CJ-77-167B</t>
  </si>
  <si>
    <t>Mackenzie Mountains SG (Unit K6 Katherine Gp.)</t>
  </si>
  <si>
    <t>CJ-77-182</t>
  </si>
  <si>
    <t>Mackenzie Mountains SG (Unit K7 Katherine Gp.)</t>
  </si>
  <si>
    <t>Wernecke Supergroup</t>
  </si>
  <si>
    <t>DT-92-77-1B</t>
  </si>
  <si>
    <t>Wernecke Breccia</t>
  </si>
  <si>
    <t>Wernecke SG</t>
  </si>
  <si>
    <t>Thorkelson et al. (2005)</t>
  </si>
  <si>
    <t>DT-93-11-3B</t>
  </si>
  <si>
    <t>DT-93-107-2B</t>
  </si>
  <si>
    <t>DT-93-160-3B</t>
  </si>
  <si>
    <t>DT-94-13-1</t>
  </si>
  <si>
    <t>DT-92-55-1B</t>
  </si>
  <si>
    <t>Quartet Group (siliciclastic)</t>
  </si>
  <si>
    <t>DT-92-27-2</t>
  </si>
  <si>
    <t>DT-92-80-1B</t>
  </si>
  <si>
    <t>Gillespie Lake Group  (siliciclastic)</t>
  </si>
  <si>
    <t>DT-93-129-1B</t>
  </si>
  <si>
    <t>Gillespie Lake Group  (dolostone)</t>
  </si>
  <si>
    <t>DT-92-129-2B</t>
  </si>
  <si>
    <t>DT-92-99-1</t>
  </si>
  <si>
    <t>DT-92-126-1</t>
  </si>
  <si>
    <t>DT-92-129-1</t>
  </si>
  <si>
    <t>DT-92-132-7</t>
  </si>
  <si>
    <t>Paleozoic metasediments</t>
  </si>
  <si>
    <r>
      <t>Goldstein, S. L., O'nions, R. K., &amp; Hamilton, P. J. (1984). A Sm-Nd isotopic study of atmospheric dusts and particulates from major river systems. </t>
    </r>
    <r>
      <rPr>
        <i/>
        <sz val="11"/>
        <color rgb="FF222222"/>
        <rFont val="Arial"/>
        <family val="2"/>
      </rPr>
      <t>Earth and planetary Science letters</t>
    </r>
    <r>
      <rPr>
        <sz val="11"/>
        <color rgb="FF222222"/>
        <rFont val="Arial"/>
        <family val="2"/>
      </rPr>
      <t>, </t>
    </r>
    <r>
      <rPr>
        <i/>
        <sz val="11"/>
        <color rgb="FF222222"/>
        <rFont val="Arial"/>
        <family val="2"/>
      </rPr>
      <t>70</t>
    </r>
    <r>
      <rPr>
        <sz val="11"/>
        <color rgb="FF222222"/>
        <rFont val="Arial"/>
        <family val="2"/>
      </rPr>
      <t>(2), 221-236.</t>
    </r>
  </si>
  <si>
    <r>
      <t>Jacobsen, S. B., &amp; Wasserburg, G. J. (1980). Sm-Nd isotopic evolution of chondrites. </t>
    </r>
    <r>
      <rPr>
        <i/>
        <sz val="11"/>
        <color rgb="FF222222"/>
        <rFont val="Arial"/>
        <family val="2"/>
      </rPr>
      <t>Earth and Planetary Science Letters</t>
    </r>
    <r>
      <rPr>
        <sz val="11"/>
        <color rgb="FF222222"/>
        <rFont val="Arial"/>
        <family val="2"/>
      </rPr>
      <t>, </t>
    </r>
    <r>
      <rPr>
        <i/>
        <sz val="11"/>
        <color rgb="FF222222"/>
        <rFont val="Arial"/>
        <family val="2"/>
      </rPr>
      <t>50</t>
    </r>
    <r>
      <rPr>
        <sz val="11"/>
        <color rgb="FF222222"/>
        <rFont val="Arial"/>
        <family val="2"/>
      </rPr>
      <t>(1), 139-155.</t>
    </r>
  </si>
  <si>
    <r>
      <t>T</t>
    </r>
    <r>
      <rPr>
        <vertAlign val="subscript"/>
        <sz val="12"/>
        <rFont val="Calibri (Body)"/>
      </rPr>
      <t>DM</t>
    </r>
    <r>
      <rPr>
        <sz val="12"/>
        <rFont val="Calibri"/>
        <family val="2"/>
        <scheme val="minor"/>
      </rPr>
      <t xml:space="preserve"> not calculated for samples with </t>
    </r>
    <r>
      <rPr>
        <vertAlign val="superscript"/>
        <sz val="12"/>
        <rFont val="Calibri (Body)"/>
      </rPr>
      <t>147</t>
    </r>
    <r>
      <rPr>
        <sz val="12"/>
        <rFont val="Calibri"/>
        <family val="2"/>
        <scheme val="minor"/>
      </rPr>
      <t>Sm/</t>
    </r>
    <r>
      <rPr>
        <vertAlign val="superscript"/>
        <sz val="12"/>
        <rFont val="Calibri (Body)"/>
      </rPr>
      <t>144</t>
    </r>
    <r>
      <rPr>
        <sz val="12"/>
        <rFont val="Calibri"/>
        <family val="2"/>
        <scheme val="minor"/>
      </rPr>
      <t>Nd &gt; 0.14.</t>
    </r>
  </si>
  <si>
    <r>
      <t xml:space="preserve">Present-day Depleted Mantle parameters used are </t>
    </r>
    <r>
      <rPr>
        <vertAlign val="superscript"/>
        <sz val="12"/>
        <color theme="1"/>
        <rFont val="Calibri (Body)"/>
      </rPr>
      <t>147</t>
    </r>
    <r>
      <rPr>
        <sz val="12"/>
        <color theme="1"/>
        <rFont val="Calibri"/>
        <family val="2"/>
        <scheme val="minor"/>
      </rPr>
      <t>Sm/</t>
    </r>
    <r>
      <rPr>
        <vertAlign val="superscript"/>
        <sz val="12"/>
        <color theme="1"/>
        <rFont val="Calibri (Body)"/>
      </rPr>
      <t>144</t>
    </r>
    <r>
      <rPr>
        <sz val="12"/>
        <color theme="1"/>
        <rFont val="Calibri"/>
        <family val="2"/>
        <scheme val="minor"/>
      </rPr>
      <t xml:space="preserve">Nd = 0.2136, </t>
    </r>
    <r>
      <rPr>
        <vertAlign val="superscript"/>
        <sz val="12"/>
        <color theme="1"/>
        <rFont val="Calibri (Body)"/>
      </rPr>
      <t>143</t>
    </r>
    <r>
      <rPr>
        <sz val="12"/>
        <color theme="1"/>
        <rFont val="Calibri"/>
        <family val="2"/>
        <scheme val="minor"/>
      </rPr>
      <t xml:space="preserve">Nd/ </t>
    </r>
    <r>
      <rPr>
        <vertAlign val="superscript"/>
        <sz val="12"/>
        <color theme="1"/>
        <rFont val="Calibri (Body)"/>
      </rPr>
      <t>144</t>
    </r>
    <r>
      <rPr>
        <sz val="12"/>
        <color theme="1"/>
        <rFont val="Calibri"/>
        <family val="2"/>
        <scheme val="minor"/>
      </rPr>
      <t xml:space="preserve">Nd = 0.513163 (Goldstein et al., 1984).  Present-day CHUR parameters used are </t>
    </r>
    <r>
      <rPr>
        <vertAlign val="superscript"/>
        <sz val="12"/>
        <color theme="1"/>
        <rFont val="Calibri (Body)"/>
      </rPr>
      <t>147</t>
    </r>
    <r>
      <rPr>
        <sz val="12"/>
        <color theme="1"/>
        <rFont val="Calibri"/>
        <family val="2"/>
        <scheme val="minor"/>
      </rPr>
      <t>Sm/</t>
    </r>
    <r>
      <rPr>
        <vertAlign val="superscript"/>
        <sz val="12"/>
        <color theme="1"/>
        <rFont val="Calibri (Body)"/>
      </rPr>
      <t>144</t>
    </r>
    <r>
      <rPr>
        <sz val="12"/>
        <color theme="1"/>
        <rFont val="Calibri"/>
        <family val="2"/>
        <scheme val="minor"/>
      </rPr>
      <t xml:space="preserve">Nd = 0.1966 and </t>
    </r>
    <r>
      <rPr>
        <vertAlign val="superscript"/>
        <sz val="12"/>
        <color theme="1"/>
        <rFont val="Calibri (Body)"/>
      </rPr>
      <t>143</t>
    </r>
    <r>
      <rPr>
        <sz val="12"/>
        <color theme="1"/>
        <rFont val="Calibri"/>
        <family val="2"/>
        <scheme val="minor"/>
      </rPr>
      <t xml:space="preserve">Nd/ </t>
    </r>
    <r>
      <rPr>
        <vertAlign val="superscript"/>
        <sz val="12"/>
        <color theme="1"/>
        <rFont val="Calibri (Body)"/>
      </rPr>
      <t>144</t>
    </r>
    <r>
      <rPr>
        <sz val="12"/>
        <color theme="1"/>
        <rFont val="Calibri"/>
        <family val="2"/>
        <scheme val="minor"/>
      </rPr>
      <t xml:space="preserve">Nd = 0.512638 (Jacobsen and Wasserburg, 1980). </t>
    </r>
  </si>
  <si>
    <t>18-MA-13</t>
  </si>
  <si>
    <t>18-MA-03</t>
  </si>
  <si>
    <t>MS177 86.2-86.3</t>
  </si>
  <si>
    <t>18-MA-10</t>
  </si>
  <si>
    <t>S12-39 913</t>
  </si>
  <si>
    <t>S13-06 666.5-668</t>
  </si>
  <si>
    <t>18-CA-11</t>
  </si>
  <si>
    <t>18-CA-37</t>
  </si>
  <si>
    <t>18-CA-05</t>
  </si>
  <si>
    <t>18-CA-10</t>
  </si>
  <si>
    <t>MS231 60-60.3</t>
  </si>
  <si>
    <t>18-MA-02</t>
  </si>
  <si>
    <t>MS161 185.6-185.9</t>
  </si>
  <si>
    <t>18-CA-28</t>
  </si>
  <si>
    <t>18-CA-29b</t>
  </si>
  <si>
    <t>18-CA-31a</t>
  </si>
  <si>
    <t>18-CA-47</t>
  </si>
  <si>
    <t>18-CA-50</t>
  </si>
  <si>
    <t>Argillite (Unit 1)</t>
  </si>
  <si>
    <t>Granitoid (Mactung South Pluton)</t>
  </si>
  <si>
    <t>Granitoid (Mactung North Pluton)</t>
  </si>
  <si>
    <t>Granitoid (Mine Stock pluton)</t>
  </si>
  <si>
    <t>Aplite dyke</t>
  </si>
  <si>
    <t>Lamprophyre dyke</t>
  </si>
  <si>
    <t>Argillite (Upper)</t>
  </si>
  <si>
    <t>Argillite (Lower)</t>
  </si>
  <si>
    <t>Limestone (Swiss-Cheese)</t>
  </si>
  <si>
    <t>Pyroxene skarn (Unit 3E) </t>
  </si>
  <si>
    <t>Quartz vein in Mine Stock pluton</t>
  </si>
  <si>
    <t>96.7 ± 0.8 Ma</t>
  </si>
  <si>
    <t>Garnet-pyroxene skarn (Unit 3E)</t>
  </si>
  <si>
    <t>Amphibole-rich facies (Unit 3F)</t>
  </si>
  <si>
    <t>Biotite-rich facies (Ore Limestone)</t>
  </si>
  <si>
    <t>Garnet-pyroxene skarn (Ore Limestone)</t>
  </si>
  <si>
    <t>Pyroxene skarn (Swiss-Cheese Limestone)</t>
  </si>
  <si>
    <t>Amphibole-rich facies (Swiss-Cheese Limestone)</t>
  </si>
  <si>
    <t>96.7 ± 0.8</t>
  </si>
  <si>
    <t>95.7 ± 0.7</t>
  </si>
  <si>
    <t>96.5 ± 0.7</t>
  </si>
  <si>
    <t xml:space="preserve">~Age t (Ma) </t>
  </si>
  <si>
    <t>CHUR at age t</t>
  </si>
  <si>
    <t>Age t range (Ma)</t>
  </si>
  <si>
    <t>CHUR at t max</t>
  </si>
  <si>
    <t>εNd at t max</t>
  </si>
  <si>
    <t>CHUR at t min</t>
  </si>
  <si>
    <t>εNd at t min</t>
  </si>
  <si>
    <r>
      <t xml:space="preserve">Additional data for maximum and minimum </t>
    </r>
    <r>
      <rPr>
        <b/>
        <sz val="11"/>
        <rFont val="Symbol"/>
        <charset val="2"/>
      </rPr>
      <t>e</t>
    </r>
    <r>
      <rPr>
        <b/>
        <sz val="11"/>
        <rFont val="Calibri"/>
        <family val="2"/>
        <scheme val="minor"/>
      </rPr>
      <t>Nd - Calculated for samples that have age (t) data with errors - Source for εNd error bars in graphs</t>
    </r>
  </si>
  <si>
    <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  <r>
      <rPr>
        <b/>
        <vertAlign val="subscript"/>
        <sz val="12"/>
        <rFont val="Calibri (Body)"/>
      </rPr>
      <t xml:space="preserve"> t </t>
    </r>
  </si>
  <si>
    <r>
      <t xml:space="preserve">εNd </t>
    </r>
    <r>
      <rPr>
        <b/>
        <vertAlign val="subscript"/>
        <sz val="12"/>
        <rFont val="Calibri (Body)"/>
      </rPr>
      <t>t</t>
    </r>
  </si>
  <si>
    <r>
      <t xml:space="preserve">2SE  on εNd </t>
    </r>
    <r>
      <rPr>
        <b/>
        <vertAlign val="subscript"/>
        <sz val="12"/>
        <rFont val="Calibri (Body)"/>
      </rPr>
      <t>t</t>
    </r>
  </si>
  <si>
    <r>
      <rPr>
        <b/>
        <vertAlign val="superscript"/>
        <sz val="12"/>
        <rFont val="Calibri (Body)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 (Body)"/>
      </rPr>
      <t>144</t>
    </r>
    <r>
      <rPr>
        <b/>
        <sz val="12"/>
        <rFont val="Calibri"/>
        <family val="2"/>
        <scheme val="minor"/>
      </rPr>
      <t>Nd at t max</t>
    </r>
  </si>
  <si>
    <r>
      <rPr>
        <b/>
        <vertAlign val="superscript"/>
        <sz val="12"/>
        <rFont val="Calibri (Body)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 (Body)"/>
      </rPr>
      <t>144</t>
    </r>
    <r>
      <rPr>
        <b/>
        <sz val="12"/>
        <rFont val="Calibri"/>
        <family val="2"/>
        <scheme val="minor"/>
      </rPr>
      <t>Nd at t min</t>
    </r>
  </si>
  <si>
    <r>
      <t>143</t>
    </r>
    <r>
      <rPr>
        <b/>
        <sz val="12"/>
        <color theme="9" tint="-0.249977111117893"/>
        <rFont val="Calibri"/>
        <family val="2"/>
        <scheme val="minor"/>
      </rPr>
      <t>Nd/</t>
    </r>
    <r>
      <rPr>
        <b/>
        <vertAlign val="superscript"/>
        <sz val="12"/>
        <color theme="9" tint="-0.249977111117893"/>
        <rFont val="Calibri"/>
        <family val="2"/>
        <scheme val="minor"/>
      </rPr>
      <t>144</t>
    </r>
    <r>
      <rPr>
        <b/>
        <sz val="12"/>
        <color theme="9" tint="-0.249977111117893"/>
        <rFont val="Calibri"/>
        <family val="2"/>
        <scheme val="minor"/>
      </rPr>
      <t xml:space="preserve">Nd </t>
    </r>
    <r>
      <rPr>
        <b/>
        <vertAlign val="subscript"/>
        <sz val="12"/>
        <color theme="9" tint="-0.249977111117893"/>
        <rFont val="Calibri (Body)"/>
      </rPr>
      <t xml:space="preserve">t </t>
    </r>
  </si>
  <si>
    <r>
      <t xml:space="preserve">ε Nd </t>
    </r>
    <r>
      <rPr>
        <b/>
        <vertAlign val="subscript"/>
        <sz val="12"/>
        <color theme="9" tint="-0.249977111117893"/>
        <rFont val="Calibri (Body)"/>
      </rPr>
      <t>t</t>
    </r>
  </si>
  <si>
    <r>
      <t xml:space="preserve">2SE  on ε Nd </t>
    </r>
    <r>
      <rPr>
        <b/>
        <vertAlign val="subscript"/>
        <sz val="12"/>
        <color theme="9" tint="-0.249977111117893"/>
        <rFont val="Calibri (Body)"/>
      </rPr>
      <t>t</t>
    </r>
  </si>
  <si>
    <t>Age t range  (Ma)</t>
  </si>
  <si>
    <t>Additional data for maximum and minimum eNd - Calculated for samples that have age (t) data with errors - Source for εNd error bars in graphs</t>
  </si>
  <si>
    <r>
      <t>143</t>
    </r>
    <r>
      <rPr>
        <b/>
        <sz val="12"/>
        <color theme="9" tint="-0.249977111117893"/>
        <rFont val="Calibri"/>
        <family val="2"/>
        <scheme val="minor"/>
      </rPr>
      <t>Nd/</t>
    </r>
    <r>
      <rPr>
        <b/>
        <vertAlign val="superscript"/>
        <sz val="12"/>
        <color theme="9" tint="-0.249977111117893"/>
        <rFont val="Calibri"/>
        <family val="2"/>
        <scheme val="minor"/>
      </rPr>
      <t>144</t>
    </r>
    <r>
      <rPr>
        <b/>
        <sz val="12"/>
        <color theme="9" tint="-0.249977111117893"/>
        <rFont val="Calibri"/>
        <family val="2"/>
        <scheme val="minor"/>
      </rPr>
      <t>Nd at t max</t>
    </r>
  </si>
  <si>
    <t>ε Nd at t max</t>
  </si>
  <si>
    <t>t max (Ma)</t>
  </si>
  <si>
    <t>t min (Ma)</t>
  </si>
  <si>
    <r>
      <t>143</t>
    </r>
    <r>
      <rPr>
        <b/>
        <sz val="12"/>
        <color theme="9" tint="-0.249977111117893"/>
        <rFont val="Calibri"/>
        <family val="2"/>
        <scheme val="minor"/>
      </rPr>
      <t>Nd/</t>
    </r>
    <r>
      <rPr>
        <b/>
        <vertAlign val="superscript"/>
        <sz val="12"/>
        <color theme="9" tint="-0.249977111117893"/>
        <rFont val="Calibri"/>
        <family val="2"/>
        <scheme val="minor"/>
      </rPr>
      <t>144</t>
    </r>
    <r>
      <rPr>
        <b/>
        <sz val="12"/>
        <color theme="9" tint="-0.249977111117893"/>
        <rFont val="Calibri"/>
        <family val="2"/>
        <scheme val="minor"/>
      </rPr>
      <t>Nd at t min</t>
    </r>
  </si>
  <si>
    <t xml:space="preserve"> ε Nd at t min</t>
  </si>
  <si>
    <t>IGNEOUS / META-IGNEOUS UNITS</t>
  </si>
  <si>
    <t>Felsic (meta-) igneous rocks</t>
  </si>
  <si>
    <t>Mafic (meta-) igneous rocks</t>
  </si>
  <si>
    <t>SEDIMENTARY / META-SEDIMENTARY UNITS</t>
  </si>
  <si>
    <t>Morris and Creaser (2003)</t>
  </si>
  <si>
    <t>References</t>
  </si>
  <si>
    <r>
      <t xml:space="preserve">Mair, J. L., Farmer, G. L., Groves, D. I., Hart, C. J., &amp; Goldfarb, R. J. (2011). Petrogenesis of postcollisional magmatism at Scheelite Dome, Yukon, Canada: evidence for a lithospheric mantle source for magmas associated with intrusion-related gold systems. </t>
    </r>
    <r>
      <rPr>
        <i/>
        <sz val="12"/>
        <color rgb="FF222222"/>
        <rFont val="Calibri"/>
        <family val="2"/>
        <scheme val="minor"/>
      </rPr>
      <t>Economic Geology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106</t>
    </r>
    <r>
      <rPr>
        <sz val="12"/>
        <color rgb="FF222222"/>
        <rFont val="Calibri"/>
        <family val="2"/>
        <scheme val="minor"/>
      </rPr>
      <t>(3), 451-480.</t>
    </r>
  </si>
  <si>
    <t>Rasmussen, K.L. (2013) The timing, composition, and petrogenesis of syn- to post-accretionary magmatism in the northern Cordilleran miogeocline, eastern Yukon and southwestern Northwest Territories. Ph.D. Thesis, University of British Columbia, Vancouver, British Columbia, Canada, 788 pp.</t>
  </si>
  <si>
    <t>ThorkeThorkelson, D. J., Mortensen, J. K., Creaser, R. A., Davidson, G. J., &amp; Abbott, J. G. (2001). Early Proterozoic magmatism in Yukon, Canada: constraints on the evolution of northwestern Laurentia. Canadian Journal of Earth Sciences, 38(10), 1479-1494.lson et al. (2001)</t>
  </si>
  <si>
    <r>
      <t xml:space="preserve">Villeneuve, M. E., Thériault, R. J., &amp; Ross, G. M. (1991). U–Pb ages and Sm–Nd signature of two subsurface granites from the Fort Simpson magnetic high, northwest Canada. </t>
    </r>
    <r>
      <rPr>
        <i/>
        <sz val="12"/>
        <color rgb="FF222222"/>
        <rFont val="Calibri"/>
        <family val="2"/>
        <scheme val="minor"/>
      </rPr>
      <t>Canadian Journal of Earth Sciences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28</t>
    </r>
    <r>
      <rPr>
        <sz val="12"/>
        <color rgb="FF222222"/>
        <rFont val="Calibri"/>
        <family val="2"/>
        <scheme val="minor"/>
      </rPr>
      <t>(7), 1003-1008.</t>
    </r>
  </si>
  <si>
    <r>
      <t xml:space="preserve">Thériault, R. J., &amp; Ross, G. M. (1991). Nd isotopic evidence for crustal recycling in the ca. 2.0 Ga subsurface of western Canada. </t>
    </r>
    <r>
      <rPr>
        <i/>
        <sz val="12"/>
        <color rgb="FF222222"/>
        <rFont val="Calibri"/>
        <family val="2"/>
        <scheme val="minor"/>
      </rPr>
      <t>Canadian Journal of Earth Sciences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28</t>
    </r>
    <r>
      <rPr>
        <sz val="12"/>
        <color rgb="FF222222"/>
        <rFont val="Calibri"/>
        <family val="2"/>
        <scheme val="minor"/>
      </rPr>
      <t>(8), 1140-1147.</t>
    </r>
  </si>
  <si>
    <r>
      <t xml:space="preserve">Cousens, B. L., &amp; Bevier, M. L. (1995). Discerning asthenospheric, lithospheric, and crustal influences on the geochemistry of Quaternary basalts from the Iskut–Unuk rivers area, northwestern British Columbia. </t>
    </r>
    <r>
      <rPr>
        <i/>
        <sz val="12"/>
        <color rgb="FF222222"/>
        <rFont val="Calibri"/>
        <family val="2"/>
        <scheme val="minor"/>
      </rPr>
      <t>Canadian Journal of Earth Sciences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32</t>
    </r>
    <r>
      <rPr>
        <sz val="12"/>
        <color rgb="FF222222"/>
        <rFont val="Calibri"/>
        <family val="2"/>
        <scheme val="minor"/>
      </rPr>
      <t>(9), 1451-1461.</t>
    </r>
  </si>
  <si>
    <r>
      <t xml:space="preserve">Abraham, A. C., Francis, D., &amp; Polvé, M. (2001). Recent alkaline basalts as probes of the lithospheric mantle roots of the northern Canadian Cordillera. </t>
    </r>
    <r>
      <rPr>
        <i/>
        <sz val="12"/>
        <color rgb="FF222222"/>
        <rFont val="Calibri"/>
        <family val="2"/>
        <scheme val="minor"/>
      </rPr>
      <t>Chemical Geology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175</t>
    </r>
    <r>
      <rPr>
        <sz val="12"/>
        <color rgb="FF222222"/>
        <rFont val="Calibri"/>
        <family val="2"/>
        <scheme val="minor"/>
      </rPr>
      <t>(3-4), 361-386.</t>
    </r>
  </si>
  <si>
    <t>Morris, G. A., &amp; Creaser, R. A. (2003). Crustal recycling during subduction at the Eocene Cordilleran margin of North America: a petrogenetic study from the southwestern Yukon. Canadian Journal of Earth Sciences, 40(12), 1805-1821.</t>
  </si>
  <si>
    <r>
      <t xml:space="preserve">Dudás, F. Ö., &amp; Lustwerk, R. L. (1997). Geochemistry of the Little Dal basalts: continental tholeiites from the Mackenzie Mountains, Northwest Territories, Canada. </t>
    </r>
    <r>
      <rPr>
        <i/>
        <sz val="12"/>
        <color rgb="FF222222"/>
        <rFont val="Calibri"/>
        <family val="2"/>
        <scheme val="minor"/>
      </rPr>
      <t>Canadian Journal of Earth Sciences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34</t>
    </r>
    <r>
      <rPr>
        <sz val="12"/>
        <color rgb="FF222222"/>
        <rFont val="Calibri"/>
        <family val="2"/>
        <scheme val="minor"/>
      </rPr>
      <t>(1), 50-58.</t>
    </r>
  </si>
  <si>
    <r>
      <t xml:space="preserve">Garzione, C. N., Patchett, P. J., Ross, G. M., &amp; Nelson, J. (1997). Provenance of Paleozoic sedimentary rocks in the Canadian Cordilleran miogeocline: a Nd isotopic study. </t>
    </r>
    <r>
      <rPr>
        <i/>
        <sz val="12"/>
        <color rgb="FF222222"/>
        <rFont val="Calibri"/>
        <family val="2"/>
        <scheme val="minor"/>
      </rPr>
      <t>Canadian Journal of Earth Sciences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34</t>
    </r>
    <r>
      <rPr>
        <sz val="12"/>
        <color rgb="FF222222"/>
        <rFont val="Calibri"/>
        <family val="2"/>
        <scheme val="minor"/>
      </rPr>
      <t>(12), 1603-1618.</t>
    </r>
  </si>
  <si>
    <r>
      <t xml:space="preserve">Cousens, B. L. (2007). Radiogenic isotope studies of Pb-Zn mineralization in the Howards Pass area, Selwyn Basin. </t>
    </r>
    <r>
      <rPr>
        <i/>
        <sz val="12"/>
        <color rgb="FF222222"/>
        <rFont val="Calibri"/>
        <family val="2"/>
        <scheme val="minor"/>
      </rPr>
      <t>Mineral and Energy Resource Potential of the Proposed Expansion to the Nahanni National Park Reserve, North Cordillera, Northwest Territories: Geological Survey of Canada, Open File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5344</t>
    </r>
    <r>
      <rPr>
        <sz val="12"/>
        <color rgb="FF222222"/>
        <rFont val="Calibri"/>
        <family val="2"/>
        <scheme val="minor"/>
      </rPr>
      <t>, 14.</t>
    </r>
  </si>
  <si>
    <r>
      <t xml:space="preserve">Rainbird, R. H., McNicoll, V. J., Theriault, R. J., Heaman, L. M., Abbott, J. G., Long, D. G. F., &amp; Thorkelson, D. J. (1997). Pan-continental river system draining Grenville Orogen recorded by U-Pb and Sm-Nd geochronology of Neoproterozoic quartzarenites and mudrocks, northwestern Canada. </t>
    </r>
    <r>
      <rPr>
        <i/>
        <sz val="12"/>
        <color rgb="FF222222"/>
        <rFont val="Calibri"/>
        <family val="2"/>
        <scheme val="minor"/>
      </rPr>
      <t>The Journal of Geology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105</t>
    </r>
    <r>
      <rPr>
        <sz val="12"/>
        <color rgb="FF222222"/>
        <rFont val="Calibri"/>
        <family val="2"/>
        <scheme val="minor"/>
      </rPr>
      <t>(1), 1-17.</t>
    </r>
  </si>
  <si>
    <r>
      <t xml:space="preserve">Thorkelson, D. J., Abbott, J. G., Mortensen, J. K., Creaser, R. A., Villeneuve, M. E., McNicoll, V. J., &amp; Layer, P. W. (2005). Early and middle Proterozoic evolution of Yukon, Canada. </t>
    </r>
    <r>
      <rPr>
        <i/>
        <sz val="12"/>
        <color rgb="FF222222"/>
        <rFont val="Calibri"/>
        <family val="2"/>
        <scheme val="minor"/>
      </rPr>
      <t>Canadian Journal of Earth Sciences</t>
    </r>
    <r>
      <rPr>
        <sz val="12"/>
        <color rgb="FF222222"/>
        <rFont val="Calibri"/>
        <family val="2"/>
        <scheme val="minor"/>
      </rPr>
      <t xml:space="preserve">, </t>
    </r>
    <r>
      <rPr>
        <i/>
        <sz val="12"/>
        <color rgb="FF222222"/>
        <rFont val="Calibri"/>
        <family val="2"/>
        <scheme val="minor"/>
      </rPr>
      <t>42</t>
    </r>
    <r>
      <rPr>
        <sz val="12"/>
        <color rgb="FF222222"/>
        <rFont val="Calibri"/>
        <family val="2"/>
        <scheme val="minor"/>
      </rPr>
      <t>(6), 1045-1071.</t>
    </r>
  </si>
  <si>
    <t>Gebru, A. L. (2017). Petrogenesis of Granitoids in the Vicinity of the Mactung Tungsten Skarn Deposit, NE Yukon-Northwest Territories: Characterization of Skarn Mineralization and Causative Plutons through Geological, Petrochemical, Mineralogical, and Geochronological Analysis. UnPub PhD Thesis University of New Brunswick, New Brunswick, Canada.</t>
  </si>
  <si>
    <t>Blusson, S. L. (1968). Geology and tungsten deposits near the headwaters of Flat River, Yukon Territory and southwestern district of Mackenzie, Canada (Vol. 67, No. 22). Department of Energy, Mines and Resources</t>
  </si>
  <si>
    <t>Selby, D., Creaser, R. A., Heaman, L. M., &amp; Hart, C. J. (2003). Re-Os and U-Pb geochronology of the Clear Creek, Dublin Gulch, and Mactung deposits, Tombstone Gold Belt, Yukon, Canada: absolute timing relationships between plutonism and mineralization. Canadian Journal of Earth Sciences, 40(12), 1839-1852.</t>
  </si>
  <si>
    <t>MS161 322-322.3 A</t>
  </si>
  <si>
    <t>Cousens (2007); Age of Rabbitkettle Fm from Gordey and Anderson (1993)</t>
  </si>
  <si>
    <t>Gordey and Anderson (1993)</t>
  </si>
  <si>
    <t>635-529 Ma (Lower Cambrian and (?) late Neoproterozoic Vampire Fm</t>
  </si>
  <si>
    <r>
      <t>Gordey, S. P., &amp; Anderson, R. G. (1993). Evolution of the northern Cordilleran miogeocline, Nahanni map area (105I), Yukon and Northwest Territories. </t>
    </r>
    <r>
      <rPr>
        <i/>
        <sz val="12"/>
        <color rgb="FF222222"/>
        <rFont val="Calibri"/>
        <family val="2"/>
        <scheme val="minor"/>
      </rPr>
      <t>Geol. Surv. Canada Mem.</t>
    </r>
    <r>
      <rPr>
        <sz val="12"/>
        <color rgb="FF222222"/>
        <rFont val="Calibri"/>
        <family val="2"/>
        <scheme val="minor"/>
      </rPr>
      <t>, </t>
    </r>
    <r>
      <rPr>
        <i/>
        <sz val="12"/>
        <color rgb="FF222222"/>
        <rFont val="Calibri"/>
        <family val="2"/>
        <scheme val="minor"/>
      </rPr>
      <t>428</t>
    </r>
    <r>
      <rPr>
        <sz val="12"/>
        <color rgb="FF222222"/>
        <rFont val="Calibri"/>
        <family val="2"/>
        <scheme val="minor"/>
      </rPr>
      <t>, 214p.</t>
    </r>
  </si>
  <si>
    <t>Elongo, V., et al., 2022, Ancient roots of tungsten in western North America: Geology, v. 50, https://doi.org/10.1130/G49801.1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</si>
</sst>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0"/>
    <numFmt numFmtId="167" formatCode="0.00000"/>
  </numFmts>
  <fonts count="5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Geneva"/>
      <family val="2"/>
    </font>
    <font>
      <b/>
      <sz val="1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vertAlign val="superscript"/>
      <sz val="12"/>
      <name val="Calibri (Body)"/>
    </font>
    <font>
      <b/>
      <vertAlign val="subscript"/>
      <sz val="12"/>
      <name val="Calibri (Body)"/>
    </font>
    <font>
      <b/>
      <sz val="12"/>
      <name val="Calibri (Body)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vertAlign val="superscript"/>
      <sz val="12"/>
      <color rgb="FFC00000"/>
      <name val="Calibri"/>
      <family val="2"/>
      <scheme val="minor"/>
    </font>
    <font>
      <b/>
      <vertAlign val="subscript"/>
      <sz val="12"/>
      <color rgb="FFC00000"/>
      <name val="Calibri"/>
      <family val="2"/>
      <scheme val="minor"/>
    </font>
    <font>
      <b/>
      <vertAlign val="superscript"/>
      <sz val="12"/>
      <color rgb="FFC00000"/>
      <name val="Calibri (Body)"/>
    </font>
    <font>
      <b/>
      <vertAlign val="subscript"/>
      <sz val="12"/>
      <color rgb="FFC00000"/>
      <name val="Calibri (Body)"/>
    </font>
    <font>
      <b/>
      <vertAlign val="subscript"/>
      <sz val="12"/>
      <color theme="9" tint="-0.249977111117893"/>
      <name val="Calibri"/>
      <family val="2"/>
      <scheme val="minor"/>
    </font>
    <font>
      <b/>
      <vertAlign val="subscript"/>
      <sz val="12"/>
      <color theme="9" tint="-0.249977111117893"/>
      <name val="Calibri (Body)"/>
    </font>
    <font>
      <b/>
      <vertAlign val="superscript"/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 (Body)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222222"/>
      <name val="Arial"/>
      <family val="2"/>
    </font>
    <font>
      <i/>
      <sz val="11"/>
      <color rgb="FF222222"/>
      <name val="Arial"/>
      <family val="2"/>
    </font>
    <font>
      <vertAlign val="superscript"/>
      <sz val="12"/>
      <color theme="1"/>
      <name val="Calibri (Body)"/>
    </font>
    <font>
      <vertAlign val="subscript"/>
      <sz val="12"/>
      <name val="Calibri (Body)"/>
    </font>
    <font>
      <vertAlign val="superscript"/>
      <sz val="12"/>
      <name val="Calibri (Body)"/>
    </font>
    <font>
      <sz val="11"/>
      <color theme="1"/>
      <name val="Calibri"/>
      <family val="2"/>
      <scheme val="minor"/>
    </font>
    <font>
      <b/>
      <sz val="11"/>
      <name val="Symbol"/>
      <charset val="2"/>
    </font>
    <font>
      <sz val="12"/>
      <color rgb="FF222222"/>
      <name val="Calibri"/>
      <family val="2"/>
      <scheme val="minor"/>
    </font>
    <font>
      <i/>
      <sz val="12"/>
      <color rgb="FF222222"/>
      <name val="Calibri"/>
      <family val="2"/>
      <scheme val="minor"/>
    </font>
    <font>
      <sz val="12"/>
      <color rgb="FF222222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3" fillId="0" borderId="0"/>
    <xf numFmtId="0" fontId="48" fillId="0" borderId="0"/>
  </cellStyleXfs>
  <cellXfs count="14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164" fontId="11" fillId="0" borderId="0" xfId="0" applyNumberFormat="1" applyFont="1" applyAlignment="1">
      <alignment horizontal="left"/>
    </xf>
    <xf numFmtId="166" fontId="12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11" fillId="0" borderId="0" xfId="0" applyNumberFormat="1" applyFont="1"/>
    <xf numFmtId="164" fontId="9" fillId="0" borderId="0" xfId="0" applyNumberFormat="1" applyFont="1"/>
    <xf numFmtId="2" fontId="11" fillId="0" borderId="0" xfId="1" applyNumberFormat="1" applyFont="1" applyAlignment="1">
      <alignment horizontal="left"/>
    </xf>
    <xf numFmtId="165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  <xf numFmtId="167" fontId="9" fillId="0" borderId="0" xfId="0" applyNumberFormat="1" applyFont="1"/>
    <xf numFmtId="0" fontId="9" fillId="4" borderId="0" xfId="0" applyFont="1" applyFill="1"/>
    <xf numFmtId="167" fontId="9" fillId="4" borderId="0" xfId="0" applyNumberFormat="1" applyFont="1" applyFill="1"/>
    <xf numFmtId="1" fontId="11" fillId="4" borderId="0" xfId="0" applyNumberFormat="1" applyFont="1" applyFill="1"/>
    <xf numFmtId="164" fontId="9" fillId="4" borderId="0" xfId="0" applyNumberFormat="1" applyFont="1" applyFill="1"/>
    <xf numFmtId="2" fontId="11" fillId="4" borderId="0" xfId="0" applyNumberFormat="1" applyFont="1" applyFill="1" applyAlignment="1">
      <alignment horizontal="left"/>
    </xf>
    <xf numFmtId="165" fontId="11" fillId="4" borderId="0" xfId="0" applyNumberFormat="1" applyFont="1" applyFill="1" applyAlignment="1">
      <alignment horizontal="left"/>
    </xf>
    <xf numFmtId="166" fontId="11" fillId="4" borderId="0" xfId="0" applyNumberFormat="1" applyFont="1" applyFill="1" applyAlignment="1">
      <alignment horizontal="left"/>
    </xf>
    <xf numFmtId="164" fontId="14" fillId="4" borderId="0" xfId="0" applyNumberFormat="1" applyFont="1" applyFill="1" applyAlignment="1">
      <alignment horizontal="left"/>
    </xf>
    <xf numFmtId="164" fontId="11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/>
    </xf>
    <xf numFmtId="164" fontId="11" fillId="5" borderId="0" xfId="0" applyNumberFormat="1" applyFont="1" applyFill="1" applyAlignment="1">
      <alignment horizontal="left"/>
    </xf>
    <xf numFmtId="164" fontId="9" fillId="5" borderId="0" xfId="0" applyNumberFormat="1" applyFont="1" applyFill="1" applyAlignment="1">
      <alignment horizontal="left"/>
    </xf>
    <xf numFmtId="0" fontId="9" fillId="5" borderId="0" xfId="0" applyFont="1" applyFill="1" applyAlignment="1">
      <alignment horizontal="left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/>
    <xf numFmtId="2" fontId="4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/>
    <xf numFmtId="2" fontId="9" fillId="0" borderId="0" xfId="1" applyNumberFormat="1" applyFont="1" applyAlignment="1">
      <alignment horizontal="left"/>
    </xf>
    <xf numFmtId="2" fontId="9" fillId="3" borderId="0" xfId="0" applyNumberFormat="1" applyFont="1" applyFill="1" applyAlignment="1">
      <alignment horizontal="left"/>
    </xf>
    <xf numFmtId="167" fontId="9" fillId="0" borderId="0" xfId="0" applyNumberFormat="1" applyFont="1" applyAlignment="1">
      <alignment horizontal="left"/>
    </xf>
    <xf numFmtId="167" fontId="9" fillId="3" borderId="0" xfId="0" applyNumberFormat="1" applyFont="1" applyFill="1" applyAlignment="1">
      <alignment horizontal="left"/>
    </xf>
    <xf numFmtId="164" fontId="9" fillId="3" borderId="0" xfId="0" applyNumberFormat="1" applyFont="1" applyFill="1" applyAlignment="1">
      <alignment horizontal="left"/>
    </xf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4" fillId="2" borderId="0" xfId="0" applyFont="1" applyFill="1" applyAlignment="1">
      <alignment horizontal="left"/>
    </xf>
    <xf numFmtId="0" fontId="2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6" fillId="2" borderId="0" xfId="0" applyFont="1" applyFill="1" applyAlignment="1">
      <alignment horizontal="left"/>
    </xf>
    <xf numFmtId="164" fontId="2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165" fontId="28" fillId="0" borderId="0" xfId="0" applyNumberFormat="1" applyFont="1" applyAlignment="1">
      <alignment horizontal="left"/>
    </xf>
    <xf numFmtId="166" fontId="28" fillId="0" borderId="0" xfId="0" applyNumberFormat="1" applyFont="1" applyAlignment="1">
      <alignment horizontal="left"/>
    </xf>
    <xf numFmtId="164" fontId="29" fillId="0" borderId="0" xfId="0" applyNumberFormat="1" applyFont="1" applyAlignment="1">
      <alignment horizontal="left"/>
    </xf>
    <xf numFmtId="164" fontId="30" fillId="0" borderId="0" xfId="0" applyNumberFormat="1" applyFont="1" applyAlignment="1">
      <alignment horizontal="left"/>
    </xf>
    <xf numFmtId="167" fontId="30" fillId="0" borderId="0" xfId="0" applyNumberFormat="1" applyFont="1" applyAlignment="1">
      <alignment horizontal="left"/>
    </xf>
    <xf numFmtId="2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2" fontId="31" fillId="0" borderId="0" xfId="0" applyNumberFormat="1" applyFont="1" applyAlignment="1">
      <alignment horizontal="left"/>
    </xf>
    <xf numFmtId="165" fontId="32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166" fontId="31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6" fontId="38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/>
    </xf>
    <xf numFmtId="166" fontId="25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2" fontId="26" fillId="0" borderId="0" xfId="0" applyNumberFormat="1" applyFont="1" applyAlignment="1">
      <alignment horizontal="left"/>
    </xf>
    <xf numFmtId="165" fontId="26" fillId="0" borderId="0" xfId="0" applyNumberFormat="1" applyFont="1" applyAlignment="1">
      <alignment horizontal="left"/>
    </xf>
    <xf numFmtId="166" fontId="26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7" fontId="40" fillId="0" borderId="0" xfId="0" applyNumberFormat="1" applyFont="1" applyAlignment="1">
      <alignment horizontal="left"/>
    </xf>
    <xf numFmtId="0" fontId="41" fillId="0" borderId="0" xfId="0" applyFont="1"/>
    <xf numFmtId="165" fontId="42" fillId="0" borderId="0" xfId="0" applyNumberFormat="1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2" borderId="0" xfId="0" applyFont="1" applyFill="1"/>
    <xf numFmtId="1" fontId="48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left"/>
    </xf>
    <xf numFmtId="0" fontId="48" fillId="0" borderId="0" xfId="2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/>
    <xf numFmtId="0" fontId="5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3">
    <cellStyle name="Normal" xfId="0" builtinId="0"/>
    <cellStyle name="Normal 2 2 2" xfId="2" xr:uid="{A28A0084-CF65-744C-9FA5-A22768E83708}"/>
    <cellStyle name="Normal 5" xfId="1" xr:uid="{B664C1B3-83FC-6649-A453-C1E567F80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F4416-491B-9442-BF9A-945BB827C35B}">
  <dimension ref="A1:BM106"/>
  <sheetViews>
    <sheetView tabSelected="1" zoomScale="88" workbookViewId="0"/>
  </sheetViews>
  <sheetFormatPr defaultColWidth="9.125" defaultRowHeight="15"/>
  <cols>
    <col min="1" max="1" width="34" style="14" customWidth="1"/>
    <col min="2" max="2" width="12.5" style="14" customWidth="1"/>
    <col min="3" max="3" width="19.625" style="14" customWidth="1"/>
    <col min="4" max="4" width="32.625" style="14" customWidth="1"/>
    <col min="5" max="5" width="10.875" style="15" customWidth="1"/>
    <col min="6" max="6" width="10.625" style="15" customWidth="1"/>
    <col min="7" max="7" width="12.5" style="15" customWidth="1"/>
    <col min="8" max="8" width="13.5" style="15" customWidth="1"/>
    <col min="9" max="9" width="19.625" style="15" customWidth="1"/>
    <col min="10" max="10" width="9.125" style="16"/>
    <col min="11" max="11" width="12.875" style="15" customWidth="1"/>
    <col min="12" max="12" width="12.375" style="15" customWidth="1"/>
    <col min="13" max="13" width="13.125" style="15" customWidth="1"/>
    <col min="14" max="14" width="9.125" style="16"/>
    <col min="15" max="15" width="12" style="15" customWidth="1"/>
    <col min="16" max="16" width="9.125" style="15"/>
    <col min="17" max="17" width="13" style="15" customWidth="1"/>
    <col min="18" max="18" width="9.125" style="15"/>
    <col min="19" max="19" width="44.375" style="15" customWidth="1"/>
    <col min="20" max="20" width="38" style="15" customWidth="1"/>
    <col min="21" max="21" width="9.125" style="15"/>
    <col min="22" max="22" width="10.625" style="15" customWidth="1"/>
    <col min="23" max="23" width="17.5" style="15" customWidth="1"/>
    <col min="24" max="24" width="12.875" style="15" customWidth="1"/>
    <col min="25" max="25" width="12.125" style="16" customWidth="1"/>
    <col min="26" max="26" width="9.125" style="15"/>
    <col min="27" max="27" width="11" style="15" customWidth="1"/>
    <col min="28" max="28" width="17.125" style="15" customWidth="1"/>
    <col min="29" max="29" width="14.125" style="15" customWidth="1"/>
    <col min="30" max="30" width="13.125" style="16" customWidth="1"/>
    <col min="31" max="16384" width="9.125" style="15"/>
  </cols>
  <sheetData>
    <row r="1" spans="1:65" s="10" customFormat="1" ht="45" customHeight="1">
      <c r="A1" s="1" t="s">
        <v>0</v>
      </c>
      <c r="B1" s="2"/>
      <c r="C1" s="2"/>
      <c r="D1" s="3"/>
      <c r="E1" s="4"/>
      <c r="F1" s="4"/>
      <c r="G1" s="4"/>
      <c r="H1" s="4"/>
      <c r="I1" s="5"/>
      <c r="J1" s="6"/>
      <c r="K1" s="7"/>
      <c r="L1" s="7"/>
      <c r="M1" s="7"/>
      <c r="N1" s="6"/>
      <c r="O1" s="7"/>
      <c r="P1" s="7"/>
      <c r="Q1" s="7"/>
      <c r="R1" s="8"/>
      <c r="S1" s="8"/>
      <c r="T1" s="5"/>
      <c r="U1" s="7"/>
      <c r="V1" s="7"/>
      <c r="W1" s="9"/>
      <c r="X1" s="8"/>
      <c r="Y1" s="5"/>
      <c r="Z1" s="7"/>
      <c r="AA1" s="7"/>
      <c r="AB1" s="6"/>
      <c r="AC1" s="8"/>
      <c r="AD1" s="8"/>
    </row>
    <row r="2" spans="1:65" s="10" customFormat="1" ht="18.75" customHeight="1">
      <c r="A2" s="131" t="s">
        <v>318</v>
      </c>
      <c r="B2" s="2"/>
      <c r="C2" s="2"/>
      <c r="D2" s="3"/>
      <c r="E2" s="4"/>
      <c r="F2" s="4"/>
      <c r="G2" s="4"/>
      <c r="H2" s="4"/>
      <c r="I2" s="5"/>
      <c r="J2" s="6"/>
      <c r="K2" s="7"/>
      <c r="L2" s="7"/>
      <c r="M2" s="7"/>
      <c r="N2" s="6"/>
      <c r="O2" s="7"/>
      <c r="P2" s="7"/>
      <c r="Q2" s="7"/>
      <c r="R2" s="8"/>
      <c r="S2" s="8"/>
      <c r="T2" s="5"/>
      <c r="U2" s="7"/>
      <c r="V2" s="7"/>
      <c r="W2" s="9"/>
      <c r="X2" s="8"/>
      <c r="Y2" s="5"/>
      <c r="Z2" s="7"/>
      <c r="AA2" s="7"/>
      <c r="AB2" s="6"/>
      <c r="AC2" s="8"/>
      <c r="AD2" s="8"/>
    </row>
    <row r="3" spans="1:65" s="10" customFormat="1" ht="15.75">
      <c r="A3" s="11" t="s">
        <v>1</v>
      </c>
      <c r="B3" s="12"/>
      <c r="C3" s="12"/>
      <c r="D3" s="12"/>
      <c r="E3" s="5"/>
      <c r="F3" s="5"/>
      <c r="G3" s="5"/>
      <c r="H3" s="5"/>
      <c r="I3" s="5"/>
      <c r="J3" s="6"/>
      <c r="K3" s="7"/>
      <c r="L3" s="7"/>
      <c r="M3" s="7"/>
      <c r="N3" s="6"/>
      <c r="O3" s="7"/>
      <c r="P3" s="7"/>
      <c r="Q3" s="7"/>
      <c r="R3" s="8"/>
      <c r="S3" s="8"/>
      <c r="T3" s="5"/>
      <c r="U3" s="7"/>
      <c r="V3" s="7"/>
      <c r="W3" s="9"/>
      <c r="X3" s="8"/>
      <c r="Y3" s="5"/>
      <c r="Z3" s="7"/>
      <c r="AA3" s="7"/>
      <c r="AB3" s="6"/>
      <c r="AC3" s="8"/>
      <c r="AD3" s="8"/>
    </row>
    <row r="4" spans="1:65" s="10" customFormat="1" ht="15.75">
      <c r="A4" s="12" t="s">
        <v>2</v>
      </c>
      <c r="B4" s="12"/>
      <c r="C4" s="12"/>
      <c r="D4" s="11"/>
      <c r="E4" s="5"/>
      <c r="F4" s="5"/>
      <c r="G4" s="5"/>
      <c r="H4" s="5"/>
      <c r="I4" s="5"/>
      <c r="J4" s="6"/>
      <c r="K4" s="7"/>
      <c r="L4" s="7"/>
      <c r="M4" s="7"/>
      <c r="N4" s="6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65" s="10" customFormat="1" ht="20.25">
      <c r="A5" s="12" t="s">
        <v>317</v>
      </c>
      <c r="B5" s="12"/>
      <c r="C5" s="12"/>
      <c r="D5" s="11"/>
      <c r="E5" s="5"/>
      <c r="F5" s="5"/>
      <c r="G5" s="5"/>
      <c r="H5" s="5"/>
      <c r="I5" s="5"/>
      <c r="J5" s="6"/>
      <c r="K5" s="7"/>
      <c r="L5" s="7"/>
      <c r="M5" s="7"/>
      <c r="N5" s="6"/>
      <c r="O5" s="7"/>
      <c r="P5" s="7"/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65">
      <c r="A6" s="13"/>
      <c r="U6" s="17"/>
      <c r="V6" s="141" t="s">
        <v>365</v>
      </c>
      <c r="W6" s="141"/>
      <c r="X6" s="141"/>
      <c r="Y6" s="141"/>
      <c r="Z6" s="141"/>
      <c r="AA6" s="141"/>
      <c r="AB6" s="141"/>
      <c r="AC6" s="141"/>
      <c r="AD6" s="141"/>
    </row>
    <row r="7" spans="1:65">
      <c r="A7" s="18"/>
      <c r="U7" s="17"/>
      <c r="V7" s="19"/>
      <c r="W7" s="19"/>
      <c r="X7" s="19"/>
      <c r="Y7" s="19"/>
      <c r="Z7" s="19"/>
      <c r="AA7" s="19"/>
      <c r="AB7" s="19"/>
      <c r="AC7" s="19"/>
      <c r="AD7" s="19"/>
    </row>
    <row r="8" spans="1:65" s="10" customFormat="1" ht="15.75">
      <c r="A8" s="20" t="s">
        <v>3</v>
      </c>
      <c r="B8" s="21"/>
      <c r="C8" s="20"/>
      <c r="D8" s="21"/>
      <c r="J8" s="22"/>
      <c r="K8" s="23"/>
      <c r="N8" s="22"/>
      <c r="U8" s="24"/>
      <c r="V8" s="22" t="s">
        <v>3</v>
      </c>
      <c r="W8" s="22"/>
      <c r="Y8" s="22"/>
      <c r="AD8" s="22"/>
    </row>
    <row r="9" spans="1:65">
      <c r="K9" s="25"/>
      <c r="U9" s="17"/>
    </row>
    <row r="10" spans="1:65" ht="20.25">
      <c r="A10" s="20" t="s">
        <v>4</v>
      </c>
      <c r="B10" s="20" t="s">
        <v>5</v>
      </c>
      <c r="C10" s="20" t="s">
        <v>6</v>
      </c>
      <c r="D10" s="20" t="s">
        <v>7</v>
      </c>
      <c r="E10" s="61" t="s">
        <v>8</v>
      </c>
      <c r="F10" s="61" t="s">
        <v>9</v>
      </c>
      <c r="G10" s="62" t="s">
        <v>27</v>
      </c>
      <c r="H10" s="63" t="s">
        <v>28</v>
      </c>
      <c r="I10" s="64" t="s">
        <v>29</v>
      </c>
      <c r="J10" s="64" t="s">
        <v>30</v>
      </c>
      <c r="K10" s="22" t="s">
        <v>31</v>
      </c>
      <c r="L10" s="65" t="s">
        <v>358</v>
      </c>
      <c r="M10" s="63" t="s">
        <v>366</v>
      </c>
      <c r="N10" s="65" t="s">
        <v>367</v>
      </c>
      <c r="O10" s="65" t="s">
        <v>368</v>
      </c>
      <c r="P10" s="22" t="s">
        <v>32</v>
      </c>
      <c r="Q10" s="22" t="s">
        <v>359</v>
      </c>
      <c r="R10" s="10"/>
      <c r="S10" s="22" t="s">
        <v>360</v>
      </c>
      <c r="T10" s="22" t="s">
        <v>10</v>
      </c>
      <c r="U10" s="110"/>
      <c r="V10" s="22" t="s">
        <v>378</v>
      </c>
      <c r="W10" s="22" t="s">
        <v>369</v>
      </c>
      <c r="X10" s="22" t="s">
        <v>361</v>
      </c>
      <c r="Y10" s="22" t="s">
        <v>362</v>
      </c>
      <c r="Z10" s="22"/>
      <c r="AA10" s="22" t="s">
        <v>379</v>
      </c>
      <c r="AB10" s="22" t="s">
        <v>370</v>
      </c>
      <c r="AC10" s="22" t="s">
        <v>363</v>
      </c>
      <c r="AD10" s="22" t="s">
        <v>364</v>
      </c>
      <c r="AE10" s="27"/>
      <c r="AF10" s="16"/>
      <c r="AG10" s="16"/>
      <c r="AH10" s="16"/>
      <c r="AI10" s="26"/>
      <c r="AJ10" s="16"/>
      <c r="AK10" s="27"/>
      <c r="AM10" s="16"/>
      <c r="AN10" s="26"/>
      <c r="AO10" s="16"/>
      <c r="AP10" s="27"/>
    </row>
    <row r="11" spans="1:65">
      <c r="A11" s="140" t="s">
        <v>11</v>
      </c>
      <c r="B11" s="142" t="s">
        <v>12</v>
      </c>
      <c r="C11" s="66" t="s">
        <v>319</v>
      </c>
      <c r="D11" s="29" t="s">
        <v>339</v>
      </c>
      <c r="E11" s="30">
        <v>2.0534439197528473</v>
      </c>
      <c r="F11" s="30">
        <v>9.2378009476598191</v>
      </c>
      <c r="G11" s="31">
        <v>0.13440748942970479</v>
      </c>
      <c r="H11" s="32">
        <v>0.51160304397678358</v>
      </c>
      <c r="I11" s="32">
        <v>9.5422950325570104E-6</v>
      </c>
      <c r="J11" s="33">
        <f>((H11/0.512638)-1)*10000</f>
        <v>-20.188827656484332</v>
      </c>
      <c r="K11" s="25">
        <f>(((H11+I11)/0.512638)-1)*10000-J11</f>
        <v>0.18614100071756567</v>
      </c>
      <c r="L11" s="15">
        <v>97.6</v>
      </c>
      <c r="M11" s="32">
        <f t="shared" ref="M11:M22" si="0">H11-(G11*(EXP(0.00000000000654*L11*1000000)-1))</f>
        <v>0.51151722375186803</v>
      </c>
      <c r="N11" s="33">
        <f t="shared" ref="N11:N22" si="1">((M11/Q11)-1)*10000</f>
        <v>-19.417710891329598</v>
      </c>
      <c r="O11" s="25">
        <f t="shared" ref="O11:O22" si="2">(((M11+I11)/Q11)-1)*10000-N11</f>
        <v>0.18618661577263396</v>
      </c>
      <c r="P11" s="25">
        <f t="shared" ref="P11:P22" si="3">IF(G11&gt;0.14,"N/A",LN((0.513163-H11)/(0.2137-G11)+1)*(1/0.00000000000654)/1000000000)</f>
        <v>2.9789623706728605</v>
      </c>
      <c r="Q11" s="32">
        <f t="shared" ref="Q11:Q22" si="4">0.512638-(0.1967*(EXP(0.00000000000654*L11*1000000)-1))</f>
        <v>0.512512405523736</v>
      </c>
      <c r="S11" s="15" t="s">
        <v>13</v>
      </c>
      <c r="T11" s="34" t="s">
        <v>14</v>
      </c>
      <c r="U11" s="17"/>
      <c r="V11" s="15">
        <v>97.8</v>
      </c>
      <c r="W11" s="32">
        <f t="shared" ref="W11:W22" si="5">H11-(G11*(EXP(0.00000000000654*V11*1000000)-1))</f>
        <v>0.51151704783450391</v>
      </c>
      <c r="X11" s="25">
        <f t="shared" ref="X11:X22" si="6">0.512638-(0.1967*(EXP(0.00000000000654*V11*1000000)-1))</f>
        <v>0.51251214807569001</v>
      </c>
      <c r="Y11" s="33">
        <f t="shared" ref="Y11:Y22" si="7">((W11/X11)-1)*10000</f>
        <v>-19.416129840480465</v>
      </c>
      <c r="Z11" s="25"/>
      <c r="AA11" s="15">
        <v>97.4</v>
      </c>
      <c r="AB11" s="32">
        <f t="shared" ref="AB11:AB22" si="8">H11-(G11*(EXP(0.00000000000654*AA11*1000000)-1))</f>
        <v>0.511517399669002</v>
      </c>
      <c r="AC11" s="32">
        <f t="shared" ref="AC11:AC22" si="9">0.512638-(0.1967*(EXP(0.00000000000654*AA11*1000000)-1))</f>
        <v>0.51251266297144527</v>
      </c>
      <c r="AD11" s="33">
        <f t="shared" ref="AD11:AD22" si="10">((AB11/AC11)-1)*10000</f>
        <v>-19.419291938523877</v>
      </c>
      <c r="AE11" s="25"/>
      <c r="AF11" s="35"/>
      <c r="AG11" s="35"/>
      <c r="AK11" s="35"/>
      <c r="AP11" s="35"/>
    </row>
    <row r="12" spans="1:65">
      <c r="A12" s="140"/>
      <c r="B12" s="142"/>
      <c r="C12" s="66" t="s">
        <v>320</v>
      </c>
      <c r="D12" s="29" t="s">
        <v>338</v>
      </c>
      <c r="E12" s="36">
        <v>3.2243437488510813</v>
      </c>
      <c r="F12" s="36">
        <v>15.736335467013779</v>
      </c>
      <c r="G12" s="31">
        <v>0.1238930524449417</v>
      </c>
      <c r="H12" s="32">
        <v>0.51159321472621055</v>
      </c>
      <c r="I12" s="32">
        <v>9.7579611608766242E-6</v>
      </c>
      <c r="J12" s="33">
        <f>((H12/0.512638)-1)*10000</f>
        <v>-20.380566282435232</v>
      </c>
      <c r="K12" s="25">
        <f>(((H12+I12)/0.512638)-1)*10000-J12</f>
        <v>0.19034798748651838</v>
      </c>
      <c r="L12" s="15">
        <v>97.6</v>
      </c>
      <c r="M12" s="32">
        <f t="shared" si="0"/>
        <v>0.51151410805089503</v>
      </c>
      <c r="N12" s="33">
        <f t="shared" si="1"/>
        <v>-19.478503585114161</v>
      </c>
      <c r="O12" s="25">
        <f t="shared" si="2"/>
        <v>0.19039463348913443</v>
      </c>
      <c r="P12" s="25">
        <f t="shared" si="3"/>
        <v>2.6496242383812043</v>
      </c>
      <c r="Q12" s="32">
        <f t="shared" si="4"/>
        <v>0.512512405523736</v>
      </c>
      <c r="S12" s="15" t="s">
        <v>13</v>
      </c>
      <c r="T12" s="34" t="s">
        <v>14</v>
      </c>
      <c r="U12" s="17"/>
      <c r="V12" s="15">
        <v>97.8</v>
      </c>
      <c r="W12" s="32">
        <f t="shared" si="5"/>
        <v>0.51151394589520482</v>
      </c>
      <c r="X12" s="25">
        <f t="shared" si="6"/>
        <v>0.51251214807569001</v>
      </c>
      <c r="Y12" s="33">
        <f t="shared" si="7"/>
        <v>-19.476654050700759</v>
      </c>
      <c r="Z12" s="25"/>
      <c r="AA12" s="15">
        <v>97.4</v>
      </c>
      <c r="AB12" s="32">
        <f t="shared" si="8"/>
        <v>0.51151427020637308</v>
      </c>
      <c r="AC12" s="32">
        <f t="shared" si="9"/>
        <v>0.51251266297144527</v>
      </c>
      <c r="AD12" s="33">
        <f t="shared" si="10"/>
        <v>-19.480353115252093</v>
      </c>
      <c r="AE12" s="25"/>
      <c r="AF12" s="35"/>
      <c r="AG12" s="35"/>
      <c r="AK12" s="35"/>
      <c r="AP12" s="35"/>
    </row>
    <row r="13" spans="1:65">
      <c r="A13" s="140" t="s">
        <v>15</v>
      </c>
      <c r="B13" s="142"/>
      <c r="C13" s="66" t="s">
        <v>404</v>
      </c>
      <c r="D13" s="135" t="s">
        <v>337</v>
      </c>
      <c r="E13" s="36">
        <v>6.6661091632689251</v>
      </c>
      <c r="F13" s="36">
        <v>37.984381345950588</v>
      </c>
      <c r="G13" s="31">
        <v>0.10611495307909918</v>
      </c>
      <c r="H13" s="32">
        <v>0.51165618546272174</v>
      </c>
      <c r="I13" s="32">
        <v>8.2801268954572398E-6</v>
      </c>
      <c r="J13" s="33">
        <f>((H13/0.512638)-1)*10000</f>
        <v>-19.152199744816301</v>
      </c>
      <c r="K13" s="25">
        <f>(((H13+I13)/0.512638)-1)*10000-J13</f>
        <v>0.16151995941515906</v>
      </c>
      <c r="L13" s="15">
        <v>582</v>
      </c>
      <c r="M13" s="32">
        <f t="shared" si="0"/>
        <v>0.51125151257853008</v>
      </c>
      <c r="N13" s="33">
        <f t="shared" si="1"/>
        <v>-12.431735372087083</v>
      </c>
      <c r="O13" s="25">
        <f t="shared" si="2"/>
        <v>0.16175665122464267</v>
      </c>
      <c r="P13" s="25">
        <f t="shared" si="3"/>
        <v>2.1267009233874412</v>
      </c>
      <c r="Q13" s="32">
        <f t="shared" si="4"/>
        <v>0.51188787804253044</v>
      </c>
      <c r="S13" s="15" t="s">
        <v>407</v>
      </c>
      <c r="T13" s="15" t="s">
        <v>406</v>
      </c>
      <c r="U13" s="17"/>
      <c r="V13" s="15">
        <v>635</v>
      </c>
      <c r="W13" s="32">
        <f t="shared" si="5"/>
        <v>0.51121458434611644</v>
      </c>
      <c r="X13" s="25">
        <f t="shared" si="6"/>
        <v>0.51181942601852259</v>
      </c>
      <c r="Y13" s="33">
        <f t="shared" si="7"/>
        <v>-11.817481745686198</v>
      </c>
      <c r="Z13" s="25"/>
      <c r="AA13" s="15">
        <v>529</v>
      </c>
      <c r="AB13" s="32">
        <f t="shared" si="8"/>
        <v>0.51128842801309793</v>
      </c>
      <c r="AC13" s="32">
        <f t="shared" si="9"/>
        <v>0.51195630634380929</v>
      </c>
      <c r="AD13" s="33">
        <f t="shared" si="10"/>
        <v>-13.045611948431235</v>
      </c>
      <c r="AE13" s="25"/>
      <c r="AF13" s="35"/>
      <c r="AG13" s="35"/>
      <c r="AK13" s="35"/>
      <c r="AP13" s="35"/>
    </row>
    <row r="14" spans="1:65">
      <c r="A14" s="140"/>
      <c r="B14" s="142"/>
      <c r="C14" s="66" t="s">
        <v>321</v>
      </c>
      <c r="D14" s="135" t="s">
        <v>337</v>
      </c>
      <c r="E14" s="36">
        <v>7.933415108530518</v>
      </c>
      <c r="F14" s="36">
        <v>43.875827961216096</v>
      </c>
      <c r="G14" s="31">
        <v>0.10933119033144444</v>
      </c>
      <c r="H14" s="32">
        <v>0.51164743863623696</v>
      </c>
      <c r="I14" s="32">
        <v>9.702999109231579E-6</v>
      </c>
      <c r="J14" s="33">
        <f>((H14/0.512638)-1)*10000</f>
        <v>-19.322823586294113</v>
      </c>
      <c r="K14" s="25">
        <f>(((H14+I14)/0.512638)-1)*10000-J14</f>
        <v>0.18927584590211666</v>
      </c>
      <c r="L14" s="15">
        <v>582</v>
      </c>
      <c r="M14" s="32">
        <f t="shared" si="0"/>
        <v>0.51123050052488006</v>
      </c>
      <c r="N14" s="33">
        <f t="shared" si="1"/>
        <v>-12.842216935556872</v>
      </c>
      <c r="O14" s="25">
        <f t="shared" si="2"/>
        <v>0.18955321126834512</v>
      </c>
      <c r="P14" s="25">
        <f t="shared" si="3"/>
        <v>2.2044016129390371</v>
      </c>
      <c r="Q14" s="32">
        <f t="shared" si="4"/>
        <v>0.51188787804253044</v>
      </c>
      <c r="S14" s="15" t="s">
        <v>407</v>
      </c>
      <c r="T14" s="15" t="s">
        <v>406</v>
      </c>
      <c r="U14" s="17"/>
      <c r="V14" s="15">
        <v>635</v>
      </c>
      <c r="W14" s="32">
        <f t="shared" si="5"/>
        <v>0.51119245303496963</v>
      </c>
      <c r="X14" s="25">
        <f t="shared" si="6"/>
        <v>0.51181942601852259</v>
      </c>
      <c r="Y14" s="33">
        <f t="shared" si="7"/>
        <v>-12.249886418540523</v>
      </c>
      <c r="AA14" s="15">
        <v>529</v>
      </c>
      <c r="AB14" s="32">
        <f t="shared" si="8"/>
        <v>0.51126853482905477</v>
      </c>
      <c r="AC14" s="32">
        <f t="shared" si="9"/>
        <v>0.51195630634380929</v>
      </c>
      <c r="AD14" s="33">
        <f t="shared" si="10"/>
        <v>-13.434183859679649</v>
      </c>
      <c r="AE14" s="25"/>
      <c r="AF14" s="35"/>
      <c r="AG14" s="35"/>
      <c r="AK14" s="35"/>
      <c r="AP14" s="35"/>
    </row>
    <row r="15" spans="1:65">
      <c r="A15" s="140"/>
      <c r="B15" s="142"/>
      <c r="C15" s="66" t="s">
        <v>322</v>
      </c>
      <c r="D15" s="135" t="s">
        <v>337</v>
      </c>
      <c r="E15" s="36">
        <v>8.5030539227245292</v>
      </c>
      <c r="F15" s="36">
        <v>51.514824155853276</v>
      </c>
      <c r="G15" s="31">
        <v>9.9804916109750716E-2</v>
      </c>
      <c r="H15" s="32">
        <v>0.51131994546151072</v>
      </c>
      <c r="I15" s="32">
        <v>9.1988062567102487E-6</v>
      </c>
      <c r="J15" s="33">
        <f>((H15/0.512638)-1)*10000</f>
        <v>-25.711214121647565</v>
      </c>
      <c r="K15" s="25">
        <f>(((H15+I15)/0.512638)-1)*10000-J15</f>
        <v>0.17944058490981973</v>
      </c>
      <c r="L15" s="15">
        <v>582</v>
      </c>
      <c r="M15" s="32">
        <f t="shared" si="0"/>
        <v>0.510939336112058</v>
      </c>
      <c r="N15" s="33">
        <f t="shared" si="1"/>
        <v>-18.530267489429431</v>
      </c>
      <c r="O15" s="25">
        <f t="shared" si="2"/>
        <v>0.17970353765606362</v>
      </c>
      <c r="P15" s="25">
        <f t="shared" si="3"/>
        <v>2.454511322153246</v>
      </c>
      <c r="Q15" s="32">
        <f t="shared" si="4"/>
        <v>0.51188787804253044</v>
      </c>
      <c r="S15" s="15" t="s">
        <v>407</v>
      </c>
      <c r="T15" s="15" t="s">
        <v>406</v>
      </c>
      <c r="U15" s="17"/>
      <c r="V15" s="15">
        <v>635</v>
      </c>
      <c r="W15" s="32">
        <f t="shared" si="5"/>
        <v>0.51090460378611169</v>
      </c>
      <c r="X15" s="25">
        <f t="shared" si="6"/>
        <v>0.51181942601852259</v>
      </c>
      <c r="Y15" s="33">
        <f t="shared" si="7"/>
        <v>-17.873925566431748</v>
      </c>
      <c r="AA15" s="15">
        <v>529</v>
      </c>
      <c r="AB15" s="32">
        <f t="shared" si="8"/>
        <v>0.51097405640117177</v>
      </c>
      <c r="AC15" s="32">
        <f t="shared" si="9"/>
        <v>0.51195630634380929</v>
      </c>
      <c r="AD15" s="33">
        <f t="shared" si="10"/>
        <v>-19.186206527121996</v>
      </c>
      <c r="AE15" s="25"/>
      <c r="AF15" s="35"/>
      <c r="AG15" s="35"/>
      <c r="AK15" s="35"/>
      <c r="AP15" s="35"/>
      <c r="BM15" s="35"/>
    </row>
    <row r="16" spans="1:65">
      <c r="A16" s="140" t="s">
        <v>11</v>
      </c>
      <c r="B16" s="142" t="s">
        <v>17</v>
      </c>
      <c r="C16" s="132" t="s">
        <v>323</v>
      </c>
      <c r="D16" s="29" t="s">
        <v>340</v>
      </c>
      <c r="E16" s="36">
        <v>3.4452096919630684</v>
      </c>
      <c r="F16" s="36">
        <v>15.911955697454596</v>
      </c>
      <c r="G16" s="31">
        <v>0.13091859075992648</v>
      </c>
      <c r="H16" s="32">
        <v>0.51184153716734104</v>
      </c>
      <c r="I16" s="32">
        <v>8.5122800020970063E-6</v>
      </c>
      <c r="J16" s="33">
        <f t="shared" ref="J16:J22" si="11">((H16/0.512638)-1)*10000</f>
        <v>-15.536554696666816</v>
      </c>
      <c r="K16" s="25">
        <f t="shared" ref="K16:K22" si="12">(((H16+I16)/0.512638)-1)*10000-J16</f>
        <v>0.16604855672230912</v>
      </c>
      <c r="L16" s="15">
        <v>98.2</v>
      </c>
      <c r="M16" s="32">
        <f t="shared" si="0"/>
        <v>0.51175743057772194</v>
      </c>
      <c r="N16" s="33">
        <f t="shared" si="1"/>
        <v>-14.715814277004302</v>
      </c>
      <c r="O16" s="25">
        <f t="shared" si="2"/>
        <v>0.16608949828800235</v>
      </c>
      <c r="P16" s="25">
        <f t="shared" si="3"/>
        <v>2.4215912823953207</v>
      </c>
      <c r="Q16" s="32">
        <f t="shared" si="4"/>
        <v>0.51251163317858794</v>
      </c>
      <c r="S16" s="15" t="s">
        <v>18</v>
      </c>
      <c r="T16" s="14" t="s">
        <v>19</v>
      </c>
      <c r="U16" s="17"/>
      <c r="V16" s="15">
        <v>98.6</v>
      </c>
      <c r="W16" s="32">
        <f t="shared" si="5"/>
        <v>0.51175708787421736</v>
      </c>
      <c r="X16" s="25">
        <f t="shared" si="6"/>
        <v>0.51251111828013884</v>
      </c>
      <c r="Y16" s="33">
        <f t="shared" si="7"/>
        <v>-14.712469232898151</v>
      </c>
      <c r="Z16" s="25"/>
      <c r="AA16" s="15">
        <v>97.8</v>
      </c>
      <c r="AB16" s="32">
        <f t="shared" si="8"/>
        <v>0.5117577732803299</v>
      </c>
      <c r="AC16" s="32">
        <f t="shared" si="9"/>
        <v>0.51251214807569001</v>
      </c>
      <c r="AD16" s="33">
        <f t="shared" si="10"/>
        <v>-14.719159305638385</v>
      </c>
      <c r="AE16" s="25"/>
      <c r="AF16" s="35"/>
      <c r="AG16" s="35"/>
      <c r="AK16" s="35"/>
      <c r="AP16" s="35"/>
    </row>
    <row r="17" spans="1:65">
      <c r="A17" s="140"/>
      <c r="B17" s="142"/>
      <c r="C17" s="132" t="s">
        <v>324</v>
      </c>
      <c r="D17" s="29" t="s">
        <v>340</v>
      </c>
      <c r="E17" s="36">
        <v>4.5978831963805407</v>
      </c>
      <c r="F17" s="36">
        <v>23.706398568159297</v>
      </c>
      <c r="G17" s="31">
        <v>0.11727395588749367</v>
      </c>
      <c r="H17" s="32">
        <v>0.51185342886989349</v>
      </c>
      <c r="I17" s="32">
        <v>6.7961484667814017E-6</v>
      </c>
      <c r="J17" s="33">
        <f t="shared" si="11"/>
        <v>-15.304583938501315</v>
      </c>
      <c r="K17" s="25">
        <f t="shared" si="12"/>
        <v>0.13257207750472233</v>
      </c>
      <c r="L17" s="15">
        <v>98.2</v>
      </c>
      <c r="M17" s="32">
        <f t="shared" si="0"/>
        <v>0.51177808806135294</v>
      </c>
      <c r="N17" s="33">
        <f t="shared" si="1"/>
        <v>-14.312750574764221</v>
      </c>
      <c r="O17" s="25">
        <f t="shared" si="2"/>
        <v>0.13260476498189178</v>
      </c>
      <c r="P17" s="25">
        <f t="shared" si="3"/>
        <v>2.0626448200491976</v>
      </c>
      <c r="Q17" s="32">
        <f t="shared" si="4"/>
        <v>0.51251163317858794</v>
      </c>
      <c r="S17" s="15" t="s">
        <v>18</v>
      </c>
      <c r="T17" s="14" t="s">
        <v>19</v>
      </c>
      <c r="U17" s="17"/>
      <c r="V17" s="15">
        <v>98.6</v>
      </c>
      <c r="W17" s="32">
        <f t="shared" si="5"/>
        <v>0.51177778107519123</v>
      </c>
      <c r="X17" s="25">
        <f t="shared" si="6"/>
        <v>0.51251111828013884</v>
      </c>
      <c r="Y17" s="33">
        <f t="shared" si="7"/>
        <v>-14.308708217072308</v>
      </c>
      <c r="Z17" s="25"/>
      <c r="AA17" s="15">
        <v>97.8</v>
      </c>
      <c r="AB17" s="32">
        <f t="shared" si="8"/>
        <v>0.51177839504671152</v>
      </c>
      <c r="AC17" s="32">
        <f t="shared" si="9"/>
        <v>0.51251214807569001</v>
      </c>
      <c r="AD17" s="33">
        <f t="shared" si="10"/>
        <v>-14.316792913757759</v>
      </c>
      <c r="AE17" s="25"/>
      <c r="AF17" s="35"/>
      <c r="AG17" s="35"/>
      <c r="AK17" s="35"/>
      <c r="AP17" s="35"/>
    </row>
    <row r="18" spans="1:65">
      <c r="A18" s="140"/>
      <c r="B18" s="142"/>
      <c r="C18" s="133" t="s">
        <v>325</v>
      </c>
      <c r="D18" s="135" t="s">
        <v>341</v>
      </c>
      <c r="E18" s="30">
        <v>5.9070540077190383</v>
      </c>
      <c r="F18" s="30">
        <v>31.634063831610376</v>
      </c>
      <c r="G18" s="31">
        <v>0.11290812033509544</v>
      </c>
      <c r="H18" s="32">
        <v>0.51182360523265369</v>
      </c>
      <c r="I18" s="32">
        <v>1.070207964359783E-5</v>
      </c>
      <c r="J18" s="33">
        <f t="shared" si="11"/>
        <v>-15.886351915900265</v>
      </c>
      <c r="K18" s="25">
        <f t="shared" si="12"/>
        <v>0.20876485246068555</v>
      </c>
      <c r="L18" s="15">
        <v>98.3</v>
      </c>
      <c r="M18" s="32">
        <f t="shared" si="0"/>
        <v>0.51175099529712698</v>
      </c>
      <c r="N18" s="33">
        <f t="shared" si="1"/>
        <v>-14.838869964198809</v>
      </c>
      <c r="O18" s="25">
        <f t="shared" si="2"/>
        <v>0.20881637876613013</v>
      </c>
      <c r="P18" s="25">
        <f t="shared" si="3"/>
        <v>2.0185315794591423</v>
      </c>
      <c r="Q18" s="32">
        <f t="shared" si="4"/>
        <v>0.51251150445410198</v>
      </c>
      <c r="S18" s="15" t="s">
        <v>20</v>
      </c>
      <c r="T18" s="14" t="s">
        <v>19</v>
      </c>
      <c r="U18" s="17"/>
      <c r="V18" s="15">
        <v>98.6</v>
      </c>
      <c r="W18" s="32">
        <f t="shared" si="5"/>
        <v>0.51175077362871668</v>
      </c>
      <c r="X18" s="25">
        <f t="shared" si="6"/>
        <v>0.51251111828013884</v>
      </c>
      <c r="Y18" s="33">
        <f t="shared" si="7"/>
        <v>-14.835671350383883</v>
      </c>
      <c r="Z18" s="25"/>
      <c r="AA18" s="15">
        <v>98</v>
      </c>
      <c r="AB18" s="32">
        <f t="shared" si="8"/>
        <v>0.51175121696510228</v>
      </c>
      <c r="AC18" s="32">
        <f t="shared" si="9"/>
        <v>0.5125118906273074</v>
      </c>
      <c r="AD18" s="33">
        <f t="shared" si="10"/>
        <v>-14.842068566918165</v>
      </c>
      <c r="AE18" s="25"/>
      <c r="AF18" s="35"/>
      <c r="AG18" s="35"/>
      <c r="AK18" s="35"/>
      <c r="AP18" s="35"/>
    </row>
    <row r="19" spans="1:65" ht="16.5" customHeight="1">
      <c r="A19" s="14" t="s">
        <v>21</v>
      </c>
      <c r="B19" s="142"/>
      <c r="C19" s="132" t="s">
        <v>326</v>
      </c>
      <c r="D19" s="135" t="s">
        <v>342</v>
      </c>
      <c r="E19" s="36">
        <v>6.0629837188104112</v>
      </c>
      <c r="F19" s="36">
        <v>29.559532318418764</v>
      </c>
      <c r="G19" s="31">
        <v>0.12402181020531218</v>
      </c>
      <c r="H19" s="32">
        <v>0.51205568135825819</v>
      </c>
      <c r="I19" s="32">
        <v>9.8614000284189144E-6</v>
      </c>
      <c r="J19" s="33">
        <f t="shared" si="11"/>
        <v>-11.359256273273388</v>
      </c>
      <c r="K19" s="25">
        <f t="shared" si="12"/>
        <v>0.19236576352943402</v>
      </c>
      <c r="L19" s="15">
        <v>96.7</v>
      </c>
      <c r="M19" s="32">
        <f t="shared" si="0"/>
        <v>0.51197722292644443</v>
      </c>
      <c r="N19" s="33">
        <f t="shared" si="1"/>
        <v>-10.464915408439079</v>
      </c>
      <c r="O19" s="25">
        <f t="shared" si="2"/>
        <v>0.19241246906331888</v>
      </c>
      <c r="P19" s="25">
        <f t="shared" si="3"/>
        <v>1.8764649470829502</v>
      </c>
      <c r="Q19" s="32">
        <f t="shared" si="4"/>
        <v>0.51251356403577564</v>
      </c>
      <c r="S19" s="37" t="s">
        <v>348</v>
      </c>
      <c r="T19" s="14" t="s">
        <v>19</v>
      </c>
      <c r="U19" s="17"/>
      <c r="V19" s="15">
        <v>90.2</v>
      </c>
      <c r="W19" s="32">
        <f t="shared" si="5"/>
        <v>0.51198249831673504</v>
      </c>
      <c r="X19" s="25">
        <f t="shared" si="6"/>
        <v>0.51252193086471021</v>
      </c>
      <c r="Y19" s="33">
        <f t="shared" si="7"/>
        <v>-10.525062743462765</v>
      </c>
      <c r="Z19" s="25"/>
      <c r="AA19" s="15">
        <v>91.8</v>
      </c>
      <c r="AB19" s="32">
        <f t="shared" si="8"/>
        <v>0.51198119977993173</v>
      </c>
      <c r="AC19" s="32">
        <f t="shared" si="9"/>
        <v>0.51251987137058752</v>
      </c>
      <c r="AD19" s="33">
        <f t="shared" si="10"/>
        <v>-10.510257665039546</v>
      </c>
      <c r="AE19" s="25"/>
      <c r="AK19" s="35"/>
      <c r="AP19" s="35"/>
    </row>
    <row r="20" spans="1:65">
      <c r="A20" s="140" t="s">
        <v>15</v>
      </c>
      <c r="B20" s="142"/>
      <c r="C20" s="132" t="s">
        <v>327</v>
      </c>
      <c r="D20" s="14" t="s">
        <v>345</v>
      </c>
      <c r="E20" s="36">
        <v>5.4067028168147981</v>
      </c>
      <c r="F20" s="36">
        <v>26.744127592643334</v>
      </c>
      <c r="G20" s="31">
        <v>0.12223998440982295</v>
      </c>
      <c r="H20" s="32">
        <v>0.51166583535879784</v>
      </c>
      <c r="I20" s="32">
        <v>4.6421106607250239E-6</v>
      </c>
      <c r="J20" s="33">
        <f t="shared" si="11"/>
        <v>-18.963959776727712</v>
      </c>
      <c r="K20" s="25">
        <f t="shared" si="12"/>
        <v>9.0553385835299594E-2</v>
      </c>
      <c r="L20" s="15">
        <v>525</v>
      </c>
      <c r="M20" s="32">
        <f t="shared" si="0"/>
        <v>0.5112454030081256</v>
      </c>
      <c r="N20" s="33">
        <f t="shared" si="1"/>
        <v>-13.986731727241297</v>
      </c>
      <c r="O20" s="25">
        <f t="shared" si="2"/>
        <v>9.0673047382638927E-2</v>
      </c>
      <c r="P20" s="25">
        <f t="shared" si="3"/>
        <v>2.4827325405922864</v>
      </c>
      <c r="Q20" s="32">
        <f t="shared" si="4"/>
        <v>0.51196146978137724</v>
      </c>
      <c r="S20" s="15" t="s">
        <v>22</v>
      </c>
      <c r="T20" s="15" t="s">
        <v>23</v>
      </c>
      <c r="U20" s="17"/>
      <c r="V20" s="15">
        <v>541</v>
      </c>
      <c r="W20" s="32">
        <f t="shared" si="5"/>
        <v>0.51123256715055543</v>
      </c>
      <c r="X20" s="25">
        <f t="shared" si="6"/>
        <v>0.5119408152206274</v>
      </c>
      <c r="Y20" s="33">
        <f t="shared" si="7"/>
        <v>-13.834569329400637</v>
      </c>
      <c r="Z20" s="25"/>
      <c r="AA20" s="15">
        <v>509</v>
      </c>
      <c r="AB20" s="32">
        <f t="shared" si="8"/>
        <v>0.51125823752262189</v>
      </c>
      <c r="AC20" s="32">
        <f t="shared" si="9"/>
        <v>0.51198212218094696</v>
      </c>
      <c r="AD20" s="33">
        <f t="shared" si="10"/>
        <v>-14.13886592839364</v>
      </c>
      <c r="AE20" s="25"/>
      <c r="AK20" s="35"/>
      <c r="AP20" s="35"/>
    </row>
    <row r="21" spans="1:65">
      <c r="A21" s="140"/>
      <c r="B21" s="142"/>
      <c r="C21" s="132" t="s">
        <v>24</v>
      </c>
      <c r="D21" s="135" t="s">
        <v>343</v>
      </c>
      <c r="E21" s="36">
        <v>6.0603171867457428</v>
      </c>
      <c r="F21" s="36">
        <v>33.152136990752332</v>
      </c>
      <c r="G21" s="31">
        <v>0.1105332778452829</v>
      </c>
      <c r="H21" s="32">
        <v>0.51153981252149228</v>
      </c>
      <c r="I21" s="32">
        <v>7.9902049850021912E-6</v>
      </c>
      <c r="J21" s="33">
        <f t="shared" si="11"/>
        <v>-21.422280020360063</v>
      </c>
      <c r="K21" s="25">
        <f t="shared" si="12"/>
        <v>0.1558644693711031</v>
      </c>
      <c r="L21" s="15">
        <v>525</v>
      </c>
      <c r="M21" s="32">
        <f t="shared" si="0"/>
        <v>0.51115964423157989</v>
      </c>
      <c r="N21" s="33">
        <f t="shared" si="1"/>
        <v>-15.661833890346921</v>
      </c>
      <c r="O21" s="25">
        <f t="shared" si="2"/>
        <v>0.15607043609033866</v>
      </c>
      <c r="P21" s="25">
        <f t="shared" si="3"/>
        <v>2.3870250490483018</v>
      </c>
      <c r="Q21" s="32">
        <f t="shared" si="4"/>
        <v>0.51196146978137724</v>
      </c>
      <c r="S21" s="15" t="s">
        <v>22</v>
      </c>
      <c r="T21" s="15" t="s">
        <v>23</v>
      </c>
      <c r="U21" s="17"/>
      <c r="V21" s="15">
        <v>541</v>
      </c>
      <c r="W21" s="32">
        <f t="shared" si="5"/>
        <v>0.5111480376413301</v>
      </c>
      <c r="X21" s="25">
        <f t="shared" si="6"/>
        <v>0.5119408152206274</v>
      </c>
      <c r="Y21" s="33">
        <f t="shared" si="7"/>
        <v>-15.485727172498409</v>
      </c>
      <c r="Z21" s="25"/>
      <c r="AA21" s="15">
        <v>509</v>
      </c>
      <c r="AB21" s="32">
        <f t="shared" si="8"/>
        <v>0.5111712496073797</v>
      </c>
      <c r="AC21" s="32">
        <f t="shared" si="9"/>
        <v>0.51198212218094696</v>
      </c>
      <c r="AD21" s="33">
        <f t="shared" si="10"/>
        <v>-15.83790797446416</v>
      </c>
      <c r="AE21" s="25"/>
      <c r="AF21" s="35"/>
      <c r="AG21" s="35"/>
      <c r="AK21" s="35"/>
      <c r="AP21" s="35"/>
    </row>
    <row r="22" spans="1:65">
      <c r="A22" s="140"/>
      <c r="B22" s="142"/>
      <c r="C22" s="132" t="s">
        <v>328</v>
      </c>
      <c r="D22" s="135" t="s">
        <v>344</v>
      </c>
      <c r="E22" s="36">
        <v>5.3206710336614984</v>
      </c>
      <c r="F22" s="36">
        <v>30.187936046471297</v>
      </c>
      <c r="G22" s="31">
        <v>0.10657177750255709</v>
      </c>
      <c r="H22" s="32">
        <v>0.51160110032628381</v>
      </c>
      <c r="I22" s="32">
        <v>8.1177770080957249E-6</v>
      </c>
      <c r="J22" s="33">
        <f t="shared" si="11"/>
        <v>-20.226742335063275</v>
      </c>
      <c r="K22" s="25">
        <f t="shared" si="12"/>
        <v>0.15835300949285269</v>
      </c>
      <c r="L22" s="15">
        <v>582</v>
      </c>
      <c r="M22" s="32">
        <f t="shared" si="0"/>
        <v>0.51119468532704004</v>
      </c>
      <c r="N22" s="33">
        <f t="shared" si="1"/>
        <v>-13.541885737579085</v>
      </c>
      <c r="O22" s="25">
        <f t="shared" si="2"/>
        <v>0.15858506044463816</v>
      </c>
      <c r="P22" s="25">
        <f t="shared" si="3"/>
        <v>2.2132201048421853</v>
      </c>
      <c r="Q22" s="32">
        <f t="shared" si="4"/>
        <v>0.51188787804253044</v>
      </c>
      <c r="S22" s="15" t="s">
        <v>407</v>
      </c>
      <c r="T22" s="15" t="s">
        <v>23</v>
      </c>
      <c r="U22" s="17"/>
      <c r="V22" s="15">
        <v>635</v>
      </c>
      <c r="W22" s="32">
        <f t="shared" si="5"/>
        <v>0.5111575981187424</v>
      </c>
      <c r="X22" s="25">
        <f t="shared" si="6"/>
        <v>0.51181942601852259</v>
      </c>
      <c r="Y22" s="33">
        <f t="shared" si="7"/>
        <v>-12.930886678698128</v>
      </c>
      <c r="Z22" s="25"/>
      <c r="AA22" s="15">
        <v>529</v>
      </c>
      <c r="AB22" s="32">
        <f t="shared" si="8"/>
        <v>0.51123175968239731</v>
      </c>
      <c r="AC22" s="32">
        <f t="shared" si="9"/>
        <v>0.51195630634380929</v>
      </c>
      <c r="AD22" s="33">
        <f t="shared" si="10"/>
        <v>-14.152509744169706</v>
      </c>
      <c r="AE22" s="25"/>
      <c r="AF22" s="35"/>
      <c r="AG22" s="35"/>
      <c r="AK22" s="35"/>
      <c r="AP22" s="35"/>
    </row>
    <row r="23" spans="1:65">
      <c r="B23" s="38"/>
      <c r="C23" s="28"/>
      <c r="D23" s="29"/>
      <c r="E23" s="36"/>
      <c r="F23" s="36"/>
      <c r="G23" s="31"/>
      <c r="H23" s="32"/>
      <c r="I23" s="32"/>
      <c r="J23" s="33"/>
      <c r="K23" s="25"/>
      <c r="M23" s="32"/>
      <c r="N23" s="33"/>
      <c r="O23" s="25"/>
      <c r="P23" s="25"/>
      <c r="Q23" s="32"/>
      <c r="U23" s="17"/>
      <c r="W23" s="32"/>
      <c r="X23" s="25"/>
      <c r="Y23" s="33"/>
      <c r="AB23" s="32"/>
      <c r="AC23" s="32"/>
      <c r="AD23" s="33"/>
      <c r="AE23" s="25"/>
      <c r="AF23" s="35"/>
      <c r="AG23" s="35"/>
      <c r="AK23" s="35"/>
      <c r="AP23" s="35"/>
      <c r="BM23" s="35"/>
    </row>
    <row r="24" spans="1:65" s="51" customFormat="1">
      <c r="A24" s="39"/>
      <c r="B24" s="40"/>
      <c r="C24" s="41"/>
      <c r="D24" s="42"/>
      <c r="E24" s="43"/>
      <c r="F24" s="43"/>
      <c r="G24" s="44"/>
      <c r="H24" s="45"/>
      <c r="I24" s="45"/>
      <c r="J24" s="46"/>
      <c r="K24" s="47"/>
      <c r="L24" s="48"/>
      <c r="M24" s="45"/>
      <c r="N24" s="46"/>
      <c r="O24" s="47"/>
      <c r="P24" s="47"/>
      <c r="Q24" s="45"/>
      <c r="R24" s="48"/>
      <c r="S24" s="48"/>
      <c r="T24" s="48"/>
      <c r="U24" s="17"/>
      <c r="V24" s="48"/>
      <c r="W24" s="45"/>
      <c r="X24" s="47"/>
      <c r="Y24" s="46"/>
      <c r="Z24" s="48"/>
      <c r="AA24" s="48"/>
      <c r="AB24" s="45"/>
      <c r="AC24" s="45"/>
      <c r="AD24" s="46"/>
      <c r="AE24" s="49"/>
      <c r="AF24" s="50"/>
      <c r="AG24" s="50"/>
      <c r="AK24" s="50"/>
      <c r="AP24" s="50"/>
      <c r="BM24" s="50"/>
    </row>
    <row r="25" spans="1:65">
      <c r="E25" s="67"/>
      <c r="F25" s="67"/>
      <c r="G25" s="53"/>
      <c r="H25" s="54"/>
      <c r="I25" s="54"/>
      <c r="M25" s="54"/>
      <c r="N25" s="55"/>
      <c r="O25" s="35"/>
      <c r="P25" s="35"/>
      <c r="Q25" s="54"/>
      <c r="U25" s="17"/>
      <c r="W25" s="32"/>
      <c r="X25" s="25"/>
      <c r="Y25" s="33"/>
      <c r="AB25" s="32"/>
      <c r="AC25" s="32"/>
      <c r="AD25" s="33"/>
    </row>
    <row r="26" spans="1:65" s="10" customFormat="1" ht="15.75">
      <c r="A26" s="20" t="s">
        <v>25</v>
      </c>
      <c r="B26" s="21"/>
      <c r="C26" s="20"/>
      <c r="D26" s="21"/>
      <c r="E26" s="56"/>
      <c r="F26" s="56"/>
      <c r="G26" s="57"/>
      <c r="H26" s="58"/>
      <c r="I26" s="58"/>
      <c r="J26" s="22"/>
      <c r="M26" s="58"/>
      <c r="N26" s="59"/>
      <c r="O26" s="23"/>
      <c r="P26" s="23"/>
      <c r="Q26" s="58"/>
      <c r="U26" s="24"/>
      <c r="V26" s="20" t="s">
        <v>25</v>
      </c>
      <c r="W26" s="22"/>
      <c r="X26" s="23"/>
      <c r="Y26" s="59"/>
      <c r="AB26" s="58"/>
      <c r="AC26" s="58"/>
      <c r="AD26" s="59"/>
    </row>
    <row r="27" spans="1:65" s="10" customFormat="1" ht="20.25">
      <c r="A27" s="20"/>
      <c r="B27" s="20" t="s">
        <v>5</v>
      </c>
      <c r="C27" s="60" t="s">
        <v>6</v>
      </c>
      <c r="D27" s="20" t="s">
        <v>26</v>
      </c>
      <c r="E27" s="61" t="s">
        <v>8</v>
      </c>
      <c r="F27" s="61" t="s">
        <v>9</v>
      </c>
      <c r="G27" s="62" t="s">
        <v>27</v>
      </c>
      <c r="H27" s="63" t="s">
        <v>28</v>
      </c>
      <c r="I27" s="64" t="s">
        <v>29</v>
      </c>
      <c r="J27" s="64" t="s">
        <v>30</v>
      </c>
      <c r="K27" s="22" t="s">
        <v>31</v>
      </c>
      <c r="L27" s="65" t="s">
        <v>358</v>
      </c>
      <c r="M27" s="63" t="s">
        <v>366</v>
      </c>
      <c r="N27" s="65" t="s">
        <v>367</v>
      </c>
      <c r="O27" s="65" t="s">
        <v>368</v>
      </c>
      <c r="P27" s="22" t="s">
        <v>32</v>
      </c>
      <c r="Q27" s="22" t="s">
        <v>359</v>
      </c>
      <c r="S27" s="22" t="s">
        <v>360</v>
      </c>
      <c r="T27" s="22" t="s">
        <v>10</v>
      </c>
      <c r="U27" s="24"/>
      <c r="W27" s="58"/>
      <c r="X27" s="23"/>
      <c r="Y27" s="59"/>
      <c r="AB27" s="58"/>
      <c r="AC27" s="58"/>
      <c r="AD27" s="59"/>
      <c r="AM27" s="22"/>
      <c r="AN27" s="22"/>
      <c r="AO27" s="22"/>
      <c r="AP27" s="22"/>
      <c r="AQ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5">
      <c r="B28" s="140" t="s">
        <v>12</v>
      </c>
      <c r="C28" s="66" t="s">
        <v>404</v>
      </c>
      <c r="D28" s="14" t="s">
        <v>337</v>
      </c>
      <c r="E28" s="52">
        <v>10.791175519350913</v>
      </c>
      <c r="F28" s="52">
        <v>55.772147813969767</v>
      </c>
      <c r="G28" s="53">
        <v>0.1169931970928926</v>
      </c>
      <c r="H28" s="54">
        <v>0.5116762309764985</v>
      </c>
      <c r="I28" s="54">
        <v>5.4859160777256794E-6</v>
      </c>
      <c r="J28" s="55">
        <f>((H28/0.512638)-1)*10000</f>
        <v>-18.76117305977143</v>
      </c>
      <c r="K28" s="35">
        <f>(((H28+I28)/0.512638)-1)*10000-J28</f>
        <v>0.10701344960173387</v>
      </c>
      <c r="L28" s="15">
        <v>97.5</v>
      </c>
      <c r="M28" s="54">
        <f t="shared" ref="M28:M39" si="13">H28-(G28*(EXP(0.00000000000654*L28*1000000)-1))</f>
        <v>0.51160160647474395</v>
      </c>
      <c r="N28" s="55">
        <f t="shared" ref="N28:N39" si="14">((M28/Q28)-1)*10000</f>
        <v>-17.773765752401303</v>
      </c>
      <c r="O28" s="35">
        <f t="shared" ref="O28:O39" si="15">(((M28+I28)/Q28)-1)*10000 -N28</f>
        <v>0.10703964705593805</v>
      </c>
      <c r="P28" s="35">
        <f t="shared" ref="P28:P39" si="16">IF(G28&gt;0.14,"N/A",LN((0.513163-H28)/(0.2137-G28)+1)*(1/0.00000000000654)/1000000000)</f>
        <v>2.3328751736635418</v>
      </c>
      <c r="Q28" s="54">
        <f t="shared" ref="Q28:Q39" si="17">0.512638-(0.1967*(EXP(0.00000000000654*L28*1000000)-1))</f>
        <v>0.51251253424763266</v>
      </c>
      <c r="R28" s="52"/>
      <c r="S28" s="52" t="s">
        <v>33</v>
      </c>
      <c r="T28" s="52" t="s">
        <v>34</v>
      </c>
      <c r="U28" s="68"/>
      <c r="V28" s="52">
        <v>97</v>
      </c>
      <c r="W28" s="54">
        <f t="shared" ref="W28:W39" si="18">H28-(G28*(EXP(0.00000000000654*V28*1000000)-1))</f>
        <v>0.51160198928589473</v>
      </c>
      <c r="X28" s="35">
        <f t="shared" ref="X28:X73" si="19">0.512638-(0.1967*(EXP(0.00000000000654*V28*1000000)-1))</f>
        <v>0.51251317786585338</v>
      </c>
      <c r="Y28" s="55">
        <f t="shared" ref="Y28:Y73" si="20">((W28/X28)-1)*10000</f>
        <v>-17.778832219551568</v>
      </c>
      <c r="AA28" s="15">
        <v>98</v>
      </c>
      <c r="AB28" s="54">
        <f t="shared" ref="AB28:AB39" si="21">H28-(G28*(EXP(0.00000000000654*AA28*1000000)-1))</f>
        <v>0.5116012236623414</v>
      </c>
      <c r="AC28" s="54">
        <f t="shared" ref="AC28:AC73" si="22">0.512638-(0.1967*(EXP(0.00000000000654*AA28*1000000)-1))</f>
        <v>0.5125118906273074</v>
      </c>
      <c r="AD28" s="55">
        <f t="shared" ref="AD28:AD73" si="23">((AB28/AC28)-1)*10000</f>
        <v>-17.76869925596003</v>
      </c>
      <c r="BD28" s="35"/>
    </row>
    <row r="29" spans="1:65">
      <c r="B29" s="140"/>
      <c r="C29" s="15" t="s">
        <v>329</v>
      </c>
      <c r="D29" s="14" t="s">
        <v>346</v>
      </c>
      <c r="E29" s="52">
        <v>15.562426772496075</v>
      </c>
      <c r="F29" s="52">
        <v>80.05562721949552</v>
      </c>
      <c r="G29" s="53">
        <v>0.11754243381180482</v>
      </c>
      <c r="H29" s="54">
        <v>0.51183922299857543</v>
      </c>
      <c r="I29" s="54">
        <v>6.2314222234736473E-6</v>
      </c>
      <c r="J29" s="55">
        <f t="shared" ref="J29:J39" si="24">((H29/0.512638)-1)*10000</f>
        <v>-15.581697053761445</v>
      </c>
      <c r="K29" s="35">
        <f t="shared" ref="K29:K39" si="25">(((H29+I29)/0.512638)-1)*10000-J29</f>
        <v>0.12155599513619109</v>
      </c>
      <c r="L29" s="15">
        <v>97.5</v>
      </c>
      <c r="M29" s="54">
        <f t="shared" si="13"/>
        <v>0.51176424816434418</v>
      </c>
      <c r="N29" s="55">
        <f t="shared" si="14"/>
        <v>-14.600346982478474</v>
      </c>
      <c r="O29" s="35">
        <f t="shared" si="15"/>
        <v>0.12158575268039762</v>
      </c>
      <c r="P29" s="35">
        <f t="shared" si="16"/>
        <v>2.0906494416957835</v>
      </c>
      <c r="Q29" s="54">
        <f t="shared" si="17"/>
        <v>0.51251253424763266</v>
      </c>
      <c r="S29" s="52" t="s">
        <v>35</v>
      </c>
      <c r="T29" s="52" t="s">
        <v>34</v>
      </c>
      <c r="U29" s="17"/>
      <c r="V29" s="52">
        <v>97</v>
      </c>
      <c r="W29" s="54">
        <f t="shared" si="18"/>
        <v>0.51176463277264161</v>
      </c>
      <c r="X29" s="35">
        <f t="shared" si="19"/>
        <v>0.51251317786585338</v>
      </c>
      <c r="Y29" s="55">
        <f t="shared" si="20"/>
        <v>-14.605382369459186</v>
      </c>
      <c r="AA29" s="15">
        <v>98</v>
      </c>
      <c r="AB29" s="54">
        <f t="shared" si="21"/>
        <v>0.51176386355478909</v>
      </c>
      <c r="AC29" s="54">
        <f t="shared" si="22"/>
        <v>0.5125118906273074</v>
      </c>
      <c r="AD29" s="55">
        <f t="shared" si="23"/>
        <v>-14.595311566385494</v>
      </c>
    </row>
    <row r="30" spans="1:65">
      <c r="B30" s="140"/>
      <c r="C30" s="15" t="s">
        <v>330</v>
      </c>
      <c r="D30" s="14" t="s">
        <v>349</v>
      </c>
      <c r="E30" s="52">
        <v>22.762240802834967</v>
      </c>
      <c r="F30" s="52">
        <v>100.24671724561153</v>
      </c>
      <c r="G30" s="53">
        <v>0.1372947960003017</v>
      </c>
      <c r="H30" s="54">
        <v>0.51160789133109474</v>
      </c>
      <c r="I30" s="54">
        <v>5.8751407279255867E-6</v>
      </c>
      <c r="J30" s="55">
        <f t="shared" si="24"/>
        <v>-20.094270594558374</v>
      </c>
      <c r="K30" s="35">
        <f t="shared" si="25"/>
        <v>0.11460603248192314</v>
      </c>
      <c r="L30" s="15">
        <v>97.5</v>
      </c>
      <c r="M30" s="54">
        <f t="shared" si="13"/>
        <v>0.51152031738662962</v>
      </c>
      <c r="N30" s="55">
        <f t="shared" si="14"/>
        <v>-19.359855509868407</v>
      </c>
      <c r="O30" s="35">
        <f t="shared" si="15"/>
        <v>0.11463408863932045</v>
      </c>
      <c r="P30" s="35">
        <f t="shared" si="16"/>
        <v>3.0808985057878511</v>
      </c>
      <c r="Q30" s="54">
        <f t="shared" si="17"/>
        <v>0.51251253424763266</v>
      </c>
      <c r="S30" s="52" t="s">
        <v>35</v>
      </c>
      <c r="T30" s="52" t="s">
        <v>34</v>
      </c>
      <c r="U30" s="17"/>
      <c r="V30" s="52">
        <v>97</v>
      </c>
      <c r="W30" s="54">
        <f t="shared" si="18"/>
        <v>0.51152076662624479</v>
      </c>
      <c r="X30" s="35">
        <f t="shared" si="19"/>
        <v>0.51251317786585338</v>
      </c>
      <c r="Y30" s="55">
        <f t="shared" si="20"/>
        <v>-19.36362385336232</v>
      </c>
      <c r="AA30" s="15">
        <v>98</v>
      </c>
      <c r="AB30" s="54">
        <f t="shared" si="21"/>
        <v>0.5115198681455454</v>
      </c>
      <c r="AC30" s="54">
        <f t="shared" si="22"/>
        <v>0.5125118906273074</v>
      </c>
      <c r="AD30" s="55">
        <f t="shared" si="23"/>
        <v>-19.356087144588585</v>
      </c>
    </row>
    <row r="31" spans="1:65">
      <c r="B31" s="140"/>
      <c r="C31" s="134" t="s">
        <v>331</v>
      </c>
      <c r="D31" s="126" t="s">
        <v>350</v>
      </c>
      <c r="E31" s="52">
        <v>10.791175519350913</v>
      </c>
      <c r="F31" s="52">
        <v>55.772147813969767</v>
      </c>
      <c r="G31" s="53">
        <v>0.1169931970928926</v>
      </c>
      <c r="H31" s="54">
        <v>0.5116762309764985</v>
      </c>
      <c r="I31" s="54">
        <v>5.4859160777256794E-6</v>
      </c>
      <c r="J31" s="55">
        <f>((H31/0.512638)-1)*10000</f>
        <v>-18.76117305977143</v>
      </c>
      <c r="K31" s="35">
        <f>(((H31+I31)/0.512638)-1)*10000-J31</f>
        <v>0.10701344960173387</v>
      </c>
      <c r="L31" s="15">
        <v>97.5</v>
      </c>
      <c r="M31" s="54">
        <f t="shared" si="13"/>
        <v>0.51160160647474395</v>
      </c>
      <c r="N31" s="55">
        <f t="shared" si="14"/>
        <v>-17.773765752401303</v>
      </c>
      <c r="O31" s="35">
        <f t="shared" si="15"/>
        <v>0.10703964705593805</v>
      </c>
      <c r="P31" s="35">
        <f t="shared" si="16"/>
        <v>2.3328751736635418</v>
      </c>
      <c r="Q31" s="54">
        <f t="shared" si="17"/>
        <v>0.51251253424763266</v>
      </c>
      <c r="S31" s="52" t="s">
        <v>35</v>
      </c>
      <c r="T31" s="52" t="s">
        <v>34</v>
      </c>
      <c r="U31" s="17"/>
      <c r="V31" s="52">
        <v>97</v>
      </c>
      <c r="W31" s="54">
        <f t="shared" si="18"/>
        <v>0.51160198928589473</v>
      </c>
      <c r="X31" s="35">
        <f t="shared" si="19"/>
        <v>0.51251317786585338</v>
      </c>
      <c r="Y31" s="55">
        <f t="shared" si="20"/>
        <v>-17.778832219551568</v>
      </c>
      <c r="AA31" s="15">
        <v>98</v>
      </c>
      <c r="AB31" s="54">
        <f t="shared" si="21"/>
        <v>0.5116012236623414</v>
      </c>
      <c r="AC31" s="54">
        <f t="shared" si="22"/>
        <v>0.5125118906273074</v>
      </c>
      <c r="AD31" s="55">
        <f t="shared" si="23"/>
        <v>-17.76869925596003</v>
      </c>
    </row>
    <row r="32" spans="1:65">
      <c r="B32" s="140" t="s">
        <v>17</v>
      </c>
      <c r="C32" s="15" t="s">
        <v>332</v>
      </c>
      <c r="D32" s="14" t="s">
        <v>351</v>
      </c>
      <c r="E32" s="52">
        <v>97.349655120969459</v>
      </c>
      <c r="F32" s="52">
        <v>252.82278997700729</v>
      </c>
      <c r="G32" s="53">
        <v>0.23282382515866315</v>
      </c>
      <c r="H32" s="54">
        <v>0.51164574547283304</v>
      </c>
      <c r="I32" s="54">
        <v>7.3029286835660196E-6</v>
      </c>
      <c r="J32" s="55">
        <f t="shared" si="24"/>
        <v>-19.355852027492794</v>
      </c>
      <c r="K32" s="35">
        <f t="shared" si="25"/>
        <v>0.14245781006394509</v>
      </c>
      <c r="L32" s="15">
        <v>94.6</v>
      </c>
      <c r="M32" s="54">
        <f t="shared" si="13"/>
        <v>0.51150165652922264</v>
      </c>
      <c r="N32" s="55">
        <f t="shared" si="14"/>
        <v>-19.796653096084693</v>
      </c>
      <c r="O32" s="35">
        <f t="shared" si="15"/>
        <v>0.14249164662416547</v>
      </c>
      <c r="P32" s="35" t="str">
        <f t="shared" si="16"/>
        <v>N/A</v>
      </c>
      <c r="Q32" s="54">
        <f t="shared" si="17"/>
        <v>0.51251626720401644</v>
      </c>
      <c r="S32" s="15" t="s">
        <v>36</v>
      </c>
      <c r="T32" s="15" t="s">
        <v>37</v>
      </c>
      <c r="U32" s="17"/>
      <c r="V32" s="15">
        <f>94.6-2.1</f>
        <v>92.5</v>
      </c>
      <c r="W32" s="54">
        <f t="shared" si="18"/>
        <v>0.51150485608858354</v>
      </c>
      <c r="X32" s="35">
        <f t="shared" si="19"/>
        <v>0.51251897033513216</v>
      </c>
      <c r="Y32" s="55">
        <f t="shared" si="20"/>
        <v>-19.786862638186964</v>
      </c>
      <c r="AA32" s="15">
        <f>94.6+2.1</f>
        <v>96.699999999999989</v>
      </c>
      <c r="AB32" s="54">
        <f t="shared" si="21"/>
        <v>0.51149845692591878</v>
      </c>
      <c r="AC32" s="54">
        <f t="shared" si="22"/>
        <v>0.51251356403577564</v>
      </c>
      <c r="AD32" s="55">
        <f t="shared" si="23"/>
        <v>-19.806443791720028</v>
      </c>
      <c r="AM32" s="16"/>
      <c r="AO32" s="16"/>
      <c r="AP32" s="16"/>
    </row>
    <row r="33" spans="1:51">
      <c r="B33" s="140"/>
      <c r="C33" s="15" t="s">
        <v>333</v>
      </c>
      <c r="D33" s="14" t="s">
        <v>354</v>
      </c>
      <c r="E33" s="67">
        <v>6.8687522868219402</v>
      </c>
      <c r="F33" s="67">
        <v>37.169281055830339</v>
      </c>
      <c r="G33" s="53">
        <v>0.111738520311193</v>
      </c>
      <c r="H33" s="54">
        <v>0.51213932423794206</v>
      </c>
      <c r="I33" s="54">
        <v>6.4147313039372525E-6</v>
      </c>
      <c r="J33" s="55">
        <f t="shared" si="24"/>
        <v>-9.7276394270029432</v>
      </c>
      <c r="K33" s="35">
        <f t="shared" si="25"/>
        <v>0.12513179483253367</v>
      </c>
      <c r="L33" s="15">
        <v>94.6</v>
      </c>
      <c r="M33" s="54">
        <f t="shared" si="13"/>
        <v>0.51207017201376026</v>
      </c>
      <c r="N33" s="55">
        <f t="shared" si="14"/>
        <v>-8.7040201219334978</v>
      </c>
      <c r="O33" s="35">
        <f t="shared" si="15"/>
        <v>0.12516151612018689</v>
      </c>
      <c r="P33" s="35">
        <f t="shared" si="16"/>
        <v>1.5274868746252384</v>
      </c>
      <c r="Q33" s="54">
        <f t="shared" si="17"/>
        <v>0.51251626720401644</v>
      </c>
      <c r="R33" s="69"/>
      <c r="S33" s="15" t="s">
        <v>36</v>
      </c>
      <c r="T33" s="15" t="s">
        <v>37</v>
      </c>
      <c r="U33" s="70"/>
      <c r="V33" s="15">
        <f t="shared" ref="V33:V39" si="26">94.6-2.1</f>
        <v>92.5</v>
      </c>
      <c r="W33" s="54">
        <f t="shared" si="18"/>
        <v>0.51207170756979026</v>
      </c>
      <c r="X33" s="35">
        <f t="shared" si="19"/>
        <v>0.51251897033513216</v>
      </c>
      <c r="Y33" s="55">
        <f t="shared" si="20"/>
        <v>-8.7267553247727392</v>
      </c>
      <c r="AA33" s="15">
        <f t="shared" ref="AA33:AA39" si="27">94.6+2.1</f>
        <v>96.699999999999989</v>
      </c>
      <c r="AB33" s="54">
        <f t="shared" si="21"/>
        <v>0.51206863643664091</v>
      </c>
      <c r="AC33" s="54">
        <f t="shared" si="22"/>
        <v>0.51251356403577564</v>
      </c>
      <c r="AD33" s="55">
        <f t="shared" si="23"/>
        <v>-8.6812843670158735</v>
      </c>
    </row>
    <row r="34" spans="1:51">
      <c r="B34" s="140"/>
      <c r="C34" s="15" t="s">
        <v>334</v>
      </c>
      <c r="D34" s="14" t="s">
        <v>353</v>
      </c>
      <c r="E34" s="52">
        <v>92.165501485411255</v>
      </c>
      <c r="F34" s="52">
        <v>231.88183792942499</v>
      </c>
      <c r="G34" s="53">
        <v>0.24033160065603204</v>
      </c>
      <c r="H34" s="54">
        <v>0.5116464605972032</v>
      </c>
      <c r="I34" s="54">
        <v>5.6617630319434092E-6</v>
      </c>
      <c r="J34" s="55">
        <f t="shared" si="24"/>
        <v>-19.341902137508526</v>
      </c>
      <c r="K34" s="35">
        <f t="shared" si="25"/>
        <v>0.11044368603108268</v>
      </c>
      <c r="L34" s="15">
        <v>94.6</v>
      </c>
      <c r="M34" s="54">
        <f t="shared" si="13"/>
        <v>0.51149772527584547</v>
      </c>
      <c r="N34" s="55">
        <f t="shared" si="14"/>
        <v>-19.873358044369958</v>
      </c>
      <c r="O34" s="35">
        <f t="shared" si="15"/>
        <v>0.11046991860052913</v>
      </c>
      <c r="P34" s="35" t="str">
        <f t="shared" si="16"/>
        <v>N/A</v>
      </c>
      <c r="Q34" s="54">
        <f t="shared" si="17"/>
        <v>0.51251626720401644</v>
      </c>
      <c r="R34" s="35"/>
      <c r="S34" s="15" t="s">
        <v>36</v>
      </c>
      <c r="T34" s="15" t="s">
        <v>37</v>
      </c>
      <c r="U34" s="71"/>
      <c r="V34" s="15">
        <f t="shared" si="26"/>
        <v>92.5</v>
      </c>
      <c r="W34" s="54">
        <f t="shared" si="18"/>
        <v>0.51150102801009978</v>
      </c>
      <c r="X34" s="35">
        <f t="shared" si="19"/>
        <v>0.51251897033513216</v>
      </c>
      <c r="Y34" s="55">
        <f t="shared" si="20"/>
        <v>-19.861554087778899</v>
      </c>
      <c r="AA34" s="15">
        <f t="shared" si="27"/>
        <v>96.699999999999989</v>
      </c>
      <c r="AB34" s="54">
        <f t="shared" si="21"/>
        <v>0.511494422496231</v>
      </c>
      <c r="AC34" s="54">
        <f t="shared" si="22"/>
        <v>0.51251356403577564</v>
      </c>
      <c r="AD34" s="55">
        <f t="shared" si="23"/>
        <v>-19.885162287597289</v>
      </c>
    </row>
    <row r="35" spans="1:51">
      <c r="B35" s="140"/>
      <c r="C35" s="15" t="s">
        <v>335</v>
      </c>
      <c r="D35" s="14" t="s">
        <v>352</v>
      </c>
      <c r="E35" s="52">
        <v>25.864470882132792</v>
      </c>
      <c r="F35" s="52">
        <v>87.813171083356309</v>
      </c>
      <c r="G35" s="53">
        <v>0.17809558780120152</v>
      </c>
      <c r="H35" s="54">
        <v>0.5118204448560616</v>
      </c>
      <c r="I35" s="54">
        <v>9.0949861485728267E-6</v>
      </c>
      <c r="J35" s="55">
        <f t="shared" si="24"/>
        <v>-15.948001200426498</v>
      </c>
      <c r="K35" s="35">
        <f t="shared" si="25"/>
        <v>0.17741537202686786</v>
      </c>
      <c r="L35" s="15">
        <v>94.6</v>
      </c>
      <c r="M35" s="54">
        <f t="shared" si="13"/>
        <v>0.51171022587357362</v>
      </c>
      <c r="N35" s="55">
        <f t="shared" si="14"/>
        <v>-15.727136522711849</v>
      </c>
      <c r="O35" s="35">
        <f t="shared" si="15"/>
        <v>0.17745751170306079</v>
      </c>
      <c r="P35" s="35" t="str">
        <f t="shared" si="16"/>
        <v>N/A</v>
      </c>
      <c r="Q35" s="54">
        <f t="shared" si="17"/>
        <v>0.51251626720401644</v>
      </c>
      <c r="R35" s="35"/>
      <c r="S35" s="15" t="s">
        <v>36</v>
      </c>
      <c r="T35" s="15" t="s">
        <v>37</v>
      </c>
      <c r="U35" s="71"/>
      <c r="V35" s="15">
        <f t="shared" si="26"/>
        <v>92.5</v>
      </c>
      <c r="W35" s="54">
        <f t="shared" si="18"/>
        <v>0.51171267333531723</v>
      </c>
      <c r="X35" s="35">
        <f t="shared" si="19"/>
        <v>0.51251897033513216</v>
      </c>
      <c r="Y35" s="55">
        <f t="shared" si="20"/>
        <v>-15.732042060564444</v>
      </c>
      <c r="AA35" s="15">
        <f t="shared" si="27"/>
        <v>96.699999999999989</v>
      </c>
      <c r="AB35" s="54">
        <f t="shared" si="21"/>
        <v>0.51170777837821635</v>
      </c>
      <c r="AC35" s="54">
        <f t="shared" si="22"/>
        <v>0.51251356403577564</v>
      </c>
      <c r="AD35" s="55">
        <f t="shared" si="23"/>
        <v>-15.722230865738984</v>
      </c>
    </row>
    <row r="36" spans="1:51">
      <c r="B36" s="140"/>
      <c r="C36" s="66" t="s">
        <v>336</v>
      </c>
      <c r="D36" s="130" t="s">
        <v>347</v>
      </c>
      <c r="E36" s="52">
        <v>227.21500653379985</v>
      </c>
      <c r="F36" s="52">
        <v>493.93605836932863</v>
      </c>
      <c r="G36" s="53">
        <v>0.27814771845056274</v>
      </c>
      <c r="H36" s="54">
        <v>0.51189881444803853</v>
      </c>
      <c r="I36" s="54">
        <v>5.4130789792796259E-6</v>
      </c>
      <c r="J36" s="55">
        <f t="shared" si="24"/>
        <v>-14.419250074351186</v>
      </c>
      <c r="K36" s="35">
        <f t="shared" si="25"/>
        <v>0.10559262050957585</v>
      </c>
      <c r="L36" s="15">
        <v>94.6</v>
      </c>
      <c r="M36" s="54">
        <f t="shared" si="13"/>
        <v>0.51172667566073071</v>
      </c>
      <c r="N36" s="55">
        <f t="shared" si="14"/>
        <v>-15.406175253582788</v>
      </c>
      <c r="O36" s="35">
        <f t="shared" si="15"/>
        <v>0.10561770085404376</v>
      </c>
      <c r="P36" s="35" t="str">
        <f t="shared" si="16"/>
        <v>N/A</v>
      </c>
      <c r="Q36" s="54">
        <f t="shared" si="17"/>
        <v>0.51251626720401644</v>
      </c>
      <c r="S36" s="15" t="s">
        <v>36</v>
      </c>
      <c r="T36" s="15" t="s">
        <v>37</v>
      </c>
      <c r="U36" s="17"/>
      <c r="V36" s="15">
        <f t="shared" si="26"/>
        <v>92.5</v>
      </c>
      <c r="W36" s="54">
        <f t="shared" si="18"/>
        <v>0.51173049807940141</v>
      </c>
      <c r="X36" s="35">
        <f t="shared" si="19"/>
        <v>0.51251897033513216</v>
      </c>
      <c r="Y36" s="55">
        <f t="shared" si="20"/>
        <v>-15.384255049430973</v>
      </c>
      <c r="AA36" s="15">
        <f t="shared" si="27"/>
        <v>96.699999999999989</v>
      </c>
      <c r="AB36" s="54">
        <f t="shared" si="21"/>
        <v>0.51172285318956257</v>
      </c>
      <c r="AC36" s="54">
        <f t="shared" si="22"/>
        <v>0.51251356403577564</v>
      </c>
      <c r="AD36" s="55">
        <f t="shared" si="23"/>
        <v>-15.42809599001882</v>
      </c>
    </row>
    <row r="37" spans="1:51">
      <c r="B37" s="140"/>
      <c r="C37" s="66" t="s">
        <v>336</v>
      </c>
      <c r="D37" s="130" t="s">
        <v>347</v>
      </c>
      <c r="E37" s="52">
        <v>237.95136194332946</v>
      </c>
      <c r="F37" s="52">
        <v>604.4785207049124</v>
      </c>
      <c r="G37" s="53">
        <v>0.23802169518937566</v>
      </c>
      <c r="H37" s="54">
        <v>0.51185524140338767</v>
      </c>
      <c r="I37" s="54">
        <v>6.2597524767632671E-6</v>
      </c>
      <c r="J37" s="55">
        <f t="shared" si="24"/>
        <v>-15.269226951812875</v>
      </c>
      <c r="K37" s="35">
        <f t="shared" si="25"/>
        <v>0.12210863175932118</v>
      </c>
      <c r="L37" s="15">
        <v>94.6</v>
      </c>
      <c r="M37" s="54">
        <f t="shared" si="13"/>
        <v>0.51170793562575601</v>
      </c>
      <c r="N37" s="55">
        <f t="shared" si="14"/>
        <v>-15.771822866622598</v>
      </c>
      <c r="O37" s="35">
        <f t="shared" si="15"/>
        <v>0.12213763498580832</v>
      </c>
      <c r="P37" s="35" t="str">
        <f t="shared" si="16"/>
        <v>N/A</v>
      </c>
      <c r="Q37" s="54">
        <f t="shared" si="17"/>
        <v>0.51251626720401644</v>
      </c>
      <c r="R37" s="35"/>
      <c r="S37" s="15" t="s">
        <v>36</v>
      </c>
      <c r="T37" s="15" t="s">
        <v>37</v>
      </c>
      <c r="U37" s="71"/>
      <c r="V37" s="15">
        <f t="shared" si="26"/>
        <v>92.5</v>
      </c>
      <c r="W37" s="54">
        <f t="shared" si="18"/>
        <v>0.51171120661635328</v>
      </c>
      <c r="X37" s="35">
        <f t="shared" si="19"/>
        <v>0.51251897033513216</v>
      </c>
      <c r="Y37" s="55">
        <f t="shared" si="20"/>
        <v>-15.760659907879671</v>
      </c>
      <c r="AA37" s="15">
        <f t="shared" si="27"/>
        <v>96.699999999999989</v>
      </c>
      <c r="AB37" s="54">
        <f t="shared" si="21"/>
        <v>0.51170466459023456</v>
      </c>
      <c r="AC37" s="54">
        <f t="shared" si="22"/>
        <v>0.51251356403577564</v>
      </c>
      <c r="AD37" s="55">
        <f t="shared" si="23"/>
        <v>-15.782986096434248</v>
      </c>
    </row>
    <row r="38" spans="1:51">
      <c r="B38" s="140"/>
      <c r="C38" s="15" t="s">
        <v>328</v>
      </c>
      <c r="D38" s="14" t="s">
        <v>344</v>
      </c>
      <c r="E38" s="52">
        <v>11.737219742947051</v>
      </c>
      <c r="F38" s="52">
        <v>38.31144792580357</v>
      </c>
      <c r="G38" s="53">
        <v>0.18524474299230792</v>
      </c>
      <c r="H38" s="54">
        <v>0.51169953270546908</v>
      </c>
      <c r="I38" s="54">
        <v>5.9857541564328623E-6</v>
      </c>
      <c r="J38" s="55">
        <f t="shared" si="24"/>
        <v>-18.30662757210666</v>
      </c>
      <c r="K38" s="35">
        <f t="shared" si="25"/>
        <v>0.11676376227343255</v>
      </c>
      <c r="L38" s="15">
        <v>94.6</v>
      </c>
      <c r="M38" s="54">
        <f t="shared" si="13"/>
        <v>0.51158488928652801</v>
      </c>
      <c r="N38" s="55">
        <f t="shared" si="14"/>
        <v>-18.172650842274152</v>
      </c>
      <c r="O38" s="35">
        <f t="shared" si="15"/>
        <v>0.11679149598653282</v>
      </c>
      <c r="P38" s="35" t="str">
        <f t="shared" si="16"/>
        <v>N/A</v>
      </c>
      <c r="Q38" s="54">
        <f t="shared" si="17"/>
        <v>0.51251626720401644</v>
      </c>
      <c r="R38" s="35"/>
      <c r="S38" s="15" t="s">
        <v>36</v>
      </c>
      <c r="T38" s="15" t="s">
        <v>37</v>
      </c>
      <c r="U38" s="71"/>
      <c r="V38" s="15">
        <f t="shared" si="26"/>
        <v>92.5</v>
      </c>
      <c r="W38" s="54">
        <f t="shared" si="18"/>
        <v>0.51158743499485948</v>
      </c>
      <c r="X38" s="35">
        <f t="shared" si="19"/>
        <v>0.51251897033513216</v>
      </c>
      <c r="Y38" s="55">
        <f t="shared" si="20"/>
        <v>-18.17562654634175</v>
      </c>
      <c r="AA38" s="15">
        <f t="shared" si="27"/>
        <v>96.699999999999989</v>
      </c>
      <c r="AB38" s="54">
        <f t="shared" si="21"/>
        <v>0.5115823435432334</v>
      </c>
      <c r="AC38" s="54">
        <f t="shared" si="22"/>
        <v>0.51251356403577564</v>
      </c>
      <c r="AD38" s="55">
        <f t="shared" si="23"/>
        <v>-18.169675065951019</v>
      </c>
    </row>
    <row r="39" spans="1:51">
      <c r="B39" s="140"/>
      <c r="C39" s="14" t="s">
        <v>38</v>
      </c>
      <c r="D39" s="14" t="s">
        <v>343</v>
      </c>
      <c r="E39" s="52">
        <v>5.1270289240046649</v>
      </c>
      <c r="F39" s="52">
        <v>16.87694089106169</v>
      </c>
      <c r="G39" s="53">
        <v>0.18368820092774649</v>
      </c>
      <c r="H39" s="54">
        <v>0.51169851322585636</v>
      </c>
      <c r="I39" s="54">
        <v>4.9198258723704101E-5</v>
      </c>
      <c r="J39" s="55">
        <f t="shared" si="24"/>
        <v>-18.326514502313707</v>
      </c>
      <c r="K39" s="35">
        <f t="shared" si="25"/>
        <v>0.95970760505048602</v>
      </c>
      <c r="L39" s="15">
        <v>94.6</v>
      </c>
      <c r="M39" s="54">
        <f t="shared" si="13"/>
        <v>0.5115848331125461</v>
      </c>
      <c r="N39" s="55">
        <f t="shared" si="14"/>
        <v>-18.173746885180584</v>
      </c>
      <c r="O39" s="35">
        <f t="shared" si="15"/>
        <v>0.95993555467299529</v>
      </c>
      <c r="P39" s="35" t="str">
        <f t="shared" si="16"/>
        <v>N/A</v>
      </c>
      <c r="Q39" s="54">
        <f t="shared" si="17"/>
        <v>0.51251626720401644</v>
      </c>
      <c r="S39" s="15" t="s">
        <v>36</v>
      </c>
      <c r="T39" s="15" t="s">
        <v>37</v>
      </c>
      <c r="U39" s="17"/>
      <c r="V39" s="15">
        <f t="shared" si="26"/>
        <v>92.5</v>
      </c>
      <c r="W39" s="54">
        <f t="shared" si="18"/>
        <v>0.51158735743024575</v>
      </c>
      <c r="X39" s="35">
        <f t="shared" si="19"/>
        <v>0.51251897033513216</v>
      </c>
      <c r="Y39" s="55">
        <f t="shared" si="20"/>
        <v>-18.177139946200516</v>
      </c>
      <c r="AA39" s="15">
        <f t="shared" si="27"/>
        <v>96.699999999999989</v>
      </c>
      <c r="AB39" s="54">
        <f t="shared" si="21"/>
        <v>0.51158230876017718</v>
      </c>
      <c r="AC39" s="54">
        <f t="shared" si="22"/>
        <v>0.51251356403577564</v>
      </c>
      <c r="AD39" s="55">
        <f t="shared" si="23"/>
        <v>-18.170353741768785</v>
      </c>
      <c r="AM39" s="54"/>
      <c r="AN39" s="54"/>
      <c r="AO39" s="35"/>
      <c r="AP39" s="72"/>
      <c r="AQ39" s="52"/>
      <c r="AX39" s="16"/>
      <c r="AY39" s="16"/>
    </row>
    <row r="40" spans="1:51">
      <c r="E40" s="52"/>
      <c r="F40" s="52"/>
      <c r="G40" s="53"/>
      <c r="H40" s="54"/>
      <c r="I40" s="54"/>
      <c r="K40" s="25"/>
      <c r="M40" s="54"/>
      <c r="N40" s="55"/>
      <c r="O40" s="35"/>
      <c r="P40" s="35"/>
      <c r="Q40" s="54"/>
      <c r="U40" s="17"/>
      <c r="W40" s="32"/>
      <c r="X40" s="25"/>
      <c r="Y40" s="33"/>
      <c r="AB40" s="32"/>
      <c r="AC40" s="32"/>
      <c r="AD40" s="33"/>
    </row>
    <row r="41" spans="1:51" s="10" customFormat="1" ht="15.75">
      <c r="A41" s="20" t="s">
        <v>39</v>
      </c>
      <c r="B41" s="21"/>
      <c r="C41" s="20"/>
      <c r="D41" s="21"/>
      <c r="E41" s="56"/>
      <c r="F41" s="56"/>
      <c r="G41" s="57"/>
      <c r="H41" s="58"/>
      <c r="I41" s="58"/>
      <c r="J41" s="22"/>
      <c r="K41" s="23"/>
      <c r="M41" s="58"/>
      <c r="N41" s="59"/>
      <c r="O41" s="23"/>
      <c r="P41" s="23"/>
      <c r="Q41" s="58"/>
      <c r="U41" s="24"/>
      <c r="V41" s="22" t="s">
        <v>40</v>
      </c>
      <c r="W41" s="22"/>
      <c r="X41" s="23"/>
      <c r="Y41" s="59"/>
      <c r="AB41" s="58"/>
      <c r="AC41" s="58"/>
      <c r="AD41" s="59"/>
    </row>
    <row r="42" spans="1:51" s="10" customFormat="1" ht="20.25">
      <c r="A42" s="21"/>
      <c r="B42" s="20" t="s">
        <v>5</v>
      </c>
      <c r="C42" s="20" t="s">
        <v>6</v>
      </c>
      <c r="D42" s="20" t="s">
        <v>26</v>
      </c>
      <c r="E42" s="61" t="s">
        <v>8</v>
      </c>
      <c r="F42" s="61" t="s">
        <v>9</v>
      </c>
      <c r="G42" s="62" t="s">
        <v>27</v>
      </c>
      <c r="H42" s="63" t="s">
        <v>28</v>
      </c>
      <c r="I42" s="64" t="s">
        <v>29</v>
      </c>
      <c r="J42" s="64" t="s">
        <v>30</v>
      </c>
      <c r="K42" s="22" t="s">
        <v>31</v>
      </c>
      <c r="L42" s="65" t="s">
        <v>358</v>
      </c>
      <c r="M42" s="63" t="s">
        <v>366</v>
      </c>
      <c r="N42" s="65" t="s">
        <v>367</v>
      </c>
      <c r="O42" s="65" t="s">
        <v>368</v>
      </c>
      <c r="P42" s="22" t="s">
        <v>32</v>
      </c>
      <c r="Q42" s="22" t="s">
        <v>359</v>
      </c>
      <c r="S42" s="22" t="s">
        <v>360</v>
      </c>
      <c r="T42" s="22" t="s">
        <v>10</v>
      </c>
      <c r="U42" s="24"/>
      <c r="W42" s="58"/>
      <c r="X42" s="23"/>
      <c r="Y42" s="59"/>
      <c r="AB42" s="58"/>
      <c r="AC42" s="58"/>
      <c r="AD42" s="59"/>
    </row>
    <row r="43" spans="1:51">
      <c r="B43" s="140" t="s">
        <v>12</v>
      </c>
      <c r="C43" s="15" t="s">
        <v>329</v>
      </c>
      <c r="D43" s="14" t="s">
        <v>346</v>
      </c>
      <c r="E43" s="52">
        <v>10.01</v>
      </c>
      <c r="F43" s="52">
        <v>47.22</v>
      </c>
      <c r="G43" s="53">
        <v>0.13414634146341464</v>
      </c>
      <c r="H43" s="54">
        <v>0.51197999999999999</v>
      </c>
      <c r="I43" s="54">
        <v>1E-4</v>
      </c>
      <c r="J43" s="55">
        <f>((H43/0.512638)-1)*10000</f>
        <v>-12.835568178716228</v>
      </c>
      <c r="K43" s="35">
        <f t="shared" ref="K43:K73" si="28">(((H43+I43)/0.512638)-1)*10000-J43</f>
        <v>1.9506942520841619</v>
      </c>
      <c r="L43" s="15">
        <v>97.5</v>
      </c>
      <c r="M43" s="54">
        <f t="shared" ref="M43:M73" si="29">H43-(G43*(EXP(0.00000000000654*L43*1000000)-1))</f>
        <v>0.51189443430778325</v>
      </c>
      <c r="N43" s="55">
        <f t="shared" ref="N43:N73" si="30">((M43/Q43)-1)*10000</f>
        <v>-12.060191674273524</v>
      </c>
      <c r="O43" s="35">
        <f t="shared" ref="O43:O73" si="31">(((M43+I43)/Q43)-1)*10000 -N43</f>
        <v>1.9511717922526817</v>
      </c>
      <c r="P43" s="35">
        <f t="shared" ref="P43:P73" si="32">IF(G43&gt;0.14,"N/A",LN((0.513163-H43)/(0.2137-G43)+1)*(1/0.00000000000654)/1000000000)</f>
        <v>2.2570313397196826</v>
      </c>
      <c r="Q43" s="54">
        <f t="shared" ref="Q43:Q73" si="33">0.512638-(0.1967*(EXP(0.00000000000654*L43*1000000)-1))</f>
        <v>0.51251253424763266</v>
      </c>
      <c r="S43" s="52" t="s">
        <v>35</v>
      </c>
      <c r="T43" s="52" t="s">
        <v>34</v>
      </c>
      <c r="U43" s="68"/>
      <c r="V43" s="52">
        <v>97</v>
      </c>
      <c r="W43" s="54">
        <f t="shared" ref="W43:W73" si="34">H43-(G43*(EXP(0.00000000000654*V43*1000000)-1))</f>
        <v>0.51189487324540195</v>
      </c>
      <c r="X43" s="35">
        <f t="shared" si="19"/>
        <v>0.51251317786585338</v>
      </c>
      <c r="Y43" s="55">
        <f t="shared" si="20"/>
        <v>-12.064170194141521</v>
      </c>
      <c r="AA43" s="15">
        <v>98</v>
      </c>
      <c r="AB43" s="54">
        <f t="shared" ref="AB43:AB73" si="35">H43-(G43*(EXP(0.00000000000654*AA43*1000000)-1))</f>
        <v>0.51189399536872915</v>
      </c>
      <c r="AC43" s="54">
        <f t="shared" si="22"/>
        <v>0.5125118906273074</v>
      </c>
      <c r="AD43" s="55">
        <f t="shared" si="23"/>
        <v>-12.056213131406146</v>
      </c>
    </row>
    <row r="44" spans="1:51">
      <c r="B44" s="140"/>
      <c r="C44" s="15" t="s">
        <v>329</v>
      </c>
      <c r="D44" s="14" t="s">
        <v>346</v>
      </c>
      <c r="E44" s="52">
        <v>14.36</v>
      </c>
      <c r="F44" s="52">
        <v>79.7</v>
      </c>
      <c r="G44" s="53">
        <v>0.11619047619047621</v>
      </c>
      <c r="H44" s="54">
        <v>0.511957</v>
      </c>
      <c r="I44" s="54">
        <v>8.5000000000000006E-5</v>
      </c>
      <c r="J44" s="55">
        <f t="shared" ref="J44:J73" si="36">((H44/0.512638)-1)*10000</f>
        <v>-13.284227856694697</v>
      </c>
      <c r="K44" s="35">
        <f t="shared" si="28"/>
        <v>1.6580901142715376</v>
      </c>
      <c r="L44" s="15">
        <v>97.5</v>
      </c>
      <c r="M44" s="54">
        <f t="shared" si="29"/>
        <v>0.51188288751645572</v>
      </c>
      <c r="N44" s="55">
        <f t="shared" si="30"/>
        <v>-12.285489409566974</v>
      </c>
      <c r="O44" s="35">
        <f t="shared" si="31"/>
        <v>1.6584960234156121</v>
      </c>
      <c r="P44" s="35">
        <f t="shared" si="32"/>
        <v>1.8795357051943575</v>
      </c>
      <c r="Q44" s="54">
        <f t="shared" si="33"/>
        <v>0.51251253424763266</v>
      </c>
      <c r="S44" s="52" t="s">
        <v>35</v>
      </c>
      <c r="T44" s="52" t="s">
        <v>34</v>
      </c>
      <c r="U44" s="17"/>
      <c r="V44" s="52">
        <v>97</v>
      </c>
      <c r="W44" s="54">
        <f t="shared" si="34"/>
        <v>0.51188326770103909</v>
      </c>
      <c r="X44" s="35">
        <f t="shared" si="19"/>
        <v>0.51251317786585338</v>
      </c>
      <c r="Y44" s="55">
        <f t="shared" si="20"/>
        <v>-12.290614017717028</v>
      </c>
      <c r="AA44" s="15">
        <v>98</v>
      </c>
      <c r="AB44" s="54">
        <f t="shared" si="35"/>
        <v>0.51188250733062912</v>
      </c>
      <c r="AC44" s="54">
        <f t="shared" si="22"/>
        <v>0.5125118906273074</v>
      </c>
      <c r="AD44" s="55">
        <f t="shared" si="23"/>
        <v>-12.280364771789509</v>
      </c>
    </row>
    <row r="45" spans="1:51">
      <c r="B45" s="140"/>
      <c r="C45" s="15" t="s">
        <v>329</v>
      </c>
      <c r="D45" s="14" t="s">
        <v>346</v>
      </c>
      <c r="E45" s="52">
        <v>15.19</v>
      </c>
      <c r="F45" s="52">
        <v>75.599999999999994</v>
      </c>
      <c r="G45" s="53">
        <v>0.10480349344978165</v>
      </c>
      <c r="H45" s="54">
        <v>0.51195000000000002</v>
      </c>
      <c r="I45" s="54">
        <v>1.1E-4</v>
      </c>
      <c r="J45" s="55">
        <f t="shared" si="36"/>
        <v>-13.420776454340366</v>
      </c>
      <c r="K45" s="35">
        <f t="shared" si="28"/>
        <v>2.1457636772936883</v>
      </c>
      <c r="L45" s="15">
        <v>97.5</v>
      </c>
      <c r="M45" s="54">
        <f t="shared" si="29"/>
        <v>0.51188315074145196</v>
      </c>
      <c r="N45" s="55">
        <f t="shared" si="30"/>
        <v>-12.280353437689184</v>
      </c>
      <c r="O45" s="35">
        <f t="shared" si="31"/>
        <v>2.1462889714785049</v>
      </c>
      <c r="P45" s="35">
        <f t="shared" si="32"/>
        <v>1.6937973538355615</v>
      </c>
      <c r="Q45" s="54">
        <f t="shared" si="33"/>
        <v>0.51251253424763266</v>
      </c>
      <c r="S45" s="52" t="s">
        <v>35</v>
      </c>
      <c r="T45" s="52" t="s">
        <v>34</v>
      </c>
      <c r="U45" s="17"/>
      <c r="V45" s="52">
        <v>97</v>
      </c>
      <c r="W45" s="54">
        <f t="shared" si="34"/>
        <v>0.51188349366691199</v>
      </c>
      <c r="X45" s="35">
        <f t="shared" si="19"/>
        <v>0.51251317786585338</v>
      </c>
      <c r="Y45" s="55">
        <f t="shared" si="20"/>
        <v>-12.286205040882292</v>
      </c>
      <c r="AA45" s="15">
        <v>98</v>
      </c>
      <c r="AB45" s="54">
        <f t="shared" si="35"/>
        <v>0.51188280781487061</v>
      </c>
      <c r="AC45" s="54">
        <f t="shared" si="22"/>
        <v>0.5125118906273074</v>
      </c>
      <c r="AD45" s="55">
        <f t="shared" si="23"/>
        <v>-12.274501800666471</v>
      </c>
    </row>
    <row r="46" spans="1:51">
      <c r="B46" s="140"/>
      <c r="C46" s="15" t="s">
        <v>329</v>
      </c>
      <c r="D46" s="14" t="s">
        <v>346</v>
      </c>
      <c r="E46" s="52">
        <v>16.37</v>
      </c>
      <c r="F46" s="52">
        <v>78.8</v>
      </c>
      <c r="G46" s="53">
        <v>0.11914893617021277</v>
      </c>
      <c r="H46" s="54">
        <v>0.51188999999999996</v>
      </c>
      <c r="I46" s="54">
        <v>1.2E-4</v>
      </c>
      <c r="J46" s="55">
        <f t="shared" si="36"/>
        <v>-14.591193005591974</v>
      </c>
      <c r="K46" s="35">
        <f t="shared" si="28"/>
        <v>2.3408331025009943</v>
      </c>
      <c r="L46" s="15">
        <v>97.5</v>
      </c>
      <c r="M46" s="54">
        <f t="shared" si="29"/>
        <v>0.51181400045287051</v>
      </c>
      <c r="N46" s="55">
        <f t="shared" si="30"/>
        <v>-13.629594362752906</v>
      </c>
      <c r="O46" s="35">
        <f t="shared" si="31"/>
        <v>2.3414061507043282</v>
      </c>
      <c r="P46" s="35">
        <f t="shared" si="32"/>
        <v>2.0449227967363357</v>
      </c>
      <c r="Q46" s="54">
        <f t="shared" si="33"/>
        <v>0.51251253424763266</v>
      </c>
      <c r="S46" s="52" t="s">
        <v>35</v>
      </c>
      <c r="T46" s="52" t="s">
        <v>34</v>
      </c>
      <c r="U46" s="17"/>
      <c r="V46" s="52">
        <v>97</v>
      </c>
      <c r="W46" s="54">
        <f t="shared" si="34"/>
        <v>0.51181439031777287</v>
      </c>
      <c r="X46" s="35">
        <f t="shared" si="19"/>
        <v>0.51251317786585338</v>
      </c>
      <c r="Y46" s="55">
        <f t="shared" si="20"/>
        <v>-13.63452840354884</v>
      </c>
      <c r="AA46" s="15">
        <v>98</v>
      </c>
      <c r="AB46" s="54">
        <f t="shared" si="35"/>
        <v>0.51181361058669328</v>
      </c>
      <c r="AC46" s="54">
        <f t="shared" si="22"/>
        <v>0.5125118906273074</v>
      </c>
      <c r="AD46" s="55">
        <f t="shared" si="23"/>
        <v>-13.624660293430901</v>
      </c>
    </row>
    <row r="47" spans="1:51">
      <c r="B47" s="140"/>
      <c r="C47" s="15" t="s">
        <v>329</v>
      </c>
      <c r="D47" s="14" t="s">
        <v>346</v>
      </c>
      <c r="E47" s="52">
        <v>12.72</v>
      </c>
      <c r="F47" s="52">
        <v>58.1</v>
      </c>
      <c r="G47" s="53">
        <v>0.12773722627737227</v>
      </c>
      <c r="H47" s="54">
        <v>0.51188999999999996</v>
      </c>
      <c r="I47" s="54">
        <v>1E-4</v>
      </c>
      <c r="J47" s="55">
        <f t="shared" si="36"/>
        <v>-14.591193005591974</v>
      </c>
      <c r="K47" s="35">
        <f t="shared" si="28"/>
        <v>1.9506942520841619</v>
      </c>
      <c r="L47" s="15">
        <v>97.5</v>
      </c>
      <c r="M47" s="54">
        <f t="shared" si="29"/>
        <v>0.51180852238332375</v>
      </c>
      <c r="N47" s="55">
        <f t="shared" si="30"/>
        <v>-13.736480910508941</v>
      </c>
      <c r="O47" s="35">
        <f t="shared" si="31"/>
        <v>1.9511717922526817</v>
      </c>
      <c r="P47" s="35">
        <f t="shared" si="32"/>
        <v>2.2477304354553884</v>
      </c>
      <c r="Q47" s="54">
        <f t="shared" si="33"/>
        <v>0.51251253424763266</v>
      </c>
      <c r="S47" s="15" t="s">
        <v>36</v>
      </c>
      <c r="T47" s="15" t="s">
        <v>37</v>
      </c>
      <c r="U47" s="17"/>
      <c r="V47" s="15">
        <f t="shared" ref="V47:V73" si="37">94.6-2.1</f>
        <v>92.5</v>
      </c>
      <c r="W47" s="54">
        <f t="shared" si="34"/>
        <v>0.51181270198660422</v>
      </c>
      <c r="X47" s="35">
        <f t="shared" si="19"/>
        <v>0.51251897033513216</v>
      </c>
      <c r="Y47" s="55">
        <f t="shared" si="20"/>
        <v>-13.780335741838678</v>
      </c>
      <c r="AA47" s="15">
        <f>94.6+2.1</f>
        <v>96.699999999999989</v>
      </c>
      <c r="AB47" s="54">
        <f t="shared" si="35"/>
        <v>0.51180919112903311</v>
      </c>
      <c r="AC47" s="54">
        <f t="shared" si="22"/>
        <v>0.51251356403577564</v>
      </c>
      <c r="AD47" s="55">
        <f t="shared" si="23"/>
        <v>-13.743497853909714</v>
      </c>
    </row>
    <row r="48" spans="1:51">
      <c r="B48" s="140"/>
      <c r="C48" s="66" t="s">
        <v>404</v>
      </c>
      <c r="D48" s="14" t="s">
        <v>337</v>
      </c>
      <c r="E48" s="52">
        <v>28.45</v>
      </c>
      <c r="F48" s="52">
        <v>100.5</v>
      </c>
      <c r="G48" s="53">
        <v>0.15814587593728699</v>
      </c>
      <c r="H48" s="54">
        <v>0.51165499999999997</v>
      </c>
      <c r="I48" s="54">
        <v>3.3000000000000003E-5</v>
      </c>
      <c r="J48" s="55">
        <f t="shared" si="36"/>
        <v>-19.175324497989756</v>
      </c>
      <c r="K48" s="35">
        <f t="shared" si="28"/>
        <v>0.64372910318688525</v>
      </c>
      <c r="L48" s="15">
        <v>97.5</v>
      </c>
      <c r="M48" s="54">
        <f t="shared" si="29"/>
        <v>0.51155412612451312</v>
      </c>
      <c r="N48" s="55">
        <f t="shared" si="30"/>
        <v>-18.700188952968098</v>
      </c>
      <c r="O48" s="35">
        <f t="shared" si="31"/>
        <v>0.64388669144265975</v>
      </c>
      <c r="P48" s="35" t="str">
        <f t="shared" si="32"/>
        <v>N/A</v>
      </c>
      <c r="Q48" s="54">
        <f t="shared" si="33"/>
        <v>0.51251253424763266</v>
      </c>
      <c r="S48" s="15" t="s">
        <v>36</v>
      </c>
      <c r="T48" s="15" t="s">
        <v>37</v>
      </c>
      <c r="U48" s="17"/>
      <c r="V48" s="15">
        <f t="shared" si="37"/>
        <v>92.5</v>
      </c>
      <c r="W48" s="54">
        <f t="shared" si="34"/>
        <v>0.5115593007086271</v>
      </c>
      <c r="X48" s="35">
        <f t="shared" si="19"/>
        <v>0.51251897033513216</v>
      </c>
      <c r="Y48" s="55">
        <f t="shared" si="20"/>
        <v>-18.724567909701449</v>
      </c>
      <c r="AA48" s="15">
        <f t="shared" ref="AA48:AA73" si="38">94.6+2.1</f>
        <v>96.699999999999989</v>
      </c>
      <c r="AB48" s="54">
        <f t="shared" si="35"/>
        <v>0.51155495406934226</v>
      </c>
      <c r="AC48" s="54">
        <f t="shared" si="22"/>
        <v>0.51251356403577564</v>
      </c>
      <c r="AD48" s="55">
        <f t="shared" si="23"/>
        <v>-18.704089680765534</v>
      </c>
    </row>
    <row r="49" spans="2:30">
      <c r="B49" s="140"/>
      <c r="C49" s="66" t="s">
        <v>404</v>
      </c>
      <c r="D49" s="14" t="s">
        <v>337</v>
      </c>
      <c r="E49" s="52">
        <v>14.29</v>
      </c>
      <c r="F49" s="52">
        <v>36.28</v>
      </c>
      <c r="G49" s="53">
        <v>0.17223587223587225</v>
      </c>
      <c r="H49" s="54">
        <v>0.51158999999999999</v>
      </c>
      <c r="I49" s="54">
        <v>1E-4</v>
      </c>
      <c r="J49" s="55">
        <f t="shared" si="36"/>
        <v>-20.443275761844461</v>
      </c>
      <c r="K49" s="35">
        <f t="shared" si="28"/>
        <v>1.9506942520841619</v>
      </c>
      <c r="L49" s="15">
        <v>97.5</v>
      </c>
      <c r="M49" s="54">
        <f t="shared" si="29"/>
        <v>0.51148013877328558</v>
      </c>
      <c r="N49" s="55">
        <f t="shared" si="30"/>
        <v>-20.143809279955516</v>
      </c>
      <c r="O49" s="35">
        <f t="shared" si="31"/>
        <v>1.9511717922526834</v>
      </c>
      <c r="P49" s="35" t="str">
        <f t="shared" si="32"/>
        <v>N/A</v>
      </c>
      <c r="Q49" s="54">
        <f t="shared" si="33"/>
        <v>0.51251253424763266</v>
      </c>
      <c r="S49" s="15" t="s">
        <v>36</v>
      </c>
      <c r="T49" s="15" t="s">
        <v>37</v>
      </c>
      <c r="U49" s="17"/>
      <c r="V49" s="15">
        <f t="shared" si="37"/>
        <v>92.5</v>
      </c>
      <c r="W49" s="54">
        <f t="shared" si="34"/>
        <v>0.51148577438662701</v>
      </c>
      <c r="X49" s="35">
        <f t="shared" si="19"/>
        <v>0.51251897033513216</v>
      </c>
      <c r="Y49" s="55">
        <f t="shared" si="20"/>
        <v>-20.159174748781705</v>
      </c>
      <c r="AA49" s="15">
        <f t="shared" si="38"/>
        <v>96.699999999999989</v>
      </c>
      <c r="AB49" s="54">
        <f t="shared" si="35"/>
        <v>0.51148104048380427</v>
      </c>
      <c r="AC49" s="54">
        <f t="shared" si="22"/>
        <v>0.51251356403577564</v>
      </c>
      <c r="AD49" s="55">
        <f t="shared" si="23"/>
        <v>-20.146267814665777</v>
      </c>
    </row>
    <row r="50" spans="2:30">
      <c r="B50" s="140"/>
      <c r="C50" s="66" t="s">
        <v>404</v>
      </c>
      <c r="D50" s="14" t="s">
        <v>337</v>
      </c>
      <c r="E50" s="52">
        <v>19.75</v>
      </c>
      <c r="F50" s="52">
        <v>67.3</v>
      </c>
      <c r="G50" s="53">
        <v>0.17260416666666667</v>
      </c>
      <c r="H50" s="54">
        <v>0.51161999999999996</v>
      </c>
      <c r="I50" s="54">
        <v>1.2E-4</v>
      </c>
      <c r="J50" s="55">
        <f t="shared" si="36"/>
        <v>-19.858067486220321</v>
      </c>
      <c r="K50" s="35">
        <f t="shared" si="28"/>
        <v>2.3408331025021027</v>
      </c>
      <c r="L50" s="15">
        <v>97.5</v>
      </c>
      <c r="M50" s="54">
        <f t="shared" si="29"/>
        <v>0.51150990385545203</v>
      </c>
      <c r="N50" s="55">
        <f t="shared" si="30"/>
        <v>-19.563041392782754</v>
      </c>
      <c r="O50" s="35">
        <f t="shared" si="31"/>
        <v>2.3414061507043264</v>
      </c>
      <c r="P50" s="35" t="str">
        <f t="shared" si="32"/>
        <v>N/A</v>
      </c>
      <c r="Q50" s="54">
        <f t="shared" si="33"/>
        <v>0.51251253424763266</v>
      </c>
      <c r="S50" s="15" t="s">
        <v>36</v>
      </c>
      <c r="T50" s="15" t="s">
        <v>37</v>
      </c>
      <c r="U50" s="17"/>
      <c r="V50" s="15">
        <f t="shared" si="37"/>
        <v>92.5</v>
      </c>
      <c r="W50" s="54">
        <f t="shared" si="34"/>
        <v>0.51151555151950623</v>
      </c>
      <c r="X50" s="35">
        <f t="shared" si="19"/>
        <v>0.51251897033513216</v>
      </c>
      <c r="Y50" s="55">
        <f t="shared" si="20"/>
        <v>-19.578179027593954</v>
      </c>
      <c r="AA50" s="15">
        <f t="shared" si="38"/>
        <v>96.699999999999989</v>
      </c>
      <c r="AB50" s="54">
        <f t="shared" si="35"/>
        <v>0.51151080749411115</v>
      </c>
      <c r="AC50" s="54">
        <f t="shared" si="22"/>
        <v>0.51251356403577564</v>
      </c>
      <c r="AD50" s="55">
        <f t="shared" si="23"/>
        <v>-19.565463473167899</v>
      </c>
    </row>
    <row r="51" spans="2:30">
      <c r="B51" s="140"/>
      <c r="C51" s="66" t="s">
        <v>404</v>
      </c>
      <c r="D51" s="14" t="s">
        <v>337</v>
      </c>
      <c r="E51" s="52">
        <v>12.23</v>
      </c>
      <c r="F51" s="52">
        <v>42.6</v>
      </c>
      <c r="G51" s="53">
        <v>0.25045871559633026</v>
      </c>
      <c r="H51" s="54">
        <v>0.51166</v>
      </c>
      <c r="I51" s="54">
        <v>6.7000000000000002E-5</v>
      </c>
      <c r="J51" s="55">
        <f t="shared" si="36"/>
        <v>-19.077789785385548</v>
      </c>
      <c r="K51" s="35">
        <f t="shared" si="28"/>
        <v>1.3069651488972767</v>
      </c>
      <c r="L51" s="15">
        <v>97.5</v>
      </c>
      <c r="M51" s="54">
        <f t="shared" si="29"/>
        <v>0.51150024407122907</v>
      </c>
      <c r="N51" s="55">
        <f t="shared" si="30"/>
        <v>-19.7515203777332</v>
      </c>
      <c r="O51" s="35">
        <f t="shared" si="31"/>
        <v>1.3072851008100201</v>
      </c>
      <c r="P51" s="35" t="str">
        <f t="shared" si="32"/>
        <v>N/A</v>
      </c>
      <c r="Q51" s="54">
        <f t="shared" si="33"/>
        <v>0.51251253424763266</v>
      </c>
      <c r="S51" s="15" t="s">
        <v>36</v>
      </c>
      <c r="T51" s="15" t="s">
        <v>37</v>
      </c>
      <c r="U51" s="17"/>
      <c r="V51" s="15">
        <f t="shared" si="37"/>
        <v>92.5</v>
      </c>
      <c r="W51" s="54">
        <f t="shared" si="34"/>
        <v>0.51150843916125743</v>
      </c>
      <c r="X51" s="35">
        <f t="shared" si="19"/>
        <v>0.51251897033513216</v>
      </c>
      <c r="Y51" s="55">
        <f t="shared" si="20"/>
        <v>-19.716951612814839</v>
      </c>
      <c r="AA51" s="15">
        <f t="shared" si="38"/>
        <v>96.699999999999989</v>
      </c>
      <c r="AB51" s="54">
        <f t="shared" si="35"/>
        <v>0.51150155530364194</v>
      </c>
      <c r="AC51" s="54">
        <f t="shared" si="22"/>
        <v>0.51251356403577564</v>
      </c>
      <c r="AD51" s="55">
        <f t="shared" si="23"/>
        <v>-19.745989241038984</v>
      </c>
    </row>
    <row r="52" spans="2:30">
      <c r="B52" s="140" t="s">
        <v>17</v>
      </c>
      <c r="C52" s="66" t="s">
        <v>336</v>
      </c>
      <c r="D52" s="73" t="s">
        <v>347</v>
      </c>
      <c r="E52" s="52">
        <v>268.7</v>
      </c>
      <c r="F52" s="52">
        <v>809.3</v>
      </c>
      <c r="G52" s="53">
        <v>0.20002974419988101</v>
      </c>
      <c r="H52" s="54">
        <v>0.51180400000000004</v>
      </c>
      <c r="I52" s="54">
        <v>2.1999999999999999E-5</v>
      </c>
      <c r="J52" s="55">
        <f t="shared" si="36"/>
        <v>-16.268790062383687</v>
      </c>
      <c r="K52" s="35">
        <f t="shared" si="28"/>
        <v>0.42915273545829358</v>
      </c>
      <c r="L52" s="15">
        <v>94.6</v>
      </c>
      <c r="M52" s="54">
        <f t="shared" si="29"/>
        <v>0.51168020650716151</v>
      </c>
      <c r="N52" s="55">
        <f t="shared" si="30"/>
        <v>-16.312861666147871</v>
      </c>
      <c r="O52" s="35">
        <f t="shared" si="31"/>
        <v>0.42925466775978194</v>
      </c>
      <c r="P52" s="35" t="str">
        <f t="shared" si="32"/>
        <v>N/A</v>
      </c>
      <c r="Q52" s="54">
        <f t="shared" si="33"/>
        <v>0.51251626720401644</v>
      </c>
      <c r="S52" s="15" t="s">
        <v>36</v>
      </c>
      <c r="T52" s="15" t="s">
        <v>37</v>
      </c>
      <c r="U52" s="17"/>
      <c r="V52" s="15">
        <f t="shared" si="37"/>
        <v>92.5</v>
      </c>
      <c r="W52" s="54">
        <f t="shared" si="34"/>
        <v>0.51168295539697151</v>
      </c>
      <c r="X52" s="35">
        <f t="shared" si="19"/>
        <v>0.51251897033513216</v>
      </c>
      <c r="Y52" s="55">
        <f t="shared" si="20"/>
        <v>-16.311882809215696</v>
      </c>
      <c r="AA52" s="15">
        <f t="shared" si="38"/>
        <v>96.699999999999989</v>
      </c>
      <c r="AB52" s="54">
        <f t="shared" si="35"/>
        <v>0.51167745757959804</v>
      </c>
      <c r="AC52" s="54">
        <f t="shared" si="22"/>
        <v>0.51251356403577564</v>
      </c>
      <c r="AD52" s="55">
        <f t="shared" si="23"/>
        <v>-16.3138405468477</v>
      </c>
    </row>
    <row r="53" spans="2:30">
      <c r="B53" s="140"/>
      <c r="C53" s="66" t="s">
        <v>336</v>
      </c>
      <c r="D53" s="130" t="s">
        <v>347</v>
      </c>
      <c r="E53" s="52">
        <v>303.2</v>
      </c>
      <c r="F53" s="52">
        <v>874</v>
      </c>
      <c r="G53" s="53">
        <v>0.21236263736263736</v>
      </c>
      <c r="H53" s="54">
        <v>0.51180700000000001</v>
      </c>
      <c r="I53" s="54">
        <v>2.5000000000000001E-5</v>
      </c>
      <c r="J53" s="55">
        <f t="shared" si="36"/>
        <v>-16.210269234820942</v>
      </c>
      <c r="K53" s="35">
        <f t="shared" si="28"/>
        <v>0.48767356302215248</v>
      </c>
      <c r="L53" s="15">
        <v>94.6</v>
      </c>
      <c r="M53" s="54">
        <f t="shared" si="29"/>
        <v>0.51167557398267105</v>
      </c>
      <c r="N53" s="55">
        <f t="shared" si="30"/>
        <v>-16.40324951892147</v>
      </c>
      <c r="O53" s="35">
        <f t="shared" si="31"/>
        <v>0.48778939518157038</v>
      </c>
      <c r="P53" s="35" t="str">
        <f t="shared" si="32"/>
        <v>N/A</v>
      </c>
      <c r="Q53" s="54">
        <f t="shared" si="33"/>
        <v>0.51251626720401644</v>
      </c>
      <c r="S53" s="15" t="s">
        <v>36</v>
      </c>
      <c r="T53" s="15" t="s">
        <v>37</v>
      </c>
      <c r="U53" s="17"/>
      <c r="V53" s="15">
        <f t="shared" si="37"/>
        <v>92.5</v>
      </c>
      <c r="W53" s="54">
        <f t="shared" si="34"/>
        <v>0.51167849235609697</v>
      </c>
      <c r="X53" s="35">
        <f t="shared" si="19"/>
        <v>0.51251897033513216</v>
      </c>
      <c r="Y53" s="55">
        <f t="shared" si="20"/>
        <v>-16.398963310286785</v>
      </c>
      <c r="AA53" s="15">
        <f t="shared" si="38"/>
        <v>96.699999999999989</v>
      </c>
      <c r="AB53" s="54">
        <f t="shared" si="35"/>
        <v>0.51167265556916386</v>
      </c>
      <c r="AC53" s="54">
        <f t="shared" si="22"/>
        <v>0.51251356403577564</v>
      </c>
      <c r="AD53" s="55">
        <f t="shared" si="23"/>
        <v>-16.407535831638455</v>
      </c>
    </row>
    <row r="54" spans="2:30">
      <c r="B54" s="140"/>
      <c r="C54" s="66" t="s">
        <v>336</v>
      </c>
      <c r="D54" s="130" t="s">
        <v>347</v>
      </c>
      <c r="E54" s="52">
        <v>284.89999999999998</v>
      </c>
      <c r="F54" s="52">
        <v>837</v>
      </c>
      <c r="G54" s="53">
        <v>0.20584045584045585</v>
      </c>
      <c r="H54" s="54">
        <v>0.51182000000000005</v>
      </c>
      <c r="I54" s="54">
        <v>2.8E-5</v>
      </c>
      <c r="J54" s="55">
        <f t="shared" si="36"/>
        <v>-15.956678982049777</v>
      </c>
      <c r="K54" s="35">
        <f t="shared" si="28"/>
        <v>0.5461943905848976</v>
      </c>
      <c r="L54" s="15">
        <v>94.6</v>
      </c>
      <c r="M54" s="54">
        <f t="shared" si="29"/>
        <v>0.51169261040052882</v>
      </c>
      <c r="N54" s="55">
        <f t="shared" si="30"/>
        <v>-16.070842160406109</v>
      </c>
      <c r="O54" s="35">
        <f t="shared" si="31"/>
        <v>0.54632412260336061</v>
      </c>
      <c r="P54" s="35" t="str">
        <f t="shared" si="32"/>
        <v>N/A</v>
      </c>
      <c r="Q54" s="54">
        <f t="shared" si="33"/>
        <v>0.51251626720401644</v>
      </c>
      <c r="S54" s="15" t="s">
        <v>36</v>
      </c>
      <c r="T54" s="15" t="s">
        <v>37</v>
      </c>
      <c r="U54" s="17"/>
      <c r="V54" s="15">
        <f t="shared" si="37"/>
        <v>92.5</v>
      </c>
      <c r="W54" s="54">
        <f t="shared" si="34"/>
        <v>0.51169543914349302</v>
      </c>
      <c r="X54" s="35">
        <f t="shared" si="19"/>
        <v>0.51251897033513216</v>
      </c>
      <c r="Y54" s="55">
        <f t="shared" si="20"/>
        <v>-16.068306527281528</v>
      </c>
      <c r="AA54" s="15">
        <f t="shared" si="38"/>
        <v>96.699999999999989</v>
      </c>
      <c r="AB54" s="54">
        <f t="shared" si="35"/>
        <v>0.51168978161871437</v>
      </c>
      <c r="AC54" s="54">
        <f t="shared" si="22"/>
        <v>0.51251356403577564</v>
      </c>
      <c r="AD54" s="55">
        <f t="shared" si="23"/>
        <v>-16.073377855103654</v>
      </c>
    </row>
    <row r="55" spans="2:30">
      <c r="B55" s="140"/>
      <c r="C55" s="66" t="s">
        <v>336</v>
      </c>
      <c r="D55" s="130" t="s">
        <v>347</v>
      </c>
      <c r="E55" s="52">
        <v>330</v>
      </c>
      <c r="F55" s="52">
        <v>878</v>
      </c>
      <c r="G55" s="53">
        <v>0.22763337893296853</v>
      </c>
      <c r="H55" s="54">
        <v>0.511799</v>
      </c>
      <c r="I55" s="54">
        <v>2.5999999999999998E-5</v>
      </c>
      <c r="J55" s="55">
        <f t="shared" si="36"/>
        <v>-16.366324774987895</v>
      </c>
      <c r="K55" s="35">
        <f t="shared" si="28"/>
        <v>0.50718050554121596</v>
      </c>
      <c r="L55" s="15">
        <v>94.6</v>
      </c>
      <c r="M55" s="54">
        <f t="shared" si="29"/>
        <v>0.51165812329600047</v>
      </c>
      <c r="N55" s="55">
        <f t="shared" si="30"/>
        <v>-16.74373991478295</v>
      </c>
      <c r="O55" s="35">
        <f t="shared" si="31"/>
        <v>0.5073009709877212</v>
      </c>
      <c r="P55" s="35" t="str">
        <f t="shared" si="32"/>
        <v>N/A</v>
      </c>
      <c r="Q55" s="54">
        <f t="shared" si="33"/>
        <v>0.51251626720401644</v>
      </c>
      <c r="S55" s="15" t="s">
        <v>36</v>
      </c>
      <c r="T55" s="15" t="s">
        <v>37</v>
      </c>
      <c r="U55" s="17"/>
      <c r="V55" s="15">
        <f t="shared" si="37"/>
        <v>92.5</v>
      </c>
      <c r="W55" s="54">
        <f t="shared" si="34"/>
        <v>0.51166125152614583</v>
      </c>
      <c r="X55" s="35">
        <f t="shared" si="19"/>
        <v>0.51251897033513216</v>
      </c>
      <c r="Y55" s="55">
        <f t="shared" si="20"/>
        <v>-16.735357296637776</v>
      </c>
      <c r="AA55" s="15">
        <f t="shared" si="38"/>
        <v>96.699999999999989</v>
      </c>
      <c r="AB55" s="54">
        <f t="shared" si="35"/>
        <v>0.5116549950228918</v>
      </c>
      <c r="AC55" s="54">
        <f t="shared" si="22"/>
        <v>0.51251356403577564</v>
      </c>
      <c r="AD55" s="55">
        <f t="shared" si="23"/>
        <v>-16.752122736480857</v>
      </c>
    </row>
    <row r="56" spans="2:30">
      <c r="B56" s="140"/>
      <c r="C56" s="66" t="s">
        <v>336</v>
      </c>
      <c r="D56" s="130" t="s">
        <v>347</v>
      </c>
      <c r="E56" s="52">
        <v>315.39999999999998</v>
      </c>
      <c r="F56" s="52">
        <v>798</v>
      </c>
      <c r="G56" s="53">
        <v>0.23792270531400969</v>
      </c>
      <c r="H56" s="54">
        <v>0.51185700000000001</v>
      </c>
      <c r="I56" s="54">
        <v>2.0000000000000002E-5</v>
      </c>
      <c r="J56" s="55">
        <f t="shared" si="36"/>
        <v>-15.234922108778859</v>
      </c>
      <c r="K56" s="35">
        <f t="shared" si="28"/>
        <v>0.39013885041683238</v>
      </c>
      <c r="L56" s="15">
        <v>94.6</v>
      </c>
      <c r="M56" s="54">
        <f t="shared" si="29"/>
        <v>0.51170975548476938</v>
      </c>
      <c r="N56" s="55">
        <f t="shared" si="30"/>
        <v>-15.736314549524844</v>
      </c>
      <c r="O56" s="35">
        <f t="shared" si="31"/>
        <v>0.39023151614525631</v>
      </c>
      <c r="P56" s="35" t="str">
        <f t="shared" si="32"/>
        <v>N/A</v>
      </c>
      <c r="Q56" s="54">
        <f t="shared" si="33"/>
        <v>0.51251626720401644</v>
      </c>
      <c r="S56" s="15" t="s">
        <v>36</v>
      </c>
      <c r="T56" s="15" t="s">
        <v>37</v>
      </c>
      <c r="U56" s="17"/>
      <c r="V56" s="15">
        <f t="shared" si="37"/>
        <v>92.5</v>
      </c>
      <c r="W56" s="54">
        <f t="shared" si="34"/>
        <v>0.51171302511500771</v>
      </c>
      <c r="X56" s="35">
        <f t="shared" si="19"/>
        <v>0.51251897033513216</v>
      </c>
      <c r="Y56" s="55">
        <f t="shared" si="20"/>
        <v>-15.725178320666888</v>
      </c>
      <c r="AA56" s="15">
        <f t="shared" si="38"/>
        <v>96.699999999999989</v>
      </c>
      <c r="AB56" s="54">
        <f t="shared" si="35"/>
        <v>0.51170648580962563</v>
      </c>
      <c r="AC56" s="54">
        <f t="shared" si="22"/>
        <v>0.51251356403577564</v>
      </c>
      <c r="AD56" s="55">
        <f t="shared" si="23"/>
        <v>-15.747451048800931</v>
      </c>
    </row>
    <row r="57" spans="2:30">
      <c r="B57" s="140"/>
      <c r="C57" s="66" t="s">
        <v>336</v>
      </c>
      <c r="D57" s="130" t="s">
        <v>347</v>
      </c>
      <c r="E57" s="52">
        <v>308.10000000000002</v>
      </c>
      <c r="F57" s="52">
        <v>789</v>
      </c>
      <c r="G57" s="53">
        <v>0.23926282051282052</v>
      </c>
      <c r="H57" s="54">
        <v>0.51184399999999997</v>
      </c>
      <c r="I57" s="54">
        <v>2.6999999999999999E-5</v>
      </c>
      <c r="J57" s="55">
        <f t="shared" si="36"/>
        <v>-15.488512361551132</v>
      </c>
      <c r="K57" s="35">
        <f t="shared" si="28"/>
        <v>0.52668744806250167</v>
      </c>
      <c r="L57" s="15">
        <v>94.6</v>
      </c>
      <c r="M57" s="54">
        <f t="shared" si="29"/>
        <v>0.51169592612040693</v>
      </c>
      <c r="N57" s="55">
        <f t="shared" si="30"/>
        <v>-16.006147240648083</v>
      </c>
      <c r="O57" s="35">
        <f t="shared" si="31"/>
        <v>0.52681254679498579</v>
      </c>
      <c r="P57" s="35" t="str">
        <f t="shared" si="32"/>
        <v>N/A</v>
      </c>
      <c r="Q57" s="54">
        <f t="shared" si="33"/>
        <v>0.51251626720401644</v>
      </c>
      <c r="S57" s="15" t="s">
        <v>36</v>
      </c>
      <c r="T57" s="15" t="s">
        <v>37</v>
      </c>
      <c r="U57" s="17"/>
      <c r="V57" s="15">
        <f t="shared" si="37"/>
        <v>92.5</v>
      </c>
      <c r="W57" s="54">
        <f t="shared" si="34"/>
        <v>0.51169921416705144</v>
      </c>
      <c r="X57" s="35">
        <f t="shared" si="19"/>
        <v>0.51251897033513216</v>
      </c>
      <c r="Y57" s="55">
        <f t="shared" si="20"/>
        <v>-15.994650257427079</v>
      </c>
      <c r="AA57" s="15">
        <f t="shared" si="38"/>
        <v>96.699999999999989</v>
      </c>
      <c r="AB57" s="54">
        <f t="shared" si="35"/>
        <v>0.5116926380286041</v>
      </c>
      <c r="AC57" s="54">
        <f t="shared" si="22"/>
        <v>0.51251356403577564</v>
      </c>
      <c r="AD57" s="55">
        <f t="shared" si="23"/>
        <v>-16.01764450304799</v>
      </c>
    </row>
    <row r="58" spans="2:30">
      <c r="B58" s="140"/>
      <c r="C58" s="66" t="s">
        <v>336</v>
      </c>
      <c r="D58" s="130" t="s">
        <v>347</v>
      </c>
      <c r="E58" s="52">
        <v>307</v>
      </c>
      <c r="F58" s="52">
        <v>891</v>
      </c>
      <c r="G58" s="53">
        <v>0.20492676431424767</v>
      </c>
      <c r="H58" s="54">
        <v>0.51184200000000002</v>
      </c>
      <c r="I58" s="54">
        <v>2.8E-5</v>
      </c>
      <c r="J58" s="55">
        <f t="shared" si="36"/>
        <v>-15.527526246591483</v>
      </c>
      <c r="K58" s="35">
        <f t="shared" si="28"/>
        <v>0.54619439058378738</v>
      </c>
      <c r="L58" s="15">
        <v>94.6</v>
      </c>
      <c r="M58" s="54">
        <f t="shared" si="29"/>
        <v>0.51171517586175985</v>
      </c>
      <c r="N58" s="55">
        <f t="shared" si="30"/>
        <v>-15.630554452971124</v>
      </c>
      <c r="O58" s="35">
        <f t="shared" si="31"/>
        <v>0.54632412260335883</v>
      </c>
      <c r="P58" s="35" t="str">
        <f t="shared" si="32"/>
        <v>N/A</v>
      </c>
      <c r="Q58" s="54">
        <f t="shared" si="33"/>
        <v>0.51251626720401644</v>
      </c>
      <c r="S58" s="15" t="s">
        <v>36</v>
      </c>
      <c r="T58" s="15" t="s">
        <v>37</v>
      </c>
      <c r="U58" s="17"/>
      <c r="V58" s="15">
        <f t="shared" si="37"/>
        <v>92.5</v>
      </c>
      <c r="W58" s="54">
        <f t="shared" si="34"/>
        <v>0.51171799204840485</v>
      </c>
      <c r="X58" s="35">
        <f t="shared" si="19"/>
        <v>0.51251897033513216</v>
      </c>
      <c r="Y58" s="55">
        <f t="shared" si="20"/>
        <v>-15.628266134296576</v>
      </c>
      <c r="AA58" s="15">
        <f t="shared" si="38"/>
        <v>96.699999999999989</v>
      </c>
      <c r="AB58" s="54">
        <f t="shared" si="35"/>
        <v>0.51171235963643702</v>
      </c>
      <c r="AC58" s="54">
        <f t="shared" si="22"/>
        <v>0.51251356403577564</v>
      </c>
      <c r="AD58" s="55">
        <f t="shared" si="23"/>
        <v>-15.632842827213445</v>
      </c>
    </row>
    <row r="59" spans="2:30">
      <c r="B59" s="140"/>
      <c r="C59" s="66" t="s">
        <v>336</v>
      </c>
      <c r="D59" s="130" t="s">
        <v>347</v>
      </c>
      <c r="E59" s="52">
        <v>238</v>
      </c>
      <c r="F59" s="52">
        <v>517.29999999999995</v>
      </c>
      <c r="G59" s="53">
        <v>0.27610703291498934</v>
      </c>
      <c r="H59" s="54">
        <v>0.51183400000000001</v>
      </c>
      <c r="I59" s="54">
        <v>3.8000000000000002E-5</v>
      </c>
      <c r="J59" s="55">
        <f t="shared" si="36"/>
        <v>-15.683581786758438</v>
      </c>
      <c r="K59" s="35">
        <f t="shared" si="28"/>
        <v>0.74126381579220357</v>
      </c>
      <c r="L59" s="15">
        <v>94.6</v>
      </c>
      <c r="M59" s="54">
        <f t="shared" si="29"/>
        <v>0.51166312414281911</v>
      </c>
      <c r="N59" s="55">
        <f t="shared" si="30"/>
        <v>-16.646165512981259</v>
      </c>
      <c r="O59" s="35">
        <f t="shared" si="31"/>
        <v>0.74143988067487676</v>
      </c>
      <c r="P59" s="35" t="str">
        <f t="shared" si="32"/>
        <v>N/A</v>
      </c>
      <c r="Q59" s="54">
        <f t="shared" si="33"/>
        <v>0.51251626720401644</v>
      </c>
      <c r="S59" s="15" t="s">
        <v>36</v>
      </c>
      <c r="T59" s="15" t="s">
        <v>37</v>
      </c>
      <c r="U59" s="17"/>
      <c r="V59" s="15">
        <f t="shared" si="37"/>
        <v>92.5</v>
      </c>
      <c r="W59" s="54">
        <f t="shared" si="34"/>
        <v>0.51166691851756219</v>
      </c>
      <c r="X59" s="35">
        <f t="shared" si="19"/>
        <v>0.51251897033513216</v>
      </c>
      <c r="Y59" s="55">
        <f t="shared" si="20"/>
        <v>-16.624785947197964</v>
      </c>
      <c r="AA59" s="15">
        <f t="shared" si="38"/>
        <v>96.699999999999989</v>
      </c>
      <c r="AB59" s="54">
        <f t="shared" si="35"/>
        <v>0.51165932971596384</v>
      </c>
      <c r="AC59" s="54">
        <f t="shared" si="22"/>
        <v>0.51251356403577564</v>
      </c>
      <c r="AD59" s="55">
        <f t="shared" si="23"/>
        <v>-16.667545597918163</v>
      </c>
    </row>
    <row r="60" spans="2:30">
      <c r="B60" s="140"/>
      <c r="C60" s="66" t="s">
        <v>336</v>
      </c>
      <c r="D60" s="130" t="s">
        <v>347</v>
      </c>
      <c r="E60" s="52">
        <v>358</v>
      </c>
      <c r="F60" s="52">
        <v>1020</v>
      </c>
      <c r="G60" s="53">
        <v>0.22222222222222221</v>
      </c>
      <c r="H60" s="54">
        <v>0.511791</v>
      </c>
      <c r="I60" s="54">
        <v>2.9E-5</v>
      </c>
      <c r="J60" s="55">
        <f t="shared" si="36"/>
        <v>-16.522380315154848</v>
      </c>
      <c r="K60" s="35">
        <f t="shared" si="28"/>
        <v>0.56570133310285087</v>
      </c>
      <c r="L60" s="15">
        <v>94.6</v>
      </c>
      <c r="M60" s="54">
        <f t="shared" si="29"/>
        <v>0.51165347212790646</v>
      </c>
      <c r="N60" s="55">
        <f t="shared" si="30"/>
        <v>-16.834491533641582</v>
      </c>
      <c r="O60" s="35">
        <f t="shared" si="31"/>
        <v>0.56583569840839942</v>
      </c>
      <c r="P60" s="35" t="str">
        <f t="shared" si="32"/>
        <v>N/A</v>
      </c>
      <c r="Q60" s="54">
        <f t="shared" si="33"/>
        <v>0.51251626720401644</v>
      </c>
      <c r="S60" s="15" t="s">
        <v>36</v>
      </c>
      <c r="T60" s="15" t="s">
        <v>37</v>
      </c>
      <c r="U60" s="17"/>
      <c r="V60" s="15">
        <f t="shared" si="37"/>
        <v>92.5</v>
      </c>
      <c r="W60" s="54">
        <f t="shared" si="34"/>
        <v>0.51165652599574329</v>
      </c>
      <c r="X60" s="35">
        <f t="shared" si="19"/>
        <v>0.51251897033513216</v>
      </c>
      <c r="Y60" s="55">
        <f t="shared" si="20"/>
        <v>-16.827559355020448</v>
      </c>
      <c r="AA60" s="15">
        <f t="shared" si="38"/>
        <v>96.699999999999989</v>
      </c>
      <c r="AB60" s="54">
        <f t="shared" si="35"/>
        <v>0.51165041821812751</v>
      </c>
      <c r="AC60" s="54">
        <f t="shared" si="22"/>
        <v>0.51251356403577564</v>
      </c>
      <c r="AD60" s="55">
        <f t="shared" si="23"/>
        <v>-16.841423880595841</v>
      </c>
    </row>
    <row r="61" spans="2:30">
      <c r="B61" s="140"/>
      <c r="C61" s="66" t="s">
        <v>336</v>
      </c>
      <c r="D61" s="130" t="s">
        <v>347</v>
      </c>
      <c r="E61" s="52">
        <v>323.3</v>
      </c>
      <c r="F61" s="52">
        <v>799</v>
      </c>
      <c r="G61" s="53">
        <v>0.24102564102564103</v>
      </c>
      <c r="H61" s="54">
        <v>0.51181900000000002</v>
      </c>
      <c r="I61" s="54">
        <v>2.5999999999999998E-5</v>
      </c>
      <c r="J61" s="55">
        <f t="shared" si="36"/>
        <v>-15.976185924571062</v>
      </c>
      <c r="K61" s="35">
        <f t="shared" si="28"/>
        <v>0.50718050554121596</v>
      </c>
      <c r="L61" s="15">
        <v>94.6</v>
      </c>
      <c r="M61" s="54">
        <f t="shared" si="29"/>
        <v>0.51166983515411391</v>
      </c>
      <c r="N61" s="55">
        <f t="shared" si="30"/>
        <v>-16.515223107359532</v>
      </c>
      <c r="O61" s="35">
        <f t="shared" si="31"/>
        <v>0.5073009709877212</v>
      </c>
      <c r="P61" s="35" t="str">
        <f t="shared" si="32"/>
        <v>N/A</v>
      </c>
      <c r="Q61" s="54">
        <f t="shared" si="33"/>
        <v>0.51251626720401644</v>
      </c>
      <c r="S61" s="15" t="s">
        <v>36</v>
      </c>
      <c r="T61" s="15" t="s">
        <v>37</v>
      </c>
      <c r="U61" s="17"/>
      <c r="V61" s="15">
        <f t="shared" si="37"/>
        <v>92.5</v>
      </c>
      <c r="W61" s="54">
        <f t="shared" si="34"/>
        <v>0.51167314742615233</v>
      </c>
      <c r="X61" s="35">
        <f t="shared" si="19"/>
        <v>0.51251897033513216</v>
      </c>
      <c r="Y61" s="55">
        <f t="shared" si="20"/>
        <v>-16.50325076605008</v>
      </c>
      <c r="AA61" s="15">
        <f t="shared" si="38"/>
        <v>96.699999999999989</v>
      </c>
      <c r="AB61" s="54">
        <f t="shared" si="35"/>
        <v>0.51166652283658454</v>
      </c>
      <c r="AC61" s="54">
        <f t="shared" si="22"/>
        <v>0.51251356403577564</v>
      </c>
      <c r="AD61" s="55">
        <f t="shared" si="23"/>
        <v>-16.527195739388656</v>
      </c>
    </row>
    <row r="62" spans="2:30">
      <c r="B62" s="140"/>
      <c r="C62" s="66" t="s">
        <v>336</v>
      </c>
      <c r="D62" s="130" t="s">
        <v>347</v>
      </c>
      <c r="E62" s="52">
        <v>355.4</v>
      </c>
      <c r="F62" s="52">
        <v>921</v>
      </c>
      <c r="G62" s="53">
        <v>0.22986842105263161</v>
      </c>
      <c r="H62" s="54">
        <v>0.511818</v>
      </c>
      <c r="I62" s="54">
        <v>1.9000000000000001E-5</v>
      </c>
      <c r="J62" s="55">
        <f t="shared" si="36"/>
        <v>-15.995692867092348</v>
      </c>
      <c r="K62" s="35">
        <f t="shared" si="28"/>
        <v>0.37063190789554668</v>
      </c>
      <c r="L62" s="15">
        <v>94.6</v>
      </c>
      <c r="M62" s="54">
        <f t="shared" si="29"/>
        <v>0.51167574008336003</v>
      </c>
      <c r="N62" s="55">
        <f t="shared" si="30"/>
        <v>-16.400008632737606</v>
      </c>
      <c r="O62" s="35">
        <f t="shared" si="31"/>
        <v>0.37071994033799527</v>
      </c>
      <c r="P62" s="35" t="str">
        <f t="shared" si="32"/>
        <v>N/A</v>
      </c>
      <c r="Q62" s="54">
        <f t="shared" si="33"/>
        <v>0.51251626720401644</v>
      </c>
      <c r="S62" s="15" t="s">
        <v>36</v>
      </c>
      <c r="T62" s="15" t="s">
        <v>37</v>
      </c>
      <c r="U62" s="17"/>
      <c r="V62" s="15">
        <f t="shared" si="37"/>
        <v>92.5</v>
      </c>
      <c r="W62" s="54">
        <f t="shared" si="34"/>
        <v>0.51167889902835995</v>
      </c>
      <c r="X62" s="35">
        <f t="shared" si="19"/>
        <v>0.51251897033513216</v>
      </c>
      <c r="Y62" s="55">
        <f t="shared" si="20"/>
        <v>-16.391028535449603</v>
      </c>
      <c r="AA62" s="15">
        <f t="shared" si="38"/>
        <v>96.699999999999989</v>
      </c>
      <c r="AB62" s="54">
        <f t="shared" si="35"/>
        <v>0.51167258109497493</v>
      </c>
      <c r="AC62" s="54">
        <f t="shared" si="22"/>
        <v>0.51251356403577564</v>
      </c>
      <c r="AD62" s="55">
        <f t="shared" si="23"/>
        <v>-16.408988948085621</v>
      </c>
    </row>
    <row r="63" spans="2:30">
      <c r="B63" s="140"/>
      <c r="C63" s="66" t="s">
        <v>336</v>
      </c>
      <c r="D63" s="130" t="s">
        <v>347</v>
      </c>
      <c r="E63" s="52">
        <v>268.89999999999998</v>
      </c>
      <c r="F63" s="52">
        <v>768.4</v>
      </c>
      <c r="G63" s="53">
        <v>0.21194555644515614</v>
      </c>
      <c r="H63" s="54">
        <v>0.511826</v>
      </c>
      <c r="I63" s="54">
        <v>2.6999999999999999E-5</v>
      </c>
      <c r="J63" s="55">
        <f t="shared" si="36"/>
        <v>-15.839637326925393</v>
      </c>
      <c r="K63" s="35">
        <f t="shared" si="28"/>
        <v>0.52668744806250167</v>
      </c>
      <c r="L63" s="15">
        <v>94.6</v>
      </c>
      <c r="M63" s="54">
        <f t="shared" si="29"/>
        <v>0.51169483210380085</v>
      </c>
      <c r="N63" s="55">
        <f t="shared" si="30"/>
        <v>-16.027493228593094</v>
      </c>
      <c r="O63" s="35">
        <f t="shared" si="31"/>
        <v>0.52681254679609779</v>
      </c>
      <c r="P63" s="35" t="str">
        <f t="shared" si="32"/>
        <v>N/A</v>
      </c>
      <c r="Q63" s="54">
        <f t="shared" si="33"/>
        <v>0.51251626720401644</v>
      </c>
      <c r="S63" s="15" t="s">
        <v>36</v>
      </c>
      <c r="T63" s="15" t="s">
        <v>37</v>
      </c>
      <c r="U63" s="17"/>
      <c r="V63" s="15">
        <f t="shared" si="37"/>
        <v>92.5</v>
      </c>
      <c r="W63" s="54">
        <f t="shared" si="34"/>
        <v>0.51169774474553187</v>
      </c>
      <c r="X63" s="35">
        <f t="shared" si="19"/>
        <v>0.51251897033513216</v>
      </c>
      <c r="Y63" s="55">
        <f t="shared" si="20"/>
        <v>-16.023320835584222</v>
      </c>
      <c r="AA63" s="15">
        <f t="shared" si="38"/>
        <v>96.699999999999989</v>
      </c>
      <c r="AB63" s="54">
        <f t="shared" si="35"/>
        <v>0.51169191942206749</v>
      </c>
      <c r="AC63" s="54">
        <f t="shared" si="22"/>
        <v>0.51251356403577564</v>
      </c>
      <c r="AD63" s="55">
        <f t="shared" si="23"/>
        <v>-16.031665722915367</v>
      </c>
    </row>
    <row r="64" spans="2:30">
      <c r="B64" s="140"/>
      <c r="C64" s="66" t="s">
        <v>336</v>
      </c>
      <c r="D64" s="130" t="s">
        <v>347</v>
      </c>
      <c r="E64" s="52">
        <v>287.3</v>
      </c>
      <c r="F64" s="52">
        <v>721.2</v>
      </c>
      <c r="G64" s="53">
        <v>0.23903590089330862</v>
      </c>
      <c r="H64" s="54">
        <v>0.51185999999999998</v>
      </c>
      <c r="I64" s="54">
        <v>2.6999999999999999E-5</v>
      </c>
      <c r="J64" s="55">
        <f t="shared" si="36"/>
        <v>-15.176401281217222</v>
      </c>
      <c r="K64" s="35">
        <f t="shared" si="28"/>
        <v>0.52668744806250167</v>
      </c>
      <c r="L64" s="15">
        <v>94.6</v>
      </c>
      <c r="M64" s="54">
        <f t="shared" si="29"/>
        <v>0.51171206655538282</v>
      </c>
      <c r="N64" s="55">
        <f t="shared" si="30"/>
        <v>-15.691221920054454</v>
      </c>
      <c r="O64" s="35">
        <f t="shared" si="31"/>
        <v>0.52681254679609602</v>
      </c>
      <c r="P64" s="35" t="str">
        <f t="shared" si="32"/>
        <v>N/A</v>
      </c>
      <c r="Q64" s="54">
        <f t="shared" si="33"/>
        <v>0.51251626720401644</v>
      </c>
      <c r="S64" s="15" t="s">
        <v>36</v>
      </c>
      <c r="T64" s="15" t="s">
        <v>37</v>
      </c>
      <c r="U64" s="17"/>
      <c r="V64" s="15">
        <f t="shared" si="37"/>
        <v>92.5</v>
      </c>
      <c r="W64" s="54">
        <f t="shared" si="34"/>
        <v>0.51171535148360592</v>
      </c>
      <c r="X64" s="35">
        <f t="shared" si="19"/>
        <v>0.51251897033513216</v>
      </c>
      <c r="Y64" s="55">
        <f t="shared" si="20"/>
        <v>-15.679787442809401</v>
      </c>
      <c r="AA64" s="15">
        <f t="shared" si="38"/>
        <v>96.699999999999989</v>
      </c>
      <c r="AB64" s="54">
        <f t="shared" si="35"/>
        <v>0.51170878158204414</v>
      </c>
      <c r="AC64" s="54">
        <f t="shared" si="22"/>
        <v>0.51251356403577564</v>
      </c>
      <c r="AD64" s="55">
        <f t="shared" si="23"/>
        <v>-15.702656674961846</v>
      </c>
    </row>
    <row r="65" spans="1:30">
      <c r="B65" s="140"/>
      <c r="C65" s="66" t="s">
        <v>336</v>
      </c>
      <c r="D65" s="130" t="s">
        <v>347</v>
      </c>
      <c r="E65" s="52">
        <v>314.10000000000002</v>
      </c>
      <c r="F65" s="52">
        <v>793</v>
      </c>
      <c r="G65" s="53">
        <v>0.2359090909090909</v>
      </c>
      <c r="H65" s="54">
        <v>0.511849</v>
      </c>
      <c r="I65" s="54">
        <v>2.3E-5</v>
      </c>
      <c r="J65" s="55">
        <f t="shared" si="36"/>
        <v>-15.390977648945814</v>
      </c>
      <c r="K65" s="35">
        <f t="shared" si="28"/>
        <v>0.44865967797957929</v>
      </c>
      <c r="L65" s="15">
        <v>94.6</v>
      </c>
      <c r="M65" s="54">
        <f t="shared" si="29"/>
        <v>0.51170300166123883</v>
      </c>
      <c r="N65" s="55">
        <f t="shared" si="30"/>
        <v>-15.868092289329505</v>
      </c>
      <c r="O65" s="35">
        <f t="shared" si="31"/>
        <v>0.44876624356593453</v>
      </c>
      <c r="P65" s="35" t="str">
        <f t="shared" si="32"/>
        <v>N/A</v>
      </c>
      <c r="Q65" s="54">
        <f t="shared" si="33"/>
        <v>0.51251626720401644</v>
      </c>
      <c r="S65" s="15" t="s">
        <v>36</v>
      </c>
      <c r="T65" s="15" t="s">
        <v>37</v>
      </c>
      <c r="U65" s="17"/>
      <c r="V65" s="15">
        <f t="shared" si="37"/>
        <v>92.5</v>
      </c>
      <c r="W65" s="54">
        <f t="shared" si="34"/>
        <v>0.51170624361957207</v>
      </c>
      <c r="X65" s="35">
        <f t="shared" si="19"/>
        <v>0.51251897033513216</v>
      </c>
      <c r="Y65" s="55">
        <f t="shared" si="20"/>
        <v>-15.857495285075407</v>
      </c>
      <c r="AA65" s="15">
        <f t="shared" si="38"/>
        <v>96.699999999999989</v>
      </c>
      <c r="AB65" s="54">
        <f t="shared" si="35"/>
        <v>0.51169975965838033</v>
      </c>
      <c r="AC65" s="54">
        <f t="shared" si="22"/>
        <v>0.51251356403577564</v>
      </c>
      <c r="AD65" s="55">
        <f t="shared" si="23"/>
        <v>-15.878689550907765</v>
      </c>
    </row>
    <row r="66" spans="1:30">
      <c r="B66" s="140"/>
      <c r="C66" s="66" t="s">
        <v>336</v>
      </c>
      <c r="D66" s="130" t="s">
        <v>347</v>
      </c>
      <c r="E66" s="52">
        <v>275.5</v>
      </c>
      <c r="F66" s="52">
        <v>677</v>
      </c>
      <c r="G66" s="53">
        <v>0.25178571428571428</v>
      </c>
      <c r="H66" s="54">
        <v>0.51183699999999999</v>
      </c>
      <c r="I66" s="54">
        <v>3.6999999999999998E-5</v>
      </c>
      <c r="J66" s="55">
        <f t="shared" si="36"/>
        <v>-15.625060959196801</v>
      </c>
      <c r="K66" s="35">
        <f t="shared" si="28"/>
        <v>0.72175687327091786</v>
      </c>
      <c r="L66" s="15">
        <v>94.6</v>
      </c>
      <c r="M66" s="54">
        <f t="shared" si="29"/>
        <v>0.51168117600920826</v>
      </c>
      <c r="N66" s="55">
        <f t="shared" si="30"/>
        <v>-16.29394515346716</v>
      </c>
      <c r="O66" s="35">
        <f t="shared" si="31"/>
        <v>0.72192830486761395</v>
      </c>
      <c r="P66" s="35" t="str">
        <f t="shared" si="32"/>
        <v>N/A</v>
      </c>
      <c r="Q66" s="54">
        <f t="shared" si="33"/>
        <v>0.51251626720401644</v>
      </c>
      <c r="S66" s="15" t="s">
        <v>36</v>
      </c>
      <c r="T66" s="15" t="s">
        <v>37</v>
      </c>
      <c r="U66" s="17"/>
      <c r="V66" s="15">
        <f t="shared" si="37"/>
        <v>92.5</v>
      </c>
      <c r="W66" s="54">
        <f t="shared" si="34"/>
        <v>0.51168463615053417</v>
      </c>
      <c r="X66" s="35">
        <f t="shared" si="19"/>
        <v>0.51251897033513216</v>
      </c>
      <c r="Y66" s="55">
        <f t="shared" si="20"/>
        <v>-16.279088831627764</v>
      </c>
      <c r="AA66" s="15">
        <f t="shared" si="38"/>
        <v>96.699999999999989</v>
      </c>
      <c r="AB66" s="54">
        <f t="shared" si="35"/>
        <v>0.51167771582036059</v>
      </c>
      <c r="AC66" s="54">
        <f t="shared" si="22"/>
        <v>0.51251356403577564</v>
      </c>
      <c r="AD66" s="55">
        <f t="shared" si="23"/>
        <v>-16.308801836056873</v>
      </c>
    </row>
    <row r="67" spans="1:30">
      <c r="B67" s="140"/>
      <c r="C67" s="66" t="s">
        <v>336</v>
      </c>
      <c r="D67" s="130" t="s">
        <v>347</v>
      </c>
      <c r="E67" s="52">
        <v>261.89999999999998</v>
      </c>
      <c r="F67" s="52">
        <v>787</v>
      </c>
      <c r="G67" s="53">
        <v>0.2035772357723577</v>
      </c>
      <c r="H67" s="54">
        <v>0.51182399999999995</v>
      </c>
      <c r="I67" s="54">
        <v>2.9E-5</v>
      </c>
      <c r="J67" s="55">
        <f t="shared" si="36"/>
        <v>-15.878651211967965</v>
      </c>
      <c r="K67" s="35">
        <f t="shared" si="28"/>
        <v>0.56570133310285264</v>
      </c>
      <c r="L67" s="15">
        <v>94.6</v>
      </c>
      <c r="M67" s="54">
        <f t="shared" si="29"/>
        <v>0.5116980110518089</v>
      </c>
      <c r="N67" s="55">
        <f t="shared" si="30"/>
        <v>-15.965466943546058</v>
      </c>
      <c r="O67" s="35">
        <f t="shared" si="31"/>
        <v>0.56583569840951142</v>
      </c>
      <c r="P67" s="35" t="str">
        <f t="shared" si="32"/>
        <v>N/A</v>
      </c>
      <c r="Q67" s="54">
        <f t="shared" si="33"/>
        <v>0.51251626720401644</v>
      </c>
      <c r="S67" s="15" t="s">
        <v>36</v>
      </c>
      <c r="T67" s="15" t="s">
        <v>37</v>
      </c>
      <c r="U67" s="17"/>
      <c r="V67" s="15">
        <f t="shared" si="37"/>
        <v>92.5</v>
      </c>
      <c r="W67" s="54">
        <f t="shared" si="34"/>
        <v>0.51170080869268575</v>
      </c>
      <c r="X67" s="35">
        <f t="shared" si="19"/>
        <v>0.51251897033513216</v>
      </c>
      <c r="Y67" s="55">
        <f t="shared" si="20"/>
        <v>-15.96353871372691</v>
      </c>
      <c r="AA67" s="15">
        <f t="shared" si="38"/>
        <v>96.699999999999989</v>
      </c>
      <c r="AB67" s="54">
        <f t="shared" si="35"/>
        <v>0.51169521337250901</v>
      </c>
      <c r="AC67" s="54">
        <f t="shared" si="22"/>
        <v>0.51251356403577564</v>
      </c>
      <c r="AD67" s="55">
        <f t="shared" si="23"/>
        <v>-15.967395220187752</v>
      </c>
    </row>
    <row r="68" spans="1:30">
      <c r="B68" s="140"/>
      <c r="C68" s="66" t="s">
        <v>336</v>
      </c>
      <c r="D68" s="130" t="s">
        <v>347</v>
      </c>
      <c r="E68" s="52">
        <v>236.6</v>
      </c>
      <c r="F68" s="52">
        <v>741</v>
      </c>
      <c r="G68" s="53">
        <v>0.1947916666666667</v>
      </c>
      <c r="H68" s="54">
        <v>0.51180899999999996</v>
      </c>
      <c r="I68" s="54">
        <v>3.1000000000000001E-5</v>
      </c>
      <c r="J68" s="55">
        <f t="shared" si="36"/>
        <v>-16.171255349780587</v>
      </c>
      <c r="K68" s="35">
        <f t="shared" si="28"/>
        <v>0.60471521814653251</v>
      </c>
      <c r="L68" s="15">
        <v>94.6</v>
      </c>
      <c r="M68" s="54">
        <f t="shared" si="29"/>
        <v>0.51168844822461801</v>
      </c>
      <c r="N68" s="55">
        <f t="shared" si="30"/>
        <v>-16.152052771213341</v>
      </c>
      <c r="O68" s="35">
        <f t="shared" si="31"/>
        <v>0.6048588500251455</v>
      </c>
      <c r="P68" s="35" t="str">
        <f t="shared" si="32"/>
        <v>N/A</v>
      </c>
      <c r="Q68" s="54">
        <f t="shared" si="33"/>
        <v>0.51251626720401644</v>
      </c>
      <c r="S68" s="15" t="s">
        <v>36</v>
      </c>
      <c r="T68" s="15" t="s">
        <v>37</v>
      </c>
      <c r="U68" s="17"/>
      <c r="V68" s="15">
        <f t="shared" si="37"/>
        <v>92.5</v>
      </c>
      <c r="W68" s="54">
        <f t="shared" si="34"/>
        <v>0.51169112513064363</v>
      </c>
      <c r="X68" s="35">
        <f t="shared" si="19"/>
        <v>0.51251897033513216</v>
      </c>
      <c r="Y68" s="55">
        <f t="shared" si="20"/>
        <v>-16.152479272079077</v>
      </c>
      <c r="AA68" s="15">
        <f t="shared" si="38"/>
        <v>96.699999999999989</v>
      </c>
      <c r="AB68" s="54">
        <f t="shared" si="35"/>
        <v>0.51168577128182735</v>
      </c>
      <c r="AC68" s="54">
        <f t="shared" si="22"/>
        <v>0.51251356403577564</v>
      </c>
      <c r="AD68" s="55">
        <f t="shared" si="23"/>
        <v>-16.151626259992558</v>
      </c>
    </row>
    <row r="69" spans="1:30">
      <c r="B69" s="140"/>
      <c r="C69" s="66" t="s">
        <v>336</v>
      </c>
      <c r="D69" s="130" t="s">
        <v>347</v>
      </c>
      <c r="E69" s="52">
        <v>299.39999999999998</v>
      </c>
      <c r="F69" s="52">
        <v>785</v>
      </c>
      <c r="G69" s="53">
        <v>0.22937399678972711</v>
      </c>
      <c r="H69" s="54">
        <v>0.51183400000000001</v>
      </c>
      <c r="I69" s="54">
        <v>3.1000000000000001E-5</v>
      </c>
      <c r="J69" s="55">
        <f t="shared" si="36"/>
        <v>-15.683581786758438</v>
      </c>
      <c r="K69" s="35">
        <f t="shared" si="28"/>
        <v>0.60471521814653428</v>
      </c>
      <c r="L69" s="15">
        <v>94.6</v>
      </c>
      <c r="M69" s="54">
        <f t="shared" si="29"/>
        <v>0.51169204607038565</v>
      </c>
      <c r="N69" s="55">
        <f t="shared" si="30"/>
        <v>-16.081853130774924</v>
      </c>
      <c r="O69" s="35">
        <f t="shared" si="31"/>
        <v>0.6048588500251455</v>
      </c>
      <c r="P69" s="35" t="str">
        <f t="shared" si="32"/>
        <v>N/A</v>
      </c>
      <c r="Q69" s="54">
        <f t="shared" si="33"/>
        <v>0.51251626720401644</v>
      </c>
      <c r="S69" s="15" t="s">
        <v>36</v>
      </c>
      <c r="T69" s="15" t="s">
        <v>37</v>
      </c>
      <c r="U69" s="17"/>
      <c r="V69" s="15">
        <f t="shared" si="37"/>
        <v>92.5</v>
      </c>
      <c r="W69" s="54">
        <f t="shared" si="34"/>
        <v>0.51169519822080689</v>
      </c>
      <c r="X69" s="35">
        <f t="shared" si="19"/>
        <v>0.51251897033513216</v>
      </c>
      <c r="Y69" s="55">
        <f t="shared" si="20"/>
        <v>-16.073007283742278</v>
      </c>
      <c r="AA69" s="15">
        <f t="shared" si="38"/>
        <v>96.699999999999989</v>
      </c>
      <c r="AB69" s="54">
        <f t="shared" si="35"/>
        <v>0.51168889387667238</v>
      </c>
      <c r="AC69" s="54">
        <f t="shared" si="22"/>
        <v>0.51251356403577564</v>
      </c>
      <c r="AD69" s="55">
        <f t="shared" si="23"/>
        <v>-16.090699192611304</v>
      </c>
    </row>
    <row r="70" spans="1:30">
      <c r="B70" s="140"/>
      <c r="C70" s="66" t="s">
        <v>336</v>
      </c>
      <c r="D70" s="130" t="s">
        <v>347</v>
      </c>
      <c r="E70" s="52">
        <v>201.2</v>
      </c>
      <c r="F70" s="52">
        <v>606.1</v>
      </c>
      <c r="G70" s="53">
        <v>0.20163122031798472</v>
      </c>
      <c r="H70" s="54">
        <v>0.51180800000000004</v>
      </c>
      <c r="I70" s="54">
        <v>3.4E-5</v>
      </c>
      <c r="J70" s="55">
        <f t="shared" si="36"/>
        <v>-16.190762292299652</v>
      </c>
      <c r="K70" s="35">
        <f t="shared" si="28"/>
        <v>0.66323604570816919</v>
      </c>
      <c r="L70" s="15">
        <v>94.6</v>
      </c>
      <c r="M70" s="54">
        <f t="shared" si="29"/>
        <v>0.51168321539294925</v>
      </c>
      <c r="N70" s="55">
        <f t="shared" si="30"/>
        <v>-16.254153563004525</v>
      </c>
      <c r="O70" s="35">
        <f t="shared" si="31"/>
        <v>0.6633935774458255</v>
      </c>
      <c r="P70" s="35" t="str">
        <f t="shared" si="32"/>
        <v>N/A</v>
      </c>
      <c r="Q70" s="54">
        <f t="shared" si="33"/>
        <v>0.51251626720401644</v>
      </c>
      <c r="S70" s="15" t="s">
        <v>36</v>
      </c>
      <c r="T70" s="15" t="s">
        <v>37</v>
      </c>
      <c r="U70" s="17"/>
      <c r="V70" s="15">
        <f t="shared" si="37"/>
        <v>92.5</v>
      </c>
      <c r="W70" s="54">
        <f t="shared" si="34"/>
        <v>0.51168598629089301</v>
      </c>
      <c r="X70" s="35">
        <f t="shared" si="19"/>
        <v>0.51251897033513216</v>
      </c>
      <c r="Y70" s="55">
        <f t="shared" si="20"/>
        <v>-16.252745604605767</v>
      </c>
      <c r="AA70" s="15">
        <f t="shared" si="38"/>
        <v>96.699999999999989</v>
      </c>
      <c r="AB70" s="54">
        <f t="shared" si="35"/>
        <v>0.5116804444569496</v>
      </c>
      <c r="AC70" s="54">
        <f t="shared" si="22"/>
        <v>0.51251356403577564</v>
      </c>
      <c r="AD70" s="55">
        <f t="shared" si="23"/>
        <v>-16.255561555593712</v>
      </c>
    </row>
    <row r="71" spans="1:30">
      <c r="B71" s="140"/>
      <c r="C71" s="66" t="s">
        <v>336</v>
      </c>
      <c r="D71" s="130" t="s">
        <v>347</v>
      </c>
      <c r="E71" s="52">
        <v>308.5</v>
      </c>
      <c r="F71" s="52">
        <v>780</v>
      </c>
      <c r="G71" s="53">
        <v>0.23557692307692307</v>
      </c>
      <c r="H71" s="54">
        <v>0.511853</v>
      </c>
      <c r="I71" s="54">
        <v>2.9E-5</v>
      </c>
      <c r="J71" s="55">
        <f t="shared" si="36"/>
        <v>-15.312949878862891</v>
      </c>
      <c r="K71" s="35">
        <f t="shared" si="28"/>
        <v>0.56570133310396287</v>
      </c>
      <c r="L71" s="15">
        <v>94.6</v>
      </c>
      <c r="M71" s="54">
        <f t="shared" si="29"/>
        <v>0.51170720723174701</v>
      </c>
      <c r="N71" s="55">
        <f t="shared" si="30"/>
        <v>-15.786034981546404</v>
      </c>
      <c r="O71" s="35">
        <f t="shared" si="31"/>
        <v>0.5658356984084012</v>
      </c>
      <c r="P71" s="35" t="str">
        <f t="shared" si="32"/>
        <v>N/A</v>
      </c>
      <c r="Q71" s="54">
        <f t="shared" si="33"/>
        <v>0.51251626720401644</v>
      </c>
      <c r="S71" s="15" t="s">
        <v>36</v>
      </c>
      <c r="T71" s="15" t="s">
        <v>37</v>
      </c>
      <c r="U71" s="17"/>
      <c r="V71" s="15">
        <f t="shared" si="37"/>
        <v>92.5</v>
      </c>
      <c r="W71" s="54">
        <f t="shared" si="34"/>
        <v>0.51171044462529514</v>
      </c>
      <c r="X71" s="35">
        <f t="shared" si="19"/>
        <v>0.51251897033513216</v>
      </c>
      <c r="Y71" s="55">
        <f t="shared" si="20"/>
        <v>-15.775527475759832</v>
      </c>
      <c r="AA71" s="15">
        <f t="shared" si="38"/>
        <v>96.699999999999989</v>
      </c>
      <c r="AB71" s="54">
        <f t="shared" si="35"/>
        <v>0.51170396979373611</v>
      </c>
      <c r="AC71" s="54">
        <f t="shared" si="22"/>
        <v>0.51251356403577564</v>
      </c>
      <c r="AD71" s="55">
        <f t="shared" si="23"/>
        <v>-15.796542742486652</v>
      </c>
    </row>
    <row r="72" spans="1:30">
      <c r="B72" s="140"/>
      <c r="C72" s="15" t="s">
        <v>328</v>
      </c>
      <c r="D72" s="14" t="s">
        <v>344</v>
      </c>
      <c r="E72" s="52">
        <v>73</v>
      </c>
      <c r="F72" s="52">
        <v>251.7</v>
      </c>
      <c r="G72" s="53">
        <v>0.18138957816377169</v>
      </c>
      <c r="H72" s="54">
        <v>0.511687</v>
      </c>
      <c r="I72" s="54">
        <v>4.5000000000000003E-5</v>
      </c>
      <c r="J72" s="55">
        <f t="shared" si="36"/>
        <v>-18.551102337323044</v>
      </c>
      <c r="K72" s="35">
        <f t="shared" si="28"/>
        <v>0.87781241343787286</v>
      </c>
      <c r="L72" s="15">
        <v>94.6</v>
      </c>
      <c r="M72" s="54">
        <f t="shared" si="29"/>
        <v>0.51157474244782841</v>
      </c>
      <c r="N72" s="55">
        <f t="shared" si="30"/>
        <v>-18.370631654764935</v>
      </c>
      <c r="O72" s="35">
        <f t="shared" si="31"/>
        <v>0.87802091132460447</v>
      </c>
      <c r="P72" s="35" t="str">
        <f t="shared" si="32"/>
        <v>N/A</v>
      </c>
      <c r="Q72" s="54">
        <f t="shared" si="33"/>
        <v>0.51251626720401644</v>
      </c>
      <c r="S72" s="15" t="s">
        <v>36</v>
      </c>
      <c r="T72" s="15" t="s">
        <v>37</v>
      </c>
      <c r="U72" s="17"/>
      <c r="V72" s="15">
        <f t="shared" si="37"/>
        <v>92.5</v>
      </c>
      <c r="W72" s="54">
        <f t="shared" si="34"/>
        <v>0.51157723517692244</v>
      </c>
      <c r="X72" s="35">
        <f t="shared" si="19"/>
        <v>0.51251897033513216</v>
      </c>
      <c r="Y72" s="55">
        <f t="shared" si="20"/>
        <v>-18.37464001759659</v>
      </c>
      <c r="AA72" s="15">
        <f t="shared" si="38"/>
        <v>96.699999999999989</v>
      </c>
      <c r="AB72" s="54">
        <f t="shared" si="35"/>
        <v>0.51157224968449888</v>
      </c>
      <c r="AC72" s="54">
        <f t="shared" si="22"/>
        <v>0.51251356403577564</v>
      </c>
      <c r="AD72" s="55">
        <f t="shared" si="23"/>
        <v>-18.366623194602248</v>
      </c>
    </row>
    <row r="73" spans="1:30">
      <c r="B73" s="140"/>
      <c r="C73" s="15" t="s">
        <v>328</v>
      </c>
      <c r="D73" s="14" t="s">
        <v>344</v>
      </c>
      <c r="E73" s="52">
        <v>67.599999999999994</v>
      </c>
      <c r="F73" s="52">
        <v>255</v>
      </c>
      <c r="G73" s="53">
        <v>0.16475409836065574</v>
      </c>
      <c r="H73" s="54">
        <v>0.51158000000000003</v>
      </c>
      <c r="I73" s="54">
        <v>1.1E-4</v>
      </c>
      <c r="J73" s="55">
        <f t="shared" si="36"/>
        <v>-20.638345187051765</v>
      </c>
      <c r="K73" s="35">
        <f t="shared" si="28"/>
        <v>2.1457636772936901</v>
      </c>
      <c r="L73" s="15">
        <v>94.6</v>
      </c>
      <c r="M73" s="54">
        <f t="shared" si="29"/>
        <v>0.51147803773745204</v>
      </c>
      <c r="N73" s="55">
        <f t="shared" si="30"/>
        <v>-20.257492942191703</v>
      </c>
      <c r="O73" s="35">
        <f t="shared" si="31"/>
        <v>2.1462733387978012</v>
      </c>
      <c r="P73" s="35" t="str">
        <f t="shared" si="32"/>
        <v>N/A</v>
      </c>
      <c r="Q73" s="54">
        <f t="shared" si="33"/>
        <v>0.51251626720401644</v>
      </c>
      <c r="S73" s="15" t="s">
        <v>36</v>
      </c>
      <c r="T73" s="15" t="s">
        <v>37</v>
      </c>
      <c r="U73" s="17"/>
      <c r="V73" s="15">
        <f t="shared" si="37"/>
        <v>92.5</v>
      </c>
      <c r="W73" s="54">
        <f t="shared" si="34"/>
        <v>0.5114803018550409</v>
      </c>
      <c r="X73" s="35">
        <f t="shared" si="19"/>
        <v>0.51251897033513216</v>
      </c>
      <c r="Y73" s="55">
        <f t="shared" si="20"/>
        <v>-20.265951900513279</v>
      </c>
      <c r="AA73" s="15">
        <f t="shared" si="38"/>
        <v>96.699999999999989</v>
      </c>
      <c r="AB73" s="54">
        <f t="shared" si="35"/>
        <v>0.5114757735887675</v>
      </c>
      <c r="AC73" s="54">
        <f t="shared" si="22"/>
        <v>0.51251356403577564</v>
      </c>
      <c r="AD73" s="55">
        <f t="shared" si="23"/>
        <v>-20.24903377846443</v>
      </c>
    </row>
    <row r="74" spans="1:30">
      <c r="E74" s="52"/>
      <c r="F74" s="52"/>
      <c r="G74" s="53"/>
      <c r="H74" s="54"/>
      <c r="I74" s="54"/>
      <c r="J74" s="55"/>
      <c r="K74" s="25"/>
      <c r="M74" s="54"/>
      <c r="N74" s="55"/>
      <c r="O74" s="35"/>
      <c r="P74" s="35"/>
      <c r="Q74" s="54"/>
      <c r="U74" s="17"/>
      <c r="W74" s="32"/>
      <c r="X74" s="25"/>
      <c r="Y74" s="33"/>
      <c r="AB74" s="32"/>
      <c r="AC74" s="32"/>
      <c r="AD74" s="33"/>
    </row>
    <row r="75" spans="1:30" s="10" customFormat="1" ht="15.75">
      <c r="A75" s="20" t="s">
        <v>41</v>
      </c>
      <c r="B75" s="21"/>
      <c r="C75" s="21"/>
      <c r="D75" s="21"/>
      <c r="E75" s="56"/>
      <c r="F75" s="56"/>
      <c r="G75" s="57"/>
      <c r="H75" s="58"/>
      <c r="I75" s="58"/>
      <c r="J75" s="59"/>
      <c r="K75" s="23"/>
      <c r="M75" s="58"/>
      <c r="N75" s="59"/>
      <c r="O75" s="23"/>
      <c r="P75" s="23"/>
      <c r="Q75" s="58"/>
      <c r="U75" s="24"/>
      <c r="W75" s="58"/>
      <c r="X75" s="23"/>
      <c r="Y75" s="59"/>
      <c r="AB75" s="58"/>
      <c r="AC75" s="58"/>
      <c r="AD75" s="59"/>
    </row>
    <row r="76" spans="1:30" s="10" customFormat="1" ht="20.25">
      <c r="A76" s="21"/>
      <c r="B76" s="20" t="s">
        <v>5</v>
      </c>
      <c r="C76" s="20" t="s">
        <v>6</v>
      </c>
      <c r="D76" s="20" t="s">
        <v>26</v>
      </c>
      <c r="E76" s="61" t="s">
        <v>8</v>
      </c>
      <c r="F76" s="61" t="s">
        <v>9</v>
      </c>
      <c r="G76" s="62" t="s">
        <v>27</v>
      </c>
      <c r="H76" s="63" t="s">
        <v>28</v>
      </c>
      <c r="I76" s="64" t="s">
        <v>29</v>
      </c>
      <c r="J76" s="64" t="s">
        <v>30</v>
      </c>
      <c r="K76" s="22" t="s">
        <v>31</v>
      </c>
      <c r="L76" s="65" t="s">
        <v>358</v>
      </c>
      <c r="M76" s="63" t="s">
        <v>366</v>
      </c>
      <c r="N76" s="65" t="s">
        <v>367</v>
      </c>
      <c r="O76" s="65" t="s">
        <v>368</v>
      </c>
      <c r="P76" s="22" t="s">
        <v>32</v>
      </c>
      <c r="Q76" s="22" t="s">
        <v>359</v>
      </c>
      <c r="S76" s="22" t="s">
        <v>360</v>
      </c>
      <c r="T76" s="22" t="s">
        <v>10</v>
      </c>
      <c r="U76" s="24"/>
      <c r="V76" s="20" t="s">
        <v>41</v>
      </c>
      <c r="W76" s="58"/>
      <c r="X76" s="23"/>
      <c r="Y76" s="59"/>
      <c r="AB76" s="58"/>
      <c r="AC76" s="58"/>
      <c r="AD76" s="59"/>
    </row>
    <row r="77" spans="1:30">
      <c r="B77" s="140" t="s">
        <v>12</v>
      </c>
      <c r="C77" s="15" t="s">
        <v>329</v>
      </c>
      <c r="D77" s="14" t="s">
        <v>346</v>
      </c>
      <c r="E77" s="52">
        <v>13.729999999999999</v>
      </c>
      <c r="F77" s="52">
        <v>67.884</v>
      </c>
      <c r="G77" s="53">
        <v>0.12040529471025149</v>
      </c>
      <c r="H77" s="54">
        <v>0.51193339999999998</v>
      </c>
      <c r="I77" s="54">
        <v>1.0375E-4</v>
      </c>
      <c r="J77" s="55">
        <f t="shared" ref="J77:J80" si="39">((H77/0.512638)-1)*10000</f>
        <v>-13.744591700187714</v>
      </c>
      <c r="K77" s="35">
        <f t="shared" ref="K77:K80" si="40">(((H77+I77)/0.512638)-1)*10000-J77</f>
        <v>2.023845286537318</v>
      </c>
      <c r="L77" s="15">
        <v>97.5</v>
      </c>
      <c r="M77" s="54">
        <f>H77-(G77*(EXP(0.00000000000654*L77*1000000)-1))</f>
        <v>0.51185659908037706</v>
      </c>
      <c r="N77" s="55">
        <f>((M77/Q77)-1)*10000</f>
        <v>-12.798421958957196</v>
      </c>
      <c r="O77" s="35">
        <f>(((M77+I77)/Q77)-1)*10000 -N77</f>
        <v>2.0243407344611164</v>
      </c>
      <c r="P77" s="35">
        <f>IF(G77&gt;0.14,"N/A",LN((0.513163-H77)/(0.2137-G77)+1)*(1/0.00000000000654)/1000000000)</f>
        <v>2.0020861354874988</v>
      </c>
      <c r="Q77" s="54">
        <f>0.512638-(0.1967*(EXP(0.00000000000654*L77*1000000)-1))</f>
        <v>0.51251253424763266</v>
      </c>
      <c r="S77" s="52" t="s">
        <v>35</v>
      </c>
      <c r="T77" s="52" t="s">
        <v>34</v>
      </c>
      <c r="U77" s="17"/>
      <c r="V77" s="52">
        <v>97</v>
      </c>
      <c r="W77" s="54">
        <f>H77-(G77*(EXP(0.00000000000654*V77*1000000)-1))</f>
        <v>0.51185699305618559</v>
      </c>
      <c r="X77" s="35">
        <f t="shared" ref="X77:X80" si="41">0.512638-(0.1967*(EXP(0.00000000000654*V77*1000000)-1))</f>
        <v>0.51251317786585338</v>
      </c>
      <c r="Y77" s="55">
        <f t="shared" ref="Y77:Y80" si="42">((W77/X77)-1)*10000</f>
        <v>-12.803276832806798</v>
      </c>
      <c r="AA77" s="15">
        <v>98</v>
      </c>
      <c r="AB77" s="54">
        <f>H77-(G77*(EXP(0.00000000000654*AA77*1000000)-1))</f>
        <v>0.51185620510328023</v>
      </c>
      <c r="AC77" s="54">
        <f t="shared" ref="AC77:AC80" si="43">0.512638-(0.1967*(EXP(0.00000000000654*AA77*1000000)-1))</f>
        <v>0.5125118906273074</v>
      </c>
      <c r="AD77" s="55">
        <f t="shared" ref="AD77:AD80" si="44">((AB77/AC77)-1)*10000</f>
        <v>-12.793567057042265</v>
      </c>
    </row>
    <row r="78" spans="1:30">
      <c r="B78" s="140"/>
      <c r="C78" s="66" t="s">
        <v>404</v>
      </c>
      <c r="D78" s="14" t="s">
        <v>337</v>
      </c>
      <c r="E78" s="52">
        <v>18.68</v>
      </c>
      <c r="F78" s="52">
        <v>61.669999999999995</v>
      </c>
      <c r="G78" s="53">
        <v>0.18836115760903904</v>
      </c>
      <c r="H78" s="54">
        <v>0.51163124999999998</v>
      </c>
      <c r="I78" s="54">
        <v>8.0000000000000007E-5</v>
      </c>
      <c r="J78" s="55">
        <f t="shared" si="39"/>
        <v>-19.638614382859743</v>
      </c>
      <c r="K78" s="35">
        <f t="shared" si="40"/>
        <v>1.5605554016662211</v>
      </c>
      <c r="L78" s="15">
        <v>97.5</v>
      </c>
      <c r="M78" s="54">
        <f>H78-(G78*(EXP(0.00000000000654*L78*1000000)-1))</f>
        <v>0.51151110320611992</v>
      </c>
      <c r="N78" s="55">
        <f>((M78/Q78)-1)*10000</f>
        <v>-19.539640000860725</v>
      </c>
      <c r="O78" s="35">
        <f>(((M78+I78)/Q78)-1)*10000 -N78</f>
        <v>1.5609374338021453</v>
      </c>
      <c r="P78" s="35" t="str">
        <f>IF(G78&gt;0.14,"N/A",LN((0.513163-H78)/(0.2137-G78)+1)*(1/0.00000000000654)/1000000000)</f>
        <v>N/A</v>
      </c>
      <c r="Q78" s="54">
        <f>0.512638-(0.1967*(EXP(0.00000000000654*L78*1000000)-1))</f>
        <v>0.51251253424763266</v>
      </c>
      <c r="S78" s="52" t="s">
        <v>35</v>
      </c>
      <c r="T78" s="52" t="s">
        <v>34</v>
      </c>
      <c r="U78" s="17"/>
      <c r="V78" s="52">
        <v>97</v>
      </c>
      <c r="W78" s="54">
        <f>H78-(G78*(EXP(0.00000000000654*V78*1000000)-1))</f>
        <v>0.51151171953897767</v>
      </c>
      <c r="X78" s="35">
        <f t="shared" si="41"/>
        <v>0.51251317786585338</v>
      </c>
      <c r="Y78" s="55">
        <f t="shared" si="42"/>
        <v>-19.540147846458524</v>
      </c>
      <c r="AA78" s="15">
        <v>98</v>
      </c>
      <c r="AB78" s="54">
        <f>H78-(G78*(EXP(0.00000000000654*AA78*1000000)-1))</f>
        <v>0.51151048687124689</v>
      </c>
      <c r="AC78" s="54">
        <f t="shared" si="43"/>
        <v>0.5125118906273074</v>
      </c>
      <c r="AD78" s="55">
        <f t="shared" si="44"/>
        <v>-19.53913215232528</v>
      </c>
    </row>
    <row r="79" spans="1:30">
      <c r="B79" s="140" t="s">
        <v>17</v>
      </c>
      <c r="C79" s="66" t="s">
        <v>336</v>
      </c>
      <c r="D79" s="130" t="s">
        <v>347</v>
      </c>
      <c r="E79" s="52">
        <v>292.27</v>
      </c>
      <c r="F79" s="52">
        <v>789.61500000000001</v>
      </c>
      <c r="G79" s="53">
        <v>0.22504145644247173</v>
      </c>
      <c r="H79" s="54">
        <v>0.51182675</v>
      </c>
      <c r="I79" s="54">
        <v>2.7799999999999991E-5</v>
      </c>
      <c r="J79" s="55">
        <f t="shared" si="39"/>
        <v>-15.825007120034984</v>
      </c>
      <c r="K79" s="35">
        <f t="shared" si="40"/>
        <v>0.54229300208041842</v>
      </c>
      <c r="L79" s="15">
        <v>94.6</v>
      </c>
      <c r="M79" s="54">
        <f>H79-(G79*(EXP(0.00000000000654*L79*1000000)-1))</f>
        <v>0.5116874773731318</v>
      </c>
      <c r="N79" s="55">
        <f>((M79/Q79)-1)*10000</f>
        <v>-16.170995613583592</v>
      </c>
      <c r="O79" s="35">
        <f>(((M79+I79)/Q79)-1)*10000 -N79</f>
        <v>0.54242180744234858</v>
      </c>
      <c r="P79" s="35" t="str">
        <f>IF(G79&gt;0.14,"N/A",LN((0.513163-H79)/(0.2137-G79)+1)*(1/0.00000000000654)/1000000000)</f>
        <v>N/A</v>
      </c>
      <c r="Q79" s="54">
        <f>0.512638-(0.1967*(EXP(0.00000000000654*L79*1000000)-1))</f>
        <v>0.51251626720401644</v>
      </c>
      <c r="S79" s="15" t="s">
        <v>36</v>
      </c>
      <c r="T79" s="15" t="s">
        <v>37</v>
      </c>
      <c r="U79" s="17"/>
      <c r="V79" s="15">
        <f t="shared" ref="V79:V80" si="45">94.6-2.1</f>
        <v>92.5</v>
      </c>
      <c r="W79" s="54">
        <f>H79-(G79*(EXP(0.00000000000654*V79*1000000)-1))</f>
        <v>0.51169056998402784</v>
      </c>
      <c r="X79" s="35">
        <f t="shared" si="41"/>
        <v>0.51251897033513216</v>
      </c>
      <c r="Y79" s="55">
        <f t="shared" si="42"/>
        <v>-16.163311000227942</v>
      </c>
      <c r="AA79" s="15">
        <f t="shared" ref="AA79:AA80" si="46">94.6+2.1</f>
        <v>96.699999999999989</v>
      </c>
      <c r="AB79" s="54">
        <f>H79-(G79*(EXP(0.00000000000654*AA79*1000000)-1))</f>
        <v>0.51168438471976163</v>
      </c>
      <c r="AC79" s="54">
        <f t="shared" si="43"/>
        <v>0.51251356403577564</v>
      </c>
      <c r="AD79" s="55">
        <f t="shared" si="44"/>
        <v>-16.178680413542203</v>
      </c>
    </row>
    <row r="80" spans="1:30">
      <c r="B80" s="140"/>
      <c r="C80" s="15" t="s">
        <v>328</v>
      </c>
      <c r="D80" s="14" t="s">
        <v>344</v>
      </c>
      <c r="E80" s="52">
        <v>70.3</v>
      </c>
      <c r="F80" s="52">
        <v>253.35</v>
      </c>
      <c r="G80" s="53">
        <v>0.17307183826221373</v>
      </c>
      <c r="H80" s="54">
        <v>0.51163350000000007</v>
      </c>
      <c r="I80" s="54">
        <v>7.75E-5</v>
      </c>
      <c r="J80" s="55">
        <f t="shared" si="39"/>
        <v>-19.594723762186295</v>
      </c>
      <c r="K80" s="35">
        <f t="shared" si="40"/>
        <v>1.511788045364117</v>
      </c>
      <c r="L80" s="15">
        <v>94.6</v>
      </c>
      <c r="M80" s="54">
        <f>H80-(G80*(EXP(0.00000000000654*L80*1000000)-1))</f>
        <v>0.51152639009264023</v>
      </c>
      <c r="N80" s="55">
        <f>((M80/Q80)-1)*10000</f>
        <v>-19.314062298478873</v>
      </c>
      <c r="O80" s="35">
        <f>(((M80+I80)/Q80)-1)*10000 -N80</f>
        <v>1.5121471250612046</v>
      </c>
      <c r="P80" s="35" t="str">
        <f>IF(G80&gt;0.14,"N/A",LN((0.513163-H80)/(0.2137-G80)+1)*(1/0.00000000000654)/1000000000)</f>
        <v>N/A</v>
      </c>
      <c r="Q80" s="54">
        <f>0.512638-(0.1967*(EXP(0.00000000000654*L80*1000000)-1))</f>
        <v>0.51251626720401644</v>
      </c>
      <c r="S80" s="15" t="s">
        <v>36</v>
      </c>
      <c r="T80" s="15" t="s">
        <v>37</v>
      </c>
      <c r="U80" s="17"/>
      <c r="V80" s="15">
        <f t="shared" si="45"/>
        <v>92.5</v>
      </c>
      <c r="W80" s="54">
        <f>H80-(G80*(EXP(0.00000000000654*V80*1000000)-1))</f>
        <v>0.51152876851598172</v>
      </c>
      <c r="X80" s="35">
        <f t="shared" si="41"/>
        <v>0.51251897033513216</v>
      </c>
      <c r="Y80" s="55">
        <f t="shared" si="42"/>
        <v>-19.320295959054377</v>
      </c>
      <c r="AA80" s="15">
        <f t="shared" si="46"/>
        <v>96.699999999999989</v>
      </c>
      <c r="AB80" s="54">
        <f>H80-(G80*(EXP(0.00000000000654*AA80*1000000)-1))</f>
        <v>0.5115240116366333</v>
      </c>
      <c r="AC80" s="54">
        <f t="shared" si="43"/>
        <v>0.51251356403577564</v>
      </c>
      <c r="AD80" s="55">
        <f t="shared" si="44"/>
        <v>-19.307828486531122</v>
      </c>
    </row>
    <row r="81" spans="1:14">
      <c r="N81" s="15"/>
    </row>
    <row r="82" spans="1:14">
      <c r="N82" s="15"/>
    </row>
    <row r="83" spans="1:14">
      <c r="N83" s="15"/>
    </row>
    <row r="84" spans="1:14">
      <c r="A84" s="128"/>
      <c r="N84" s="15"/>
    </row>
    <row r="85" spans="1:14">
      <c r="A85" s="15"/>
      <c r="N85" s="15"/>
    </row>
    <row r="86" spans="1:14">
      <c r="A86" s="128"/>
      <c r="H86" s="14"/>
    </row>
    <row r="87" spans="1:14">
      <c r="H87" s="14"/>
    </row>
    <row r="88" spans="1:14">
      <c r="H88" s="14"/>
    </row>
    <row r="89" spans="1:14">
      <c r="H89" s="14"/>
    </row>
    <row r="90" spans="1:14">
      <c r="H90" s="14"/>
    </row>
    <row r="91" spans="1:14">
      <c r="H91" s="14"/>
    </row>
    <row r="92" spans="1:14">
      <c r="H92" s="14"/>
    </row>
    <row r="93" spans="1:14">
      <c r="H93" s="14"/>
    </row>
    <row r="94" spans="1:14">
      <c r="H94" s="14"/>
    </row>
    <row r="95" spans="1:14">
      <c r="H95" s="14"/>
    </row>
    <row r="96" spans="1:14">
      <c r="H96" s="14"/>
    </row>
    <row r="97" spans="8:8">
      <c r="H97" s="14"/>
    </row>
    <row r="98" spans="8:8">
      <c r="H98" s="14"/>
    </row>
    <row r="99" spans="8:8">
      <c r="H99" s="14"/>
    </row>
    <row r="100" spans="8:8">
      <c r="H100" s="14"/>
    </row>
    <row r="101" spans="8:8">
      <c r="H101" s="14"/>
    </row>
    <row r="102" spans="8:8">
      <c r="H102" s="14"/>
    </row>
    <row r="103" spans="8:8">
      <c r="H103" s="14"/>
    </row>
    <row r="104" spans="8:8">
      <c r="H104" s="14"/>
    </row>
    <row r="105" spans="8:8">
      <c r="H105" s="14"/>
    </row>
    <row r="106" spans="8:8">
      <c r="H106" s="14"/>
    </row>
  </sheetData>
  <mergeCells count="13">
    <mergeCell ref="B79:B80"/>
    <mergeCell ref="V6:AD6"/>
    <mergeCell ref="A11:A12"/>
    <mergeCell ref="B11:B15"/>
    <mergeCell ref="A13:A15"/>
    <mergeCell ref="A16:A18"/>
    <mergeCell ref="B16:B22"/>
    <mergeCell ref="A20:A22"/>
    <mergeCell ref="B28:B31"/>
    <mergeCell ref="B32:B39"/>
    <mergeCell ref="B43:B51"/>
    <mergeCell ref="B52:B73"/>
    <mergeCell ref="B77:B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99A3-0605-924D-9756-2078B0B28C07}">
  <dimension ref="A1:BM178"/>
  <sheetViews>
    <sheetView zoomScale="75" workbookViewId="0"/>
  </sheetViews>
  <sheetFormatPr defaultColWidth="11.5" defaultRowHeight="15"/>
  <cols>
    <col min="1" max="1" width="38.5" style="15" customWidth="1"/>
    <col min="2" max="2" width="28.875" style="15" customWidth="1"/>
    <col min="3" max="3" width="30.5" style="15" customWidth="1"/>
    <col min="4" max="4" width="62.125" style="15" customWidth="1"/>
    <col min="5" max="5" width="15.875" style="88" customWidth="1"/>
    <col min="6" max="6" width="11.5" style="88"/>
    <col min="7" max="8" width="14.875" style="88" customWidth="1"/>
    <col min="9" max="9" width="23.875" style="88" customWidth="1"/>
    <col min="10" max="10" width="11.5" style="89"/>
    <col min="11" max="11" width="17.5" style="90" customWidth="1"/>
    <col min="12" max="12" width="16.125" style="90" customWidth="1"/>
    <col min="13" max="14" width="11.5" style="90"/>
    <col min="15" max="15" width="14.125" style="90" bestFit="1" customWidth="1"/>
    <col min="16" max="16" width="11.5" style="89"/>
    <col min="17" max="17" width="18.625" style="90" customWidth="1"/>
    <col min="18" max="18" width="18.625" style="15" customWidth="1"/>
    <col min="19" max="19" width="35.125" style="91" customWidth="1"/>
    <col min="20" max="20" width="28" style="15" customWidth="1"/>
    <col min="21" max="21" width="9" style="15" customWidth="1"/>
    <col min="22" max="22" width="16.125" style="88" customWidth="1"/>
    <col min="23" max="23" width="25.375" style="90" customWidth="1"/>
    <col min="24" max="24" width="18.375" style="90" customWidth="1"/>
    <col min="25" max="25" width="15.625" style="113" customWidth="1"/>
    <col min="26" max="26" width="11.5" style="15"/>
    <col min="27" max="27" width="15.375" style="88" customWidth="1"/>
    <col min="28" max="28" width="24.625" style="90" customWidth="1"/>
    <col min="29" max="29" width="18.5" style="90" customWidth="1"/>
    <col min="30" max="30" width="15.375" style="89" customWidth="1"/>
    <col min="31" max="51" width="11.5" style="15"/>
    <col min="52" max="52" width="15.625" style="15" customWidth="1"/>
    <col min="53" max="16384" width="11.5" style="15"/>
  </cols>
  <sheetData>
    <row r="1" spans="1:65" ht="45" customHeight="1">
      <c r="A1" s="74" t="s">
        <v>42</v>
      </c>
      <c r="B1" s="75"/>
      <c r="C1" s="76" t="s">
        <v>43</v>
      </c>
      <c r="D1" s="75"/>
      <c r="E1" s="77"/>
      <c r="F1" s="77"/>
      <c r="G1" s="77"/>
      <c r="H1" s="77"/>
      <c r="I1" s="78"/>
      <c r="J1" s="79"/>
      <c r="K1" s="80"/>
      <c r="L1" s="80"/>
      <c r="M1" s="80"/>
      <c r="N1" s="80"/>
      <c r="O1" s="80"/>
      <c r="P1" s="79"/>
      <c r="Q1" s="80"/>
      <c r="R1" s="81"/>
      <c r="S1" s="82"/>
      <c r="T1" s="81"/>
      <c r="U1" s="81"/>
      <c r="V1" s="78"/>
      <c r="W1" s="80"/>
      <c r="X1" s="80"/>
      <c r="Y1" s="83"/>
      <c r="Z1" s="81"/>
      <c r="AA1" s="78"/>
      <c r="AB1" s="80"/>
      <c r="AC1" s="80"/>
      <c r="AD1" s="79"/>
    </row>
    <row r="2" spans="1:65" s="10" customFormat="1" ht="18.75" customHeight="1">
      <c r="A2" s="131" t="s">
        <v>318</v>
      </c>
      <c r="B2" s="85"/>
      <c r="C2" s="86"/>
      <c r="D2" s="85"/>
      <c r="E2" s="4"/>
      <c r="F2" s="4"/>
      <c r="G2" s="4"/>
      <c r="H2" s="4"/>
      <c r="I2" s="5"/>
      <c r="J2" s="6"/>
      <c r="K2" s="7"/>
      <c r="L2" s="7"/>
      <c r="M2" s="7"/>
      <c r="N2" s="7"/>
      <c r="O2" s="7"/>
      <c r="P2" s="6"/>
      <c r="Q2" s="7"/>
      <c r="R2" s="8"/>
      <c r="S2" s="87"/>
      <c r="T2" s="8"/>
      <c r="U2" s="8"/>
      <c r="V2" s="5"/>
      <c r="W2" s="7"/>
      <c r="X2" s="7"/>
      <c r="Y2" s="9"/>
      <c r="Z2" s="8"/>
      <c r="AA2" s="5"/>
      <c r="AB2" s="7"/>
      <c r="AC2" s="7"/>
      <c r="AD2" s="6"/>
    </row>
    <row r="3" spans="1:65" s="10" customFormat="1" ht="15.75">
      <c r="A3" s="84" t="s">
        <v>1</v>
      </c>
      <c r="B3" s="8"/>
      <c r="C3" s="8"/>
      <c r="D3" s="8"/>
      <c r="E3" s="5"/>
      <c r="F3" s="5"/>
      <c r="G3" s="5"/>
      <c r="H3" s="5"/>
      <c r="I3" s="5"/>
      <c r="J3" s="6"/>
      <c r="K3" s="7"/>
      <c r="L3" s="7"/>
      <c r="M3" s="7"/>
      <c r="N3" s="7"/>
      <c r="O3" s="7"/>
      <c r="P3" s="6"/>
      <c r="Q3" s="7"/>
      <c r="R3" s="8"/>
      <c r="S3" s="87"/>
      <c r="T3" s="8"/>
      <c r="U3" s="8"/>
      <c r="V3" s="5"/>
      <c r="W3" s="7"/>
      <c r="X3" s="7"/>
      <c r="Y3" s="9"/>
      <c r="Z3" s="8"/>
      <c r="AA3" s="5"/>
      <c r="AB3" s="7"/>
      <c r="AC3" s="7"/>
      <c r="AD3" s="6"/>
    </row>
    <row r="4" spans="1:65" s="10" customFormat="1" ht="15.75">
      <c r="A4" s="8" t="s">
        <v>2</v>
      </c>
      <c r="B4" s="8"/>
      <c r="C4" s="11"/>
      <c r="D4" s="8"/>
      <c r="E4" s="5"/>
      <c r="F4" s="5"/>
      <c r="G4" s="5"/>
      <c r="H4" s="5"/>
      <c r="I4" s="5"/>
      <c r="J4" s="6"/>
      <c r="K4" s="7"/>
      <c r="L4" s="7"/>
      <c r="M4" s="7"/>
      <c r="N4" s="7"/>
      <c r="O4" s="7"/>
      <c r="P4" s="6"/>
      <c r="Q4" s="7"/>
      <c r="R4" s="8"/>
      <c r="S4" s="87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65" s="10" customFormat="1" ht="20.25">
      <c r="A5" s="12" t="s">
        <v>317</v>
      </c>
      <c r="B5" s="8"/>
      <c r="C5" s="11"/>
      <c r="D5" s="8"/>
      <c r="E5" s="5"/>
      <c r="F5" s="5"/>
      <c r="G5" s="5"/>
      <c r="H5" s="5"/>
      <c r="I5" s="5"/>
      <c r="J5" s="6"/>
      <c r="K5" s="7"/>
      <c r="L5" s="7"/>
      <c r="M5" s="7"/>
      <c r="N5" s="7"/>
      <c r="O5" s="7"/>
      <c r="P5" s="6"/>
      <c r="Q5" s="7"/>
      <c r="R5" s="8"/>
      <c r="S5" s="87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65" ht="15.75">
      <c r="U6" s="17"/>
      <c r="V6" s="144" t="s">
        <v>375</v>
      </c>
      <c r="W6" s="144"/>
      <c r="X6" s="144"/>
      <c r="Y6" s="144"/>
      <c r="Z6" s="144"/>
      <c r="AA6" s="144"/>
      <c r="AB6" s="144"/>
      <c r="AC6" s="144"/>
      <c r="AD6" s="144"/>
    </row>
    <row r="7" spans="1:65" s="51" customFormat="1" ht="15.75">
      <c r="A7" s="145" t="s">
        <v>382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7"/>
      <c r="V7" s="145" t="s">
        <v>382</v>
      </c>
      <c r="W7" s="145"/>
      <c r="X7" s="145"/>
      <c r="Y7" s="145"/>
      <c r="Z7" s="145"/>
      <c r="AA7" s="145"/>
      <c r="AB7" s="145"/>
      <c r="AC7" s="145"/>
      <c r="AD7" s="145"/>
      <c r="AE7" s="25"/>
      <c r="AF7" s="50"/>
      <c r="AG7" s="50"/>
      <c r="AK7" s="50"/>
      <c r="AP7" s="50"/>
      <c r="BM7" s="50"/>
    </row>
    <row r="8" spans="1:65">
      <c r="B8" s="92"/>
      <c r="C8" s="35"/>
      <c r="D8" s="69"/>
      <c r="E8" s="93"/>
      <c r="F8" s="93"/>
      <c r="G8" s="94"/>
      <c r="H8" s="95"/>
      <c r="I8" s="95"/>
      <c r="J8" s="96"/>
      <c r="K8" s="97"/>
      <c r="L8" s="98"/>
      <c r="M8" s="99"/>
      <c r="O8" s="100"/>
      <c r="P8" s="96"/>
      <c r="Q8" s="97"/>
      <c r="U8" s="17"/>
      <c r="W8" s="100"/>
      <c r="X8" s="97"/>
      <c r="Y8" s="96"/>
      <c r="Z8" s="25"/>
      <c r="AB8" s="100"/>
      <c r="AC8" s="100"/>
      <c r="AD8" s="96"/>
      <c r="AE8" s="25"/>
      <c r="AF8" s="35"/>
      <c r="AG8" s="35"/>
      <c r="AK8" s="35"/>
      <c r="AP8" s="35"/>
      <c r="BM8" s="35"/>
    </row>
    <row r="9" spans="1:65" s="10" customFormat="1" ht="20.25">
      <c r="A9" s="22" t="s">
        <v>4</v>
      </c>
      <c r="B9" s="22" t="s">
        <v>6</v>
      </c>
      <c r="C9" s="22" t="s">
        <v>7</v>
      </c>
      <c r="D9" s="22" t="s">
        <v>44</v>
      </c>
      <c r="E9" s="101" t="s">
        <v>8</v>
      </c>
      <c r="F9" s="101" t="s">
        <v>9</v>
      </c>
      <c r="G9" s="102" t="s">
        <v>45</v>
      </c>
      <c r="H9" s="103" t="s">
        <v>46</v>
      </c>
      <c r="I9" s="104" t="s">
        <v>47</v>
      </c>
      <c r="J9" s="105" t="s">
        <v>48</v>
      </c>
      <c r="K9" s="106" t="s">
        <v>49</v>
      </c>
      <c r="L9" s="107" t="s">
        <v>371</v>
      </c>
      <c r="M9" s="106" t="s">
        <v>50</v>
      </c>
      <c r="N9" s="108" t="s">
        <v>358</v>
      </c>
      <c r="O9" s="106" t="s">
        <v>359</v>
      </c>
      <c r="P9" s="108" t="s">
        <v>372</v>
      </c>
      <c r="Q9" s="108" t="s">
        <v>373</v>
      </c>
      <c r="S9" s="109" t="s">
        <v>374</v>
      </c>
      <c r="T9" s="22" t="s">
        <v>51</v>
      </c>
      <c r="U9" s="110"/>
      <c r="V9" s="109" t="s">
        <v>378</v>
      </c>
      <c r="W9" s="107" t="s">
        <v>376</v>
      </c>
      <c r="X9" s="106" t="s">
        <v>361</v>
      </c>
      <c r="Y9" s="111" t="s">
        <v>377</v>
      </c>
      <c r="Z9" s="112"/>
      <c r="AA9" s="109" t="s">
        <v>379</v>
      </c>
      <c r="AB9" s="107" t="s">
        <v>380</v>
      </c>
      <c r="AC9" s="106" t="s">
        <v>363</v>
      </c>
      <c r="AD9" s="108" t="s">
        <v>381</v>
      </c>
      <c r="AE9" s="65"/>
      <c r="AF9" s="22"/>
      <c r="AG9" s="22"/>
      <c r="AH9" s="22"/>
      <c r="AI9" s="63"/>
      <c r="AJ9" s="22"/>
      <c r="AK9" s="65"/>
      <c r="AM9" s="22"/>
      <c r="AN9" s="63"/>
      <c r="AO9" s="22"/>
      <c r="AP9" s="65"/>
    </row>
    <row r="10" spans="1:65">
      <c r="E10" s="91"/>
      <c r="F10" s="91"/>
      <c r="G10" s="91"/>
      <c r="H10" s="91"/>
      <c r="I10" s="91"/>
      <c r="J10" s="113"/>
      <c r="K10" s="114"/>
      <c r="L10" s="115"/>
      <c r="M10" s="116"/>
      <c r="O10" s="117"/>
      <c r="P10" s="113"/>
      <c r="Q10" s="114"/>
      <c r="U10" s="17"/>
      <c r="V10" s="91"/>
      <c r="AA10" s="91"/>
      <c r="AC10" s="117"/>
      <c r="AD10" s="113"/>
    </row>
    <row r="11" spans="1:65">
      <c r="A11" s="143" t="s">
        <v>21</v>
      </c>
      <c r="D11" s="118" t="s">
        <v>52</v>
      </c>
      <c r="E11" s="91"/>
      <c r="F11" s="91"/>
      <c r="G11" s="91"/>
      <c r="H11" s="91"/>
      <c r="I11" s="91"/>
      <c r="J11" s="113"/>
      <c r="K11" s="114"/>
      <c r="L11" s="115"/>
      <c r="M11" s="116"/>
      <c r="O11" s="117"/>
      <c r="P11" s="113"/>
      <c r="Q11" s="114"/>
      <c r="U11" s="17"/>
      <c r="V11" s="91"/>
      <c r="AA11" s="91"/>
      <c r="AB11" s="117"/>
      <c r="AC11" s="117"/>
      <c r="AD11" s="113"/>
    </row>
    <row r="12" spans="1:65">
      <c r="A12" s="143"/>
      <c r="B12" s="72" t="s">
        <v>53</v>
      </c>
      <c r="C12" s="15" t="s">
        <v>54</v>
      </c>
      <c r="D12" s="15" t="s">
        <v>55</v>
      </c>
      <c r="E12" s="119">
        <v>7.82</v>
      </c>
      <c r="F12" s="119">
        <v>37.1</v>
      </c>
      <c r="G12" s="127">
        <f>(E12/F12)*0.6047</f>
        <v>0.12745967654986523</v>
      </c>
      <c r="H12" s="121">
        <v>0.51206700000000005</v>
      </c>
      <c r="I12" s="121">
        <v>1.4999999999999999E-4</v>
      </c>
      <c r="J12" s="113">
        <f t="shared" ref="J12:J18" si="0">((H12/0.512638)-1)*10000</f>
        <v>-11.138464179401009</v>
      </c>
      <c r="K12" s="114">
        <f t="shared" ref="K12:K18" si="1">(((H12+I12)/0.512638)-1)*10000-J12</f>
        <v>2.9260413781262429</v>
      </c>
      <c r="L12" s="117">
        <f t="shared" ref="L12:L18" si="2">H12-(G12*(EXP(0.00000000000654*N12*1000000)-1))</f>
        <v>0.51199178833532566</v>
      </c>
      <c r="M12" s="114">
        <f t="shared" ref="M12:M18" si="3">IF(G12&gt;0.14,"N/A",LN((0.513163-H12)/(0.2137-G12)+1)*(1/0.00000000000654)/1000000000)</f>
        <v>1.9309777906008352</v>
      </c>
      <c r="N12" s="90">
        <v>90.2</v>
      </c>
      <c r="O12" s="117">
        <f t="shared" ref="O12:O18" si="4">0.512638-(0.1967*(EXP(0.00000000000654*N12*1000000)-1))</f>
        <v>0.51252193086471021</v>
      </c>
      <c r="P12" s="113">
        <f t="shared" ref="P12:P18" si="5">((L12/O12)-1)*10000</f>
        <v>-10.34380184454009</v>
      </c>
      <c r="Q12" s="114">
        <f t="shared" ref="Q12:Q18" si="6">(((L12+I12)/O12)-1)*10000-P12</f>
        <v>2.9267040289748802</v>
      </c>
      <c r="S12" s="122" t="s">
        <v>56</v>
      </c>
      <c r="T12" s="15" t="s">
        <v>57</v>
      </c>
      <c r="U12" s="17"/>
      <c r="V12" s="91">
        <f>90.2-0.5</f>
        <v>89.7</v>
      </c>
      <c r="W12" s="117">
        <f t="shared" ref="W12:W18" si="7">H12-(G12*(EXP(0.00000000000654*V12*1000000)-1))</f>
        <v>0.51199220537372825</v>
      </c>
      <c r="X12" s="117">
        <f t="shared" ref="X12:X18" si="8">0.512638-(0.1967*(EXP(0.00000000000654*V12*1000000)-1))</f>
        <v>0.51252257445220406</v>
      </c>
      <c r="Y12" s="113">
        <f t="shared" ref="Y12:Y18" si="9">((W12/X12)-1)*10000</f>
        <v>-10.348209130938146</v>
      </c>
      <c r="AA12" s="91">
        <f>90.2+0.5</f>
        <v>90.7</v>
      </c>
      <c r="AB12" s="117">
        <f t="shared" ref="AB12:AB18" si="10">H12-(G12*(EXP(0.00000000000654*AA12*1000000)-1))</f>
        <v>0.51199137129555927</v>
      </c>
      <c r="AC12" s="117">
        <f t="shared" ref="AC12:AC18" si="11">0.512638-(0.1967*(EXP(0.00000000000654*AA12*1000000)-1))</f>
        <v>0.51252128727511193</v>
      </c>
      <c r="AD12" s="113">
        <f t="shared" ref="AD12:AD18" si="12">((AB12/AC12)-1)*10000</f>
        <v>-10.339394532664636</v>
      </c>
    </row>
    <row r="13" spans="1:65">
      <c r="A13" s="143"/>
      <c r="B13" s="15" t="s">
        <v>58</v>
      </c>
      <c r="C13" s="15" t="s">
        <v>54</v>
      </c>
      <c r="D13" s="15" t="s">
        <v>55</v>
      </c>
      <c r="E13" s="119">
        <v>7.66</v>
      </c>
      <c r="F13" s="119">
        <v>37.1</v>
      </c>
      <c r="G13" s="127">
        <f t="shared" ref="G13:G17" si="13">(E13/F13)*0.6047</f>
        <v>0.12485180592991914</v>
      </c>
      <c r="H13" s="121">
        <v>0.51208600000000004</v>
      </c>
      <c r="I13" s="121">
        <v>6.9999999999999994E-5</v>
      </c>
      <c r="J13" s="113">
        <f t="shared" si="0"/>
        <v>-10.767832271505462</v>
      </c>
      <c r="K13" s="114">
        <f t="shared" si="1"/>
        <v>1.3654859764589133</v>
      </c>
      <c r="L13" s="117">
        <f t="shared" si="2"/>
        <v>0.5120123271929149</v>
      </c>
      <c r="M13" s="114">
        <f t="shared" si="3"/>
        <v>1.8423423428110199</v>
      </c>
      <c r="N13" s="90">
        <v>90.2</v>
      </c>
      <c r="O13" s="117">
        <f t="shared" si="4"/>
        <v>0.51252193086471021</v>
      </c>
      <c r="P13" s="113">
        <f t="shared" si="5"/>
        <v>-9.9430607961603634</v>
      </c>
      <c r="Q13" s="114">
        <f t="shared" si="6"/>
        <v>1.365795213522647</v>
      </c>
      <c r="S13" s="122" t="s">
        <v>56</v>
      </c>
      <c r="T13" s="15" t="s">
        <v>57</v>
      </c>
      <c r="U13" s="17"/>
      <c r="V13" s="91">
        <f t="shared" ref="V13:V18" si="14">90.2-0.5</f>
        <v>89.7</v>
      </c>
      <c r="W13" s="117">
        <f t="shared" si="7"/>
        <v>0.51201273569856243</v>
      </c>
      <c r="X13" s="117">
        <f t="shared" si="8"/>
        <v>0.51252257445220406</v>
      </c>
      <c r="Y13" s="113">
        <f t="shared" si="9"/>
        <v>-9.947635071226868</v>
      </c>
      <c r="AA13" s="91">
        <f t="shared" ref="AA13:AA18" si="15">90.2+0.5</f>
        <v>90.7</v>
      </c>
      <c r="AB13" s="117">
        <f t="shared" si="10"/>
        <v>0.51201191868593143</v>
      </c>
      <c r="AC13" s="117">
        <f t="shared" si="11"/>
        <v>0.51252128727511193</v>
      </c>
      <c r="AD13" s="113">
        <f t="shared" si="12"/>
        <v>-9.9384864946516771</v>
      </c>
      <c r="AK13" s="35"/>
      <c r="AP13" s="35"/>
    </row>
    <row r="14" spans="1:65">
      <c r="A14" s="143"/>
      <c r="B14" s="72" t="s">
        <v>59</v>
      </c>
      <c r="C14" s="15" t="s">
        <v>54</v>
      </c>
      <c r="D14" s="15" t="s">
        <v>55</v>
      </c>
      <c r="E14" s="119">
        <v>10.69</v>
      </c>
      <c r="F14" s="119">
        <v>51</v>
      </c>
      <c r="G14" s="127">
        <f t="shared" si="13"/>
        <v>0.12674986274509803</v>
      </c>
      <c r="H14" s="121">
        <v>0.51209000000000005</v>
      </c>
      <c r="I14" s="121">
        <v>6.9999999999999994E-5</v>
      </c>
      <c r="J14" s="113">
        <f t="shared" si="0"/>
        <v>-10.689804501421429</v>
      </c>
      <c r="K14" s="114">
        <f t="shared" si="1"/>
        <v>1.3654859764589133</v>
      </c>
      <c r="L14" s="117">
        <f t="shared" si="2"/>
        <v>0.51201520718369642</v>
      </c>
      <c r="M14" s="114">
        <f t="shared" si="3"/>
        <v>1.8753645141082609</v>
      </c>
      <c r="N14" s="90">
        <v>90.2</v>
      </c>
      <c r="O14" s="117">
        <f t="shared" si="4"/>
        <v>0.51252193086471021</v>
      </c>
      <c r="P14" s="113">
        <f t="shared" si="5"/>
        <v>-9.8868682586683576</v>
      </c>
      <c r="Q14" s="114">
        <f t="shared" si="6"/>
        <v>1.3657952135215368</v>
      </c>
      <c r="S14" s="122" t="s">
        <v>56</v>
      </c>
      <c r="T14" s="15" t="s">
        <v>57</v>
      </c>
      <c r="U14" s="17"/>
      <c r="V14" s="91">
        <f t="shared" si="14"/>
        <v>89.7</v>
      </c>
      <c r="W14" s="117">
        <f t="shared" si="7"/>
        <v>0.512015621899642</v>
      </c>
      <c r="X14" s="117">
        <f t="shared" si="8"/>
        <v>0.51252257445220406</v>
      </c>
      <c r="Y14" s="113">
        <f t="shared" si="9"/>
        <v>-9.8913214330875743</v>
      </c>
      <c r="AA14" s="91">
        <f t="shared" si="15"/>
        <v>90.7</v>
      </c>
      <c r="AB14" s="117">
        <f t="shared" si="10"/>
        <v>0.5120147924663947</v>
      </c>
      <c r="AC14" s="117">
        <f t="shared" si="11"/>
        <v>0.51252128727511193</v>
      </c>
      <c r="AD14" s="113">
        <f t="shared" si="12"/>
        <v>-9.8824150585052895</v>
      </c>
      <c r="AK14" s="35"/>
      <c r="AP14" s="35"/>
    </row>
    <row r="15" spans="1:65">
      <c r="A15" s="143"/>
      <c r="B15" s="72" t="s">
        <v>60</v>
      </c>
      <c r="C15" s="15" t="s">
        <v>54</v>
      </c>
      <c r="D15" s="15" t="s">
        <v>55</v>
      </c>
      <c r="E15" s="119">
        <v>0.71</v>
      </c>
      <c r="F15" s="119">
        <v>4.2</v>
      </c>
      <c r="G15" s="127">
        <f t="shared" si="13"/>
        <v>0.10222309523809522</v>
      </c>
      <c r="H15" s="121">
        <v>0.51206799999999997</v>
      </c>
      <c r="I15" s="121">
        <v>8.2801268954572398E-6</v>
      </c>
      <c r="J15" s="113">
        <f t="shared" si="0"/>
        <v>-11.118957236881943</v>
      </c>
      <c r="K15" s="114">
        <f t="shared" si="1"/>
        <v>0.16151995941515729</v>
      </c>
      <c r="L15" s="117">
        <f t="shared" si="2"/>
        <v>0.51200767998845476</v>
      </c>
      <c r="M15" s="114">
        <f t="shared" si="3"/>
        <v>1.494607591276508</v>
      </c>
      <c r="N15" s="90">
        <v>90.2</v>
      </c>
      <c r="O15" s="117">
        <f t="shared" si="4"/>
        <v>0.51252193086471021</v>
      </c>
      <c r="P15" s="113">
        <f t="shared" si="5"/>
        <v>-10.033734076273504</v>
      </c>
      <c r="Q15" s="114">
        <f t="shared" si="6"/>
        <v>0.16155653830285388</v>
      </c>
      <c r="S15" s="122" t="s">
        <v>56</v>
      </c>
      <c r="T15" s="15" t="s">
        <v>57</v>
      </c>
      <c r="U15" s="17"/>
      <c r="V15" s="91">
        <f t="shared" si="14"/>
        <v>89.7</v>
      </c>
      <c r="W15" s="117">
        <f t="shared" si="7"/>
        <v>0.51200801445467581</v>
      </c>
      <c r="X15" s="117">
        <f t="shared" si="8"/>
        <v>0.51252257445220406</v>
      </c>
      <c r="Y15" s="113">
        <f t="shared" si="9"/>
        <v>-10.039752845584227</v>
      </c>
      <c r="AA15" s="91">
        <f t="shared" si="15"/>
        <v>90.7</v>
      </c>
      <c r="AB15" s="117">
        <f t="shared" si="10"/>
        <v>0.51200734552114002</v>
      </c>
      <c r="AC15" s="117">
        <f t="shared" si="11"/>
        <v>0.51252128727511193</v>
      </c>
      <c r="AD15" s="113">
        <f t="shared" si="12"/>
        <v>-10.027715272166171</v>
      </c>
      <c r="AK15" s="35"/>
      <c r="AP15" s="35"/>
    </row>
    <row r="16" spans="1:65">
      <c r="A16" s="143"/>
      <c r="B16" s="72" t="s">
        <v>61</v>
      </c>
      <c r="C16" s="15" t="s">
        <v>54</v>
      </c>
      <c r="D16" s="15" t="s">
        <v>55</v>
      </c>
      <c r="E16" s="119">
        <v>0.68</v>
      </c>
      <c r="F16" s="119">
        <v>3.5</v>
      </c>
      <c r="G16" s="127">
        <f t="shared" si="13"/>
        <v>0.11748457142857145</v>
      </c>
      <c r="H16" s="121">
        <v>0.51206799999999997</v>
      </c>
      <c r="I16" s="121">
        <v>8.2801268954572398E-6</v>
      </c>
      <c r="J16" s="113">
        <f t="shared" si="0"/>
        <v>-11.118957236881943</v>
      </c>
      <c r="K16" s="114">
        <f t="shared" si="1"/>
        <v>0.16151995941515729</v>
      </c>
      <c r="L16" s="117">
        <f t="shared" si="2"/>
        <v>0.51199867446560443</v>
      </c>
      <c r="M16" s="114">
        <f t="shared" si="3"/>
        <v>1.7303422077363302</v>
      </c>
      <c r="N16" s="90">
        <v>90.2</v>
      </c>
      <c r="O16" s="117">
        <f t="shared" si="4"/>
        <v>0.51252193086471021</v>
      </c>
      <c r="P16" s="113">
        <f t="shared" si="5"/>
        <v>-10.209444076333396</v>
      </c>
      <c r="Q16" s="114">
        <f t="shared" si="6"/>
        <v>0.16155653830285388</v>
      </c>
      <c r="S16" s="122" t="s">
        <v>56</v>
      </c>
      <c r="T16" s="15" t="s">
        <v>57</v>
      </c>
      <c r="U16" s="17"/>
      <c r="V16" s="91">
        <f t="shared" si="14"/>
        <v>89.7</v>
      </c>
      <c r="W16" s="117">
        <f t="shared" si="7"/>
        <v>0.51199905886621899</v>
      </c>
      <c r="X16" s="117">
        <f t="shared" si="8"/>
        <v>0.51252257445220406</v>
      </c>
      <c r="Y16" s="113">
        <f t="shared" si="9"/>
        <v>-10.214488338287087</v>
      </c>
      <c r="AA16" s="91">
        <f t="shared" si="15"/>
        <v>90.7</v>
      </c>
      <c r="AB16" s="117">
        <f t="shared" si="10"/>
        <v>0.51199829006373287</v>
      </c>
      <c r="AC16" s="117">
        <f t="shared" si="11"/>
        <v>0.51252128727511193</v>
      </c>
      <c r="AD16" s="113">
        <f t="shared" si="12"/>
        <v>-10.204399785219698</v>
      </c>
      <c r="AK16" s="35"/>
      <c r="AP16" s="35"/>
    </row>
    <row r="17" spans="1:42">
      <c r="A17" s="143"/>
      <c r="B17" s="72" t="s">
        <v>62</v>
      </c>
      <c r="C17" s="15" t="s">
        <v>63</v>
      </c>
      <c r="D17" s="15" t="s">
        <v>55</v>
      </c>
      <c r="E17" s="119">
        <v>4.46</v>
      </c>
      <c r="F17" s="119">
        <v>23.3</v>
      </c>
      <c r="G17" s="127">
        <f t="shared" si="13"/>
        <v>0.11574944206008585</v>
      </c>
      <c r="H17" s="121">
        <v>0.51217599999999996</v>
      </c>
      <c r="I17" s="121">
        <v>2.7E-4</v>
      </c>
      <c r="J17" s="113">
        <f t="shared" si="0"/>
        <v>-9.0122074446308265</v>
      </c>
      <c r="K17" s="114">
        <f t="shared" si="1"/>
        <v>5.2668744806272372</v>
      </c>
      <c r="L17" s="117">
        <f t="shared" si="2"/>
        <v>0.51210769833426439</v>
      </c>
      <c r="M17" s="114">
        <f t="shared" si="3"/>
        <v>1.5330401708658032</v>
      </c>
      <c r="N17" s="90">
        <v>90.2</v>
      </c>
      <c r="O17" s="117">
        <f t="shared" si="4"/>
        <v>0.51252193086471021</v>
      </c>
      <c r="P17" s="113">
        <f t="shared" si="5"/>
        <v>-8.0822401052560444</v>
      </c>
      <c r="Q17" s="114">
        <f t="shared" si="6"/>
        <v>5.2680672521554506</v>
      </c>
      <c r="S17" s="122" t="s">
        <v>56</v>
      </c>
      <c r="T17" s="15" t="s">
        <v>57</v>
      </c>
      <c r="U17" s="17"/>
      <c r="V17" s="91">
        <f t="shared" si="14"/>
        <v>89.7</v>
      </c>
      <c r="W17" s="117">
        <f t="shared" si="7"/>
        <v>0.51210807705766714</v>
      </c>
      <c r="X17" s="117">
        <f t="shared" si="8"/>
        <v>0.51252257445220406</v>
      </c>
      <c r="Y17" s="113">
        <f t="shared" si="9"/>
        <v>-8.0873978083784159</v>
      </c>
      <c r="AA17" s="91">
        <f t="shared" si="15"/>
        <v>90.7</v>
      </c>
      <c r="AB17" s="117">
        <f t="shared" si="10"/>
        <v>0.51210731960962319</v>
      </c>
      <c r="AC17" s="117">
        <f t="shared" si="11"/>
        <v>0.51252128727511193</v>
      </c>
      <c r="AD17" s="113">
        <f t="shared" si="12"/>
        <v>-8.0770823723175234</v>
      </c>
      <c r="AK17" s="35"/>
      <c r="AP17" s="35"/>
    </row>
    <row r="18" spans="1:42">
      <c r="A18" s="143"/>
      <c r="B18" s="72" t="s">
        <v>64</v>
      </c>
      <c r="C18" s="15" t="s">
        <v>63</v>
      </c>
      <c r="D18" s="15" t="s">
        <v>55</v>
      </c>
      <c r="E18" s="119">
        <v>4.68</v>
      </c>
      <c r="F18" s="119">
        <v>25.1</v>
      </c>
      <c r="G18" s="127">
        <f>(E18/F18)*0.6047</f>
        <v>0.11274884462151394</v>
      </c>
      <c r="H18" s="121">
        <v>0.51216399999999995</v>
      </c>
      <c r="I18" s="121">
        <v>1.7000000000000001E-4</v>
      </c>
      <c r="J18" s="113">
        <f t="shared" si="0"/>
        <v>-9.2462907548818141</v>
      </c>
      <c r="K18" s="114">
        <f t="shared" si="1"/>
        <v>3.3161802285441855</v>
      </c>
      <c r="L18" s="117">
        <f t="shared" si="2"/>
        <v>0.51209746893289199</v>
      </c>
      <c r="M18" s="114">
        <f t="shared" si="3"/>
        <v>1.5056928646349028</v>
      </c>
      <c r="N18" s="90">
        <v>90.2</v>
      </c>
      <c r="O18" s="117">
        <f t="shared" si="4"/>
        <v>0.51252193086471021</v>
      </c>
      <c r="P18" s="113">
        <f t="shared" si="5"/>
        <v>-8.2818296399933544</v>
      </c>
      <c r="Q18" s="114">
        <f t="shared" si="6"/>
        <v>3.3169312328384937</v>
      </c>
      <c r="S18" s="122" t="s">
        <v>56</v>
      </c>
      <c r="T18" s="15" t="s">
        <v>57</v>
      </c>
      <c r="U18" s="17"/>
      <c r="V18" s="91">
        <f t="shared" si="14"/>
        <v>89.7</v>
      </c>
      <c r="W18" s="117">
        <f t="shared" si="7"/>
        <v>0.51209783783856733</v>
      </c>
      <c r="X18" s="117">
        <f t="shared" si="8"/>
        <v>0.51252257445220406</v>
      </c>
      <c r="Y18" s="113">
        <f t="shared" si="9"/>
        <v>-8.2871786494609356</v>
      </c>
      <c r="AA18" s="91">
        <f t="shared" si="15"/>
        <v>90.7</v>
      </c>
      <c r="AB18" s="117">
        <f t="shared" si="10"/>
        <v>0.51209710002601028</v>
      </c>
      <c r="AC18" s="117">
        <f t="shared" si="11"/>
        <v>0.51252128727511193</v>
      </c>
      <c r="AD18" s="113">
        <f t="shared" si="12"/>
        <v>-8.2764805996038415</v>
      </c>
      <c r="AK18" s="35"/>
      <c r="AP18" s="35"/>
    </row>
    <row r="19" spans="1:42">
      <c r="A19" s="143"/>
      <c r="E19" s="119"/>
      <c r="F19" s="119"/>
      <c r="G19" s="120"/>
      <c r="H19" s="121"/>
      <c r="I19" s="121"/>
      <c r="J19" s="113"/>
      <c r="K19" s="114"/>
      <c r="L19" s="117"/>
      <c r="M19" s="114"/>
      <c r="O19" s="117"/>
      <c r="P19" s="113"/>
      <c r="Q19" s="114"/>
      <c r="U19" s="17"/>
      <c r="V19" s="91"/>
      <c r="W19" s="117"/>
      <c r="X19" s="117"/>
      <c r="AA19" s="91"/>
      <c r="AB19" s="117"/>
      <c r="AC19" s="117"/>
      <c r="AD19" s="113"/>
    </row>
    <row r="20" spans="1:42">
      <c r="A20" s="143"/>
      <c r="B20" s="15" t="s">
        <v>65</v>
      </c>
      <c r="C20" s="15" t="s">
        <v>66</v>
      </c>
      <c r="D20" s="15" t="s">
        <v>67</v>
      </c>
      <c r="E20" s="119">
        <v>7.2</v>
      </c>
      <c r="F20" s="119">
        <v>42.4</v>
      </c>
      <c r="G20" s="120">
        <v>0.1031</v>
      </c>
      <c r="H20" s="121">
        <v>0.51227999999999996</v>
      </c>
      <c r="I20" s="121">
        <v>6.9999999999999994E-5</v>
      </c>
      <c r="J20" s="113">
        <f>((H20/0.512638)-1)*10000</f>
        <v>-6.9834854224637422</v>
      </c>
      <c r="K20" s="114">
        <f t="shared" ref="K20:K22" si="16">(((H20+I20)/0.512638)-1)*10000-J20</f>
        <v>1.3654859764600236</v>
      </c>
      <c r="L20" s="117">
        <f t="shared" ref="L20:L22" si="17">H20-(G20*(EXP(0.00000000000654*N20*1000000)-1))</f>
        <v>0.5122149120223235</v>
      </c>
      <c r="M20" s="114">
        <f t="shared" ref="M20:M22" si="18">IF(G20&gt;0.14,"N/A",LN((0.513163-H20)/(0.2137-G20)+1)*(1/0.00000000000654)/1000000000)</f>
        <v>1.2159057828820286</v>
      </c>
      <c r="N20" s="90">
        <v>96.5</v>
      </c>
      <c r="O20" s="117">
        <f>0.512638-(0.1967*(EXP(0.00000000000654*N20*1000000)-1))</f>
        <v>0.51251382148196944</v>
      </c>
      <c r="P20" s="113">
        <f t="shared" ref="P20:P22" si="19">((L20/O20)-1)*10000</f>
        <v>-5.832222412688326</v>
      </c>
      <c r="Q20" s="114">
        <f t="shared" ref="Q20:Q22" si="20">(((L20+I20)/O20)-1)*10000-P20</f>
        <v>1.365816824171473</v>
      </c>
      <c r="S20" s="91" t="s">
        <v>357</v>
      </c>
      <c r="T20" s="15" t="s">
        <v>19</v>
      </c>
      <c r="U20" s="17"/>
      <c r="V20" s="91"/>
      <c r="W20" s="117"/>
      <c r="X20" s="117"/>
      <c r="AA20" s="91"/>
      <c r="AB20" s="117"/>
      <c r="AC20" s="117"/>
      <c r="AD20" s="113"/>
    </row>
    <row r="21" spans="1:42">
      <c r="A21" s="143"/>
      <c r="B21" s="15" t="s">
        <v>68</v>
      </c>
      <c r="C21" s="15" t="s">
        <v>69</v>
      </c>
      <c r="D21" s="15" t="s">
        <v>70</v>
      </c>
      <c r="E21" s="119">
        <v>8.1999999999999993</v>
      </c>
      <c r="F21" s="119">
        <v>46.4</v>
      </c>
      <c r="G21" s="120">
        <v>0.10630000000000001</v>
      </c>
      <c r="H21" s="121">
        <v>0.51214999999999999</v>
      </c>
      <c r="I21" s="121">
        <v>5.0000000000000002E-5</v>
      </c>
      <c r="J21" s="113">
        <f>((H21/0.512638)-1)*10000</f>
        <v>-9.5193879501720424</v>
      </c>
      <c r="K21" s="114">
        <f t="shared" si="16"/>
        <v>0.97534712604208096</v>
      </c>
      <c r="L21" s="117">
        <f t="shared" si="17"/>
        <v>0.51208275270464132</v>
      </c>
      <c r="M21" s="114">
        <f t="shared" si="18"/>
        <v>1.4354473913565973</v>
      </c>
      <c r="N21" s="90">
        <v>96.7</v>
      </c>
      <c r="O21" s="117">
        <f>0.512638-(0.1967*(EXP(0.00000000000654*N21*1000000)-1))</f>
        <v>0.51251356403577564</v>
      </c>
      <c r="P21" s="113">
        <f t="shared" si="19"/>
        <v>-8.405852281097026</v>
      </c>
      <c r="Q21" s="114">
        <f t="shared" si="20"/>
        <v>0.97558393589158854</v>
      </c>
      <c r="S21" s="122" t="s">
        <v>355</v>
      </c>
      <c r="T21" s="15" t="s">
        <v>19</v>
      </c>
      <c r="U21" s="17"/>
      <c r="V21" s="91"/>
      <c r="W21" s="117"/>
      <c r="X21" s="117"/>
      <c r="AA21" s="91"/>
      <c r="AB21" s="117"/>
      <c r="AC21" s="117"/>
      <c r="AD21" s="113"/>
    </row>
    <row r="22" spans="1:42">
      <c r="A22" s="143"/>
      <c r="B22" s="15" t="s">
        <v>71</v>
      </c>
      <c r="C22" s="15" t="s">
        <v>69</v>
      </c>
      <c r="D22" s="15" t="s">
        <v>72</v>
      </c>
      <c r="E22" s="119">
        <v>9.9</v>
      </c>
      <c r="F22" s="119">
        <v>57.9</v>
      </c>
      <c r="G22" s="120">
        <v>0.1038</v>
      </c>
      <c r="H22" s="121">
        <v>0.51161000000000001</v>
      </c>
      <c r="I22" s="121">
        <v>6.9999999999999994E-5</v>
      </c>
      <c r="J22" s="113">
        <f>((H22/0.512638)-1)*10000</f>
        <v>-20.053136911427629</v>
      </c>
      <c r="K22" s="114">
        <f t="shared" si="16"/>
        <v>1.3654859764600253</v>
      </c>
      <c r="L22" s="117">
        <f t="shared" si="17"/>
        <v>0.51154501352892012</v>
      </c>
      <c r="M22" s="114">
        <f t="shared" si="18"/>
        <v>2.1455834801874669</v>
      </c>
      <c r="N22" s="90">
        <v>95.7</v>
      </c>
      <c r="O22" s="117">
        <f>0.512638-(0.1967*(EXP(0.00000000000654*N22*1000000)-1))</f>
        <v>0.51251485126337759</v>
      </c>
      <c r="P22" s="113">
        <f t="shared" si="19"/>
        <v>-18.923114755928783</v>
      </c>
      <c r="Q22" s="114">
        <f t="shared" si="20"/>
        <v>1.3658140798744611</v>
      </c>
      <c r="S22" s="91" t="s">
        <v>356</v>
      </c>
      <c r="T22" s="15" t="s">
        <v>19</v>
      </c>
      <c r="U22" s="17"/>
      <c r="V22" s="91"/>
      <c r="W22" s="117"/>
      <c r="X22" s="117"/>
      <c r="AA22" s="91"/>
      <c r="AB22" s="117"/>
      <c r="AC22" s="117"/>
      <c r="AD22" s="113"/>
    </row>
    <row r="23" spans="1:42">
      <c r="A23" s="123"/>
      <c r="E23" s="119"/>
      <c r="F23" s="119"/>
      <c r="G23" s="120"/>
      <c r="H23" s="121"/>
      <c r="I23" s="121"/>
      <c r="J23" s="113"/>
      <c r="K23" s="114"/>
      <c r="L23" s="117"/>
      <c r="M23" s="114"/>
      <c r="O23" s="117"/>
      <c r="P23" s="113"/>
      <c r="Q23" s="114"/>
      <c r="U23" s="17"/>
      <c r="V23" s="91"/>
      <c r="W23" s="117"/>
      <c r="X23" s="117"/>
      <c r="AA23" s="91"/>
      <c r="AB23" s="117"/>
      <c r="AC23" s="117"/>
      <c r="AD23" s="113"/>
    </row>
    <row r="24" spans="1:42">
      <c r="A24" s="143" t="s">
        <v>383</v>
      </c>
      <c r="D24" s="118" t="s">
        <v>73</v>
      </c>
      <c r="E24" s="119"/>
      <c r="F24" s="119"/>
      <c r="G24" s="120"/>
      <c r="H24" s="121"/>
      <c r="I24" s="121"/>
      <c r="J24" s="113"/>
      <c r="K24" s="114"/>
      <c r="L24" s="117"/>
      <c r="M24" s="114"/>
      <c r="O24" s="117"/>
      <c r="P24" s="113"/>
      <c r="Q24" s="114"/>
      <c r="U24" s="17"/>
      <c r="V24" s="91"/>
      <c r="W24" s="117"/>
      <c r="X24" s="117"/>
      <c r="AA24" s="91"/>
      <c r="AB24" s="117"/>
      <c r="AC24" s="117"/>
      <c r="AD24" s="113"/>
    </row>
    <row r="25" spans="1:42">
      <c r="A25" s="143"/>
      <c r="B25" s="15">
        <v>1</v>
      </c>
      <c r="C25" s="15" t="s">
        <v>74</v>
      </c>
      <c r="D25" s="15" t="s">
        <v>75</v>
      </c>
      <c r="E25" s="119">
        <v>19.02</v>
      </c>
      <c r="F25" s="119">
        <v>79.3</v>
      </c>
      <c r="G25" s="120">
        <v>0.14499999999999999</v>
      </c>
      <c r="H25" s="121">
        <v>0.51199700000000004</v>
      </c>
      <c r="I25" s="121">
        <v>9.0000000000000002E-6</v>
      </c>
      <c r="J25" s="113">
        <f t="shared" ref="J25:J26" si="21">((H25/0.512638)-1)*10000</f>
        <v>-12.503950155861032</v>
      </c>
      <c r="K25" s="114">
        <f t="shared" ref="K25:K26" si="22">(((H25+I25)/0.512638)-1)*10000-J25</f>
        <v>0.17556248268935093</v>
      </c>
      <c r="L25" s="117">
        <f t="shared" ref="L25:L26" si="23">H25-(G25*(EXP(0.00000000000654*N25*1000000)-1))</f>
        <v>0.51036534667414557</v>
      </c>
      <c r="M25" s="114">
        <f>LN((0.513163-H25)/(0.2137-G25)+1)*(1/0.00000000000654)/1000000000</f>
        <v>2.5733826483510667</v>
      </c>
      <c r="N25" s="90">
        <v>1711</v>
      </c>
      <c r="O25" s="117">
        <f>0.512638-(0.1967*(EXP(0.00000000000654*N25*1000000)-1))</f>
        <v>0.51042457786761675</v>
      </c>
      <c r="P25" s="113">
        <f t="shared" ref="P25:P26" si="24">((L25/O25)-1)*10000</f>
        <v>-1.1604298860101725</v>
      </c>
      <c r="Q25" s="114">
        <f t="shared" ref="Q25:Q26" si="25">(((L25+I25)/O25)-1)*10000-P25</f>
        <v>0.17632379768262041</v>
      </c>
      <c r="S25" s="91" t="s">
        <v>76</v>
      </c>
      <c r="T25" s="15" t="s">
        <v>77</v>
      </c>
      <c r="U25" s="17"/>
      <c r="V25" s="91"/>
      <c r="W25" s="117">
        <f>H25-(G25*(EXP(0.00000000000654*V25*1000000)-1))</f>
        <v>0.51199700000000004</v>
      </c>
      <c r="X25" s="117">
        <f>0.512638-(0.1967*(EXP(0.00000000000654*V25*1000000)-1))</f>
        <v>0.51263800000000004</v>
      </c>
      <c r="Y25" s="113">
        <f>((W25/X25)-1)*10000</f>
        <v>-12.503950155861032</v>
      </c>
      <c r="AA25" s="91"/>
      <c r="AB25" s="117">
        <f>H25-(G25*(EXP(0.00000000000654*AA25*1000000)-1))</f>
        <v>0.51199700000000004</v>
      </c>
      <c r="AC25" s="117">
        <f>0.512638-(0.1967*(EXP(0.00000000000654*AA25*1000000)-1))</f>
        <v>0.51263800000000004</v>
      </c>
      <c r="AD25" s="113">
        <f>((AB25/AC25)-1)*10000</f>
        <v>-12.503950155861032</v>
      </c>
    </row>
    <row r="26" spans="1:42">
      <c r="A26" s="143"/>
      <c r="B26" s="15">
        <v>2</v>
      </c>
      <c r="C26" s="15" t="s">
        <v>78</v>
      </c>
      <c r="D26" s="15" t="s">
        <v>75</v>
      </c>
      <c r="E26" s="119">
        <v>16.73</v>
      </c>
      <c r="F26" s="119">
        <v>81.510000000000005</v>
      </c>
      <c r="G26" s="120">
        <v>0.1241</v>
      </c>
      <c r="H26" s="121">
        <v>0.51173599999999997</v>
      </c>
      <c r="I26" s="121">
        <v>9.0000000000000002E-6</v>
      </c>
      <c r="J26" s="113">
        <f t="shared" si="21"/>
        <v>-17.595262153802249</v>
      </c>
      <c r="K26" s="114">
        <f t="shared" si="22"/>
        <v>0.17556248268823893</v>
      </c>
      <c r="L26" s="117">
        <f t="shared" si="23"/>
        <v>0.51034117129179446</v>
      </c>
      <c r="M26" s="114">
        <f t="shared" ref="M26" si="26">IF(G26&gt;0.14,"N/A",LN((0.513163-H26)/(0.2137-G26)+1)*(1/0.00000000000654)/1000000000)</f>
        <v>2.4160314717049984</v>
      </c>
      <c r="N26" s="90">
        <v>1709</v>
      </c>
      <c r="O26" s="117">
        <f>0.512638-(0.1967*(EXP(0.00000000000654*N26*1000000)-1))</f>
        <v>0.51042717963816264</v>
      </c>
      <c r="P26" s="113">
        <f t="shared" si="24"/>
        <v>-1.6850267736356894</v>
      </c>
      <c r="Q26" s="114">
        <f t="shared" si="25"/>
        <v>0.17632289891822417</v>
      </c>
      <c r="S26" s="91" t="s">
        <v>79</v>
      </c>
      <c r="T26" s="15" t="s">
        <v>77</v>
      </c>
      <c r="U26" s="17"/>
      <c r="V26" s="91"/>
      <c r="W26" s="117">
        <f>H26-(G26*(EXP(0.00000000000654*V26*1000000)-1))</f>
        <v>0.51173599999999997</v>
      </c>
      <c r="X26" s="117">
        <f>0.512638-(0.1967*(EXP(0.00000000000654*V26*1000000)-1))</f>
        <v>0.51263800000000004</v>
      </c>
      <c r="Y26" s="113">
        <f>((W26/X26)-1)*10000</f>
        <v>-17.595262153802249</v>
      </c>
      <c r="AA26" s="91"/>
      <c r="AB26" s="117">
        <f>H26-(G26*(EXP(0.00000000000654*AA26*1000000)-1))</f>
        <v>0.51173599999999997</v>
      </c>
      <c r="AC26" s="117">
        <f>0.512638-(0.1967*(EXP(0.00000000000654*AA26*1000000)-1))</f>
        <v>0.51263800000000004</v>
      </c>
      <c r="AD26" s="113">
        <f>((AB26/AC26)-1)*10000</f>
        <v>-17.595262153802249</v>
      </c>
    </row>
    <row r="27" spans="1:42">
      <c r="A27" s="143"/>
      <c r="E27" s="119"/>
      <c r="F27" s="119"/>
      <c r="G27" s="120"/>
      <c r="H27" s="121"/>
      <c r="I27" s="121"/>
      <c r="J27" s="113"/>
      <c r="K27" s="114"/>
      <c r="L27" s="117"/>
      <c r="M27" s="114"/>
      <c r="O27" s="117"/>
      <c r="P27" s="113"/>
      <c r="Q27" s="114"/>
      <c r="U27" s="17"/>
      <c r="V27" s="91"/>
      <c r="W27" s="117"/>
      <c r="X27" s="117"/>
      <c r="AA27" s="91"/>
      <c r="AB27" s="117"/>
      <c r="AC27" s="117"/>
      <c r="AD27" s="113"/>
    </row>
    <row r="28" spans="1:42">
      <c r="A28" s="143"/>
      <c r="B28" s="15" t="s">
        <v>80</v>
      </c>
      <c r="C28" s="15" t="s">
        <v>81</v>
      </c>
      <c r="D28" s="15" t="s">
        <v>82</v>
      </c>
      <c r="E28" s="119">
        <v>2.5</v>
      </c>
      <c r="F28" s="119">
        <v>17.34</v>
      </c>
      <c r="G28" s="120">
        <v>8.6999999999999994E-2</v>
      </c>
      <c r="H28" s="121">
        <v>0.51136700000000002</v>
      </c>
      <c r="I28" s="121">
        <v>1.5999999999999999E-5</v>
      </c>
      <c r="J28" s="113">
        <f t="shared" ref="J28:J29" si="27">((H28/0.512638)-1)*10000</f>
        <v>-24.793323943992363</v>
      </c>
      <c r="K28" s="114">
        <f t="shared" ref="K28:K29" si="28">(((H28+I28)/0.512638)-1)*10000-J28</f>
        <v>0.31211108033391</v>
      </c>
      <c r="L28" s="117">
        <f t="shared" ref="L28:L29" si="29">H28-(G28*(EXP(0.00000000000654*N28*1000000)-1))</f>
        <v>0.51031087294095667</v>
      </c>
      <c r="M28" s="114">
        <f t="shared" ref="M28:M29" si="30">IF(G28&gt;0.14,"N/A",LN((0.513163-H28)/(0.2137-G28)+1)*(1/0.00000000000654)/1000000000)</f>
        <v>2.1522458897573511</v>
      </c>
      <c r="N28" s="90">
        <v>1845</v>
      </c>
      <c r="O28" s="117">
        <f>0.512638-(0.1967*(EXP(0.00000000000654*N28*1000000)-1))</f>
        <v>0.51025018169524339</v>
      </c>
      <c r="P28" s="113">
        <f>((L28/O28)-1)*10000</f>
        <v>1.1894409427082309</v>
      </c>
      <c r="Q28" s="114">
        <f t="shared" ref="Q28:Q29" si="31">(((L28+I28)/O28)-1)*10000-P28</f>
        <v>0.31357166688117388</v>
      </c>
      <c r="S28" s="91" t="s">
        <v>83</v>
      </c>
      <c r="T28" s="15" t="s">
        <v>84</v>
      </c>
      <c r="U28" s="17"/>
      <c r="V28" s="91">
        <f>1845-3</f>
        <v>1842</v>
      </c>
      <c r="W28" s="117">
        <f>H28-(G28*(EXP(0.00000000000654*V28*1000000)-1))</f>
        <v>0.51031260058522132</v>
      </c>
      <c r="X28" s="117">
        <f t="shared" ref="X28:X29" si="32">0.512638-(0.1967*(EXP(0.00000000000654*V28*1000000)-1))</f>
        <v>0.51025408775991998</v>
      </c>
      <c r="Y28" s="113">
        <f>((W28/X28)-1)*10000</f>
        <v>1.146738981714357</v>
      </c>
      <c r="AA28" s="91">
        <f>1845+3</f>
        <v>1848</v>
      </c>
      <c r="AB28" s="117">
        <f>H28-(G28*(EXP(0.00000000000654*AA28*1000000)-1))</f>
        <v>0.51030914526279525</v>
      </c>
      <c r="AC28" s="117">
        <f t="shared" ref="AC28:AC29" si="33">0.512638-(0.1967*(EXP(0.00000000000654*AA28*1000000)-1))</f>
        <v>0.51024627555392921</v>
      </c>
      <c r="AD28" s="113">
        <f t="shared" ref="AD28:AD29" si="34">((AB28/AC28)-1)*10000</f>
        <v>1.2321443953267064</v>
      </c>
    </row>
    <row r="29" spans="1:42">
      <c r="A29" s="143"/>
      <c r="B29" s="15" t="s">
        <v>85</v>
      </c>
      <c r="C29" s="15" t="s">
        <v>86</v>
      </c>
      <c r="D29" s="15" t="s">
        <v>87</v>
      </c>
      <c r="E29" s="119">
        <v>9.59</v>
      </c>
      <c r="F29" s="119">
        <v>51.75</v>
      </c>
      <c r="G29" s="120">
        <v>0.11119999999999999</v>
      </c>
      <c r="H29" s="121">
        <v>0.51150499999999999</v>
      </c>
      <c r="I29" s="121">
        <v>6.0000000000000002E-6</v>
      </c>
      <c r="J29" s="113">
        <f t="shared" si="27"/>
        <v>-22.101365876115999</v>
      </c>
      <c r="K29" s="114">
        <f t="shared" si="28"/>
        <v>0.11704165512327336</v>
      </c>
      <c r="L29" s="117">
        <f t="shared" si="29"/>
        <v>0.51015509966706185</v>
      </c>
      <c r="M29" s="114">
        <f t="shared" si="30"/>
        <v>2.4535441083443699</v>
      </c>
      <c r="N29" s="90">
        <v>1845</v>
      </c>
      <c r="O29" s="117">
        <f>0.512638-(0.1967*(EXP(0.00000000000654*N29*1000000)-1))</f>
        <v>0.51025018169524339</v>
      </c>
      <c r="P29" s="113">
        <f t="shared" ref="P29" si="35">((L29/O29)-1)*10000</f>
        <v>-1.8634393792005266</v>
      </c>
      <c r="Q29" s="114">
        <f t="shared" si="31"/>
        <v>0.11758937507821976</v>
      </c>
      <c r="S29" s="91" t="s">
        <v>83</v>
      </c>
      <c r="T29" s="15" t="s">
        <v>84</v>
      </c>
      <c r="U29" s="17"/>
      <c r="V29" s="91">
        <f>1845-3</f>
        <v>1842</v>
      </c>
      <c r="W29" s="117">
        <f>H29-(G29*(EXP(0.00000000000654*V29*1000000)-1))</f>
        <v>0.5101573078744438</v>
      </c>
      <c r="X29" s="117">
        <f t="shared" si="32"/>
        <v>0.51025408775991998</v>
      </c>
      <c r="Y29" s="113">
        <f>((W29/X29)-1)*10000</f>
        <v>-1.896699855968853</v>
      </c>
      <c r="AA29" s="91">
        <f>1845+3</f>
        <v>1848</v>
      </c>
      <c r="AB29" s="117">
        <f>H29-(G29*(EXP(0.00000000000654*AA29*1000000)-1))</f>
        <v>0.51015289141635445</v>
      </c>
      <c r="AC29" s="117">
        <f t="shared" si="33"/>
        <v>0.51024627555392921</v>
      </c>
      <c r="AD29" s="113">
        <f t="shared" si="34"/>
        <v>-1.83017774060934</v>
      </c>
    </row>
    <row r="30" spans="1:42">
      <c r="A30" s="143"/>
      <c r="E30" s="119"/>
      <c r="F30" s="119"/>
      <c r="G30" s="120"/>
      <c r="H30" s="121"/>
      <c r="I30" s="121"/>
      <c r="J30" s="113"/>
      <c r="K30" s="114"/>
      <c r="L30" s="117"/>
      <c r="M30" s="114"/>
      <c r="O30" s="117"/>
      <c r="P30" s="113"/>
      <c r="Q30" s="114"/>
      <c r="U30" s="17"/>
      <c r="V30" s="91"/>
      <c r="W30" s="117"/>
      <c r="X30" s="117"/>
      <c r="AA30" s="91"/>
      <c r="AB30" s="117"/>
      <c r="AC30" s="117"/>
      <c r="AD30" s="113"/>
    </row>
    <row r="31" spans="1:42">
      <c r="A31" s="143"/>
      <c r="D31" s="118" t="s">
        <v>88</v>
      </c>
      <c r="E31" s="119"/>
      <c r="F31" s="119"/>
      <c r="G31" s="120"/>
      <c r="H31" s="121"/>
      <c r="I31" s="121"/>
      <c r="J31" s="113"/>
      <c r="K31" s="114"/>
      <c r="L31" s="117"/>
      <c r="M31" s="114"/>
      <c r="O31" s="117"/>
      <c r="P31" s="113"/>
      <c r="Q31" s="114"/>
      <c r="U31" s="17"/>
      <c r="V31" s="91"/>
      <c r="W31" s="117"/>
      <c r="X31" s="117"/>
      <c r="AA31" s="91"/>
      <c r="AB31" s="117"/>
      <c r="AC31" s="117"/>
      <c r="AD31" s="113"/>
    </row>
    <row r="32" spans="1:42">
      <c r="A32" s="143"/>
      <c r="B32" s="15" t="s">
        <v>89</v>
      </c>
      <c r="C32" s="15" t="s">
        <v>90</v>
      </c>
      <c r="D32" s="15" t="s">
        <v>91</v>
      </c>
      <c r="E32" s="119">
        <v>3.25</v>
      </c>
      <c r="F32" s="119">
        <v>20.77</v>
      </c>
      <c r="G32" s="120">
        <v>9.4399999999999998E-2</v>
      </c>
      <c r="H32" s="121">
        <v>0.51105599999999995</v>
      </c>
      <c r="I32" s="121"/>
      <c r="J32" s="113">
        <f t="shared" ref="J32:J49" si="36">((H32/0.512638)-1)*10000</f>
        <v>-30.859983067975662</v>
      </c>
      <c r="K32" s="114">
        <f t="shared" ref="K32:K49" si="37">(((H32+I32)/0.512638)-1)*10000-J32</f>
        <v>0</v>
      </c>
      <c r="L32" s="117">
        <f t="shared" ref="L32:L49" si="38">H32-(G32*(EXP(0.00000000000654*N32*1000000)-1))</f>
        <v>0.50970423769634787</v>
      </c>
      <c r="M32" s="114">
        <f t="shared" ref="M32:M49" si="39">IF(G32&gt;0.14,"N/A",LN((0.513163-H32)/(0.2137-G32)+1)*(1/0.00000000000654)/1000000000)</f>
        <v>2.6769431934629622</v>
      </c>
      <c r="N32" s="90">
        <v>2174</v>
      </c>
      <c r="O32" s="117">
        <f t="shared" ref="O32:O49" si="40">0.512638-(0.1967*(EXP(0.00000000000654*N32*1000000)-1))</f>
        <v>0.50982135121686045</v>
      </c>
      <c r="P32" s="113">
        <f t="shared" ref="P32:P49" si="41">((L32/O32)-1)*10000</f>
        <v>-2.2971482114875208</v>
      </c>
      <c r="Q32" s="114"/>
      <c r="S32" s="91" t="s">
        <v>92</v>
      </c>
      <c r="T32" s="15" t="s">
        <v>93</v>
      </c>
      <c r="U32" s="17"/>
      <c r="V32" s="91">
        <f>2174-54</f>
        <v>2120</v>
      </c>
      <c r="W32" s="117">
        <f t="shared" ref="W32:W49" si="42">H32-(G32*(EXP(0.00000000000654*V32*1000000)-1))</f>
        <v>0.50973804741825091</v>
      </c>
      <c r="X32" s="117">
        <f t="shared" ref="X32:X49" si="43">0.512638-(0.1967*(EXP(0.00000000000654*V32*1000000)-1))</f>
        <v>0.50989180007595303</v>
      </c>
      <c r="Y32" s="113">
        <f t="shared" ref="Y32:Y49" si="44">((W32/X32)-1)*10000</f>
        <v>-3.0153977310332092</v>
      </c>
      <c r="AA32" s="91">
        <f>2174+54</f>
        <v>2228</v>
      </c>
      <c r="AB32" s="117">
        <f t="shared" ref="AB32:AB49" si="45">H32-(G32*(EXP(0.00000000000654*AA32*1000000)-1))</f>
        <v>0.50967041603209473</v>
      </c>
      <c r="AC32" s="117">
        <f t="shared" ref="AC32:AC49" si="46">0.512638-(0.1967*(EXP(0.00000000000654*AA32*1000000)-1))</f>
        <v>0.50975087747365511</v>
      </c>
      <c r="AD32" s="113">
        <f t="shared" ref="AD32:AD49" si="47">((AB32/AC32)-1)*10000</f>
        <v>-1.578446357153318</v>
      </c>
    </row>
    <row r="33" spans="1:30">
      <c r="A33" s="143"/>
      <c r="B33" s="15" t="s">
        <v>94</v>
      </c>
      <c r="C33" s="15" t="s">
        <v>90</v>
      </c>
      <c r="D33" s="15" t="s">
        <v>91</v>
      </c>
      <c r="E33" s="119">
        <v>0.92</v>
      </c>
      <c r="F33" s="119">
        <v>7.84</v>
      </c>
      <c r="G33" s="120">
        <v>7.1099999999999997E-2</v>
      </c>
      <c r="H33" s="121">
        <v>0.51081799999999999</v>
      </c>
      <c r="I33" s="121"/>
      <c r="J33" s="113">
        <f t="shared" si="36"/>
        <v>-35.502635387935079</v>
      </c>
      <c r="K33" s="114">
        <f t="shared" si="37"/>
        <v>0</v>
      </c>
      <c r="L33" s="117">
        <f t="shared" si="38"/>
        <v>0.50989462228445426</v>
      </c>
      <c r="M33" s="114">
        <f t="shared" si="39"/>
        <v>2.4940140885605904</v>
      </c>
      <c r="N33" s="90">
        <v>1973</v>
      </c>
      <c r="O33" s="117">
        <f t="shared" si="40"/>
        <v>0.5100834515239403</v>
      </c>
      <c r="P33" s="113">
        <f t="shared" si="41"/>
        <v>-3.7019283594064145</v>
      </c>
      <c r="Q33" s="114"/>
      <c r="S33" s="91" t="s">
        <v>95</v>
      </c>
      <c r="T33" s="15" t="s">
        <v>93</v>
      </c>
      <c r="U33" s="17"/>
      <c r="V33" s="91">
        <f>1973-5</f>
        <v>1968</v>
      </c>
      <c r="W33" s="117">
        <f t="shared" si="42"/>
        <v>0.50989697741039908</v>
      </c>
      <c r="X33" s="117">
        <f t="shared" si="43"/>
        <v>0.51008996704114618</v>
      </c>
      <c r="Y33" s="113">
        <f t="shared" si="44"/>
        <v>-3.7834429849026296</v>
      </c>
      <c r="AA33" s="91">
        <f>1973+5</f>
        <v>1978</v>
      </c>
      <c r="AB33" s="117">
        <f t="shared" si="45"/>
        <v>0.5098922670814956</v>
      </c>
      <c r="AC33" s="117">
        <f t="shared" si="46"/>
        <v>0.51007693579367352</v>
      </c>
      <c r="AD33" s="113">
        <f t="shared" si="47"/>
        <v>-3.6204089857660993</v>
      </c>
    </row>
    <row r="34" spans="1:30">
      <c r="A34" s="143"/>
      <c r="B34" s="15" t="s">
        <v>96</v>
      </c>
      <c r="C34" s="15" t="s">
        <v>81</v>
      </c>
      <c r="D34" s="15" t="s">
        <v>91</v>
      </c>
      <c r="E34" s="119">
        <v>7.37</v>
      </c>
      <c r="F34" s="119">
        <v>66.59</v>
      </c>
      <c r="G34" s="120">
        <v>6.6900000000000001E-2</v>
      </c>
      <c r="H34" s="121">
        <v>0.51048000000000004</v>
      </c>
      <c r="I34" s="121"/>
      <c r="J34" s="113">
        <f t="shared" si="36"/>
        <v>-42.095981959979767</v>
      </c>
      <c r="K34" s="114">
        <f t="shared" si="37"/>
        <v>0</v>
      </c>
      <c r="L34" s="117">
        <f t="shared" si="38"/>
        <v>0.50962224710182291</v>
      </c>
      <c r="M34" s="114">
        <f t="shared" si="39"/>
        <v>2.7693513470950575</v>
      </c>
      <c r="N34" s="90">
        <v>1948</v>
      </c>
      <c r="O34" s="117">
        <f t="shared" si="40"/>
        <v>0.51011602697950009</v>
      </c>
      <c r="P34" s="113">
        <f t="shared" si="41"/>
        <v>-9.6797562037198581</v>
      </c>
      <c r="Q34" s="114"/>
      <c r="S34" s="91" t="s">
        <v>97</v>
      </c>
      <c r="T34" s="15" t="s">
        <v>93</v>
      </c>
      <c r="U34" s="17"/>
      <c r="V34" s="91">
        <f>1948-4</f>
        <v>1944</v>
      </c>
      <c r="W34" s="117">
        <f t="shared" si="42"/>
        <v>0.50962401962145398</v>
      </c>
      <c r="X34" s="117">
        <f t="shared" si="43"/>
        <v>0.51012123855814651</v>
      </c>
      <c r="Y34" s="113">
        <f t="shared" si="44"/>
        <v>-9.7470738151950176</v>
      </c>
      <c r="AA34" s="91">
        <f>1948+4</f>
        <v>1952</v>
      </c>
      <c r="AB34" s="117">
        <f t="shared" si="45"/>
        <v>0.50962047453582204</v>
      </c>
      <c r="AC34" s="117">
        <f t="shared" si="46"/>
        <v>0.51011081526451685</v>
      </c>
      <c r="AD34" s="113">
        <f t="shared" si="47"/>
        <v>-9.6124354556281766</v>
      </c>
    </row>
    <row r="35" spans="1:30">
      <c r="A35" s="143"/>
      <c r="B35" s="15" t="s">
        <v>98</v>
      </c>
      <c r="C35" s="15" t="s">
        <v>81</v>
      </c>
      <c r="D35" s="15" t="s">
        <v>91</v>
      </c>
      <c r="E35" s="119">
        <v>9.11</v>
      </c>
      <c r="F35" s="119">
        <v>58.37</v>
      </c>
      <c r="G35" s="120">
        <v>9.4299999999999995E-2</v>
      </c>
      <c r="H35" s="121">
        <v>0.51103900000000002</v>
      </c>
      <c r="I35" s="121"/>
      <c r="J35" s="113">
        <f t="shared" si="36"/>
        <v>-31.191601090828634</v>
      </c>
      <c r="K35" s="114">
        <f t="shared" si="37"/>
        <v>0</v>
      </c>
      <c r="L35" s="117">
        <f t="shared" si="38"/>
        <v>0.50983993377984937</v>
      </c>
      <c r="M35" s="114">
        <f t="shared" si="39"/>
        <v>2.6961121069796019</v>
      </c>
      <c r="N35" s="90">
        <v>1932</v>
      </c>
      <c r="O35" s="117">
        <f t="shared" si="40"/>
        <v>0.51013687247610151</v>
      </c>
      <c r="P35" s="113">
        <f t="shared" si="41"/>
        <v>-5.8207652156339051</v>
      </c>
      <c r="Q35" s="114"/>
      <c r="S35" s="91">
        <v>1932</v>
      </c>
      <c r="T35" s="15" t="s">
        <v>93</v>
      </c>
      <c r="U35" s="17"/>
      <c r="V35" s="91">
        <v>1932</v>
      </c>
      <c r="W35" s="117">
        <f t="shared" si="42"/>
        <v>0.50983993377984937</v>
      </c>
      <c r="X35" s="117">
        <f t="shared" si="43"/>
        <v>0.51013687247610151</v>
      </c>
      <c r="Y35" s="113">
        <f t="shared" si="44"/>
        <v>-5.8207652156339051</v>
      </c>
      <c r="AA35" s="91">
        <v>1932</v>
      </c>
      <c r="AB35" s="117">
        <f t="shared" si="45"/>
        <v>0.50983993377984937</v>
      </c>
      <c r="AC35" s="117">
        <f t="shared" si="46"/>
        <v>0.51013687247610151</v>
      </c>
      <c r="AD35" s="113">
        <f t="shared" si="47"/>
        <v>-5.8207652156339051</v>
      </c>
    </row>
    <row r="36" spans="1:30">
      <c r="A36" s="143"/>
      <c r="B36" s="15" t="s">
        <v>99</v>
      </c>
      <c r="C36" s="15" t="s">
        <v>100</v>
      </c>
      <c r="D36" s="15" t="s">
        <v>91</v>
      </c>
      <c r="E36" s="119">
        <v>15.49</v>
      </c>
      <c r="F36" s="119">
        <v>117.35</v>
      </c>
      <c r="G36" s="120">
        <v>7.9799999999999996E-2</v>
      </c>
      <c r="H36" s="121">
        <v>0.51087800000000005</v>
      </c>
      <c r="I36" s="121"/>
      <c r="J36" s="113">
        <f t="shared" si="36"/>
        <v>-34.332218836683467</v>
      </c>
      <c r="K36" s="114">
        <f t="shared" si="37"/>
        <v>0</v>
      </c>
      <c r="L36" s="117">
        <f t="shared" si="38"/>
        <v>0.50986066501128491</v>
      </c>
      <c r="M36" s="114">
        <f t="shared" si="39"/>
        <v>2.5873092958261772</v>
      </c>
      <c r="N36" s="90">
        <v>1937</v>
      </c>
      <c r="O36" s="117">
        <f t="shared" si="40"/>
        <v>0.51013035849272848</v>
      </c>
      <c r="P36" s="113">
        <f t="shared" si="41"/>
        <v>-5.2867561585712153</v>
      </c>
      <c r="Q36" s="114"/>
      <c r="S36" s="91" t="s">
        <v>101</v>
      </c>
      <c r="T36" s="15" t="s">
        <v>93</v>
      </c>
      <c r="U36" s="17"/>
      <c r="V36" s="91">
        <f>1937-61</f>
        <v>1876</v>
      </c>
      <c r="W36" s="117">
        <f t="shared" si="42"/>
        <v>0.50989289984859476</v>
      </c>
      <c r="X36" s="117">
        <f t="shared" si="43"/>
        <v>0.51020981453907999</v>
      </c>
      <c r="Y36" s="113">
        <f t="shared" si="44"/>
        <v>-6.2114581384820067</v>
      </c>
      <c r="AA36" s="91">
        <f>1937+61</f>
        <v>1998</v>
      </c>
      <c r="AB36" s="117">
        <f t="shared" si="45"/>
        <v>0.50982841731164352</v>
      </c>
      <c r="AC36" s="117">
        <f t="shared" si="46"/>
        <v>0.51005087074185806</v>
      </c>
      <c r="AD36" s="113">
        <f t="shared" si="47"/>
        <v>-4.3613969306821598</v>
      </c>
    </row>
    <row r="37" spans="1:30">
      <c r="A37" s="143"/>
      <c r="B37" s="15" t="s">
        <v>102</v>
      </c>
      <c r="C37" s="15" t="s">
        <v>103</v>
      </c>
      <c r="D37" s="15" t="s">
        <v>104</v>
      </c>
      <c r="E37" s="119">
        <v>5.42</v>
      </c>
      <c r="F37" s="119">
        <v>28.04</v>
      </c>
      <c r="G37" s="120">
        <v>0.1168</v>
      </c>
      <c r="H37" s="121">
        <v>0.51144400000000001</v>
      </c>
      <c r="I37" s="121"/>
      <c r="J37" s="113">
        <f t="shared" si="36"/>
        <v>-23.291289369887778</v>
      </c>
      <c r="K37" s="114">
        <f t="shared" si="37"/>
        <v>0</v>
      </c>
      <c r="L37" s="117">
        <f t="shared" si="38"/>
        <v>0.50977845362682461</v>
      </c>
      <c r="M37" s="114">
        <f t="shared" si="39"/>
        <v>2.6887495285629819</v>
      </c>
      <c r="N37" s="90">
        <v>2165</v>
      </c>
      <c r="O37" s="117">
        <f t="shared" si="40"/>
        <v>0.50983309442120206</v>
      </c>
      <c r="P37" s="113">
        <f t="shared" si="41"/>
        <v>-1.071738868569927</v>
      </c>
      <c r="Q37" s="114"/>
      <c r="S37" s="91" t="s">
        <v>105</v>
      </c>
      <c r="T37" s="15" t="s">
        <v>93</v>
      </c>
      <c r="U37" s="17"/>
      <c r="V37" s="91">
        <f>2165-5</f>
        <v>2160</v>
      </c>
      <c r="W37" s="117">
        <f t="shared" si="42"/>
        <v>0.50978232738685458</v>
      </c>
      <c r="X37" s="117">
        <f t="shared" si="43"/>
        <v>0.50983961812495127</v>
      </c>
      <c r="Y37" s="113">
        <f t="shared" si="44"/>
        <v>-1.1237011809195341</v>
      </c>
      <c r="AA37" s="91">
        <f>2165+5</f>
        <v>2170</v>
      </c>
      <c r="AB37" s="117">
        <f t="shared" si="45"/>
        <v>0.50977457974012041</v>
      </c>
      <c r="AC37" s="117">
        <f t="shared" si="46"/>
        <v>0.50982657050412417</v>
      </c>
      <c r="AD37" s="113">
        <f t="shared" si="47"/>
        <v>-1.0197735271499919</v>
      </c>
    </row>
    <row r="38" spans="1:30">
      <c r="A38" s="143"/>
      <c r="B38" s="15" t="s">
        <v>106</v>
      </c>
      <c r="C38" s="15" t="s">
        <v>103</v>
      </c>
      <c r="D38" s="15" t="s">
        <v>104</v>
      </c>
      <c r="E38" s="119">
        <v>9.5</v>
      </c>
      <c r="F38" s="119">
        <v>57.56</v>
      </c>
      <c r="G38" s="120">
        <v>9.98E-2</v>
      </c>
      <c r="H38" s="121">
        <v>0.51124000000000003</v>
      </c>
      <c r="I38" s="121"/>
      <c r="J38" s="113">
        <f t="shared" si="36"/>
        <v>-27.270705644139028</v>
      </c>
      <c r="K38" s="114">
        <f t="shared" si="37"/>
        <v>0</v>
      </c>
      <c r="L38" s="117">
        <f t="shared" si="38"/>
        <v>0.50993067033542916</v>
      </c>
      <c r="M38" s="114">
        <f t="shared" si="39"/>
        <v>2.5599836806086333</v>
      </c>
      <c r="N38" s="90">
        <v>1993</v>
      </c>
      <c r="O38" s="117">
        <f t="shared" si="40"/>
        <v>0.51005738732443806</v>
      </c>
      <c r="P38" s="113">
        <f t="shared" si="41"/>
        <v>-2.4843672919550031</v>
      </c>
      <c r="Q38" s="114"/>
      <c r="S38" s="91" t="s">
        <v>107</v>
      </c>
      <c r="T38" s="15" t="s">
        <v>93</v>
      </c>
      <c r="U38" s="17"/>
      <c r="V38" s="91">
        <f>1993-10</f>
        <v>1983</v>
      </c>
      <c r="W38" s="117">
        <f t="shared" si="42"/>
        <v>0.50993728266936356</v>
      </c>
      <c r="X38" s="117">
        <f t="shared" si="43"/>
        <v>0.51007041985033885</v>
      </c>
      <c r="Y38" s="113">
        <f t="shared" si="44"/>
        <v>-2.6101725525340402</v>
      </c>
      <c r="AA38" s="91">
        <f>1993+10</f>
        <v>2003</v>
      </c>
      <c r="AB38" s="117">
        <f t="shared" si="45"/>
        <v>0.50992405756903403</v>
      </c>
      <c r="AC38" s="117">
        <f t="shared" si="46"/>
        <v>0.51004435394618231</v>
      </c>
      <c r="AD38" s="113">
        <f t="shared" si="47"/>
        <v>-2.3585473737242069</v>
      </c>
    </row>
    <row r="39" spans="1:30">
      <c r="A39" s="143"/>
      <c r="B39" s="15" t="s">
        <v>108</v>
      </c>
      <c r="C39" s="15" t="s">
        <v>103</v>
      </c>
      <c r="D39" s="15" t="s">
        <v>104</v>
      </c>
      <c r="E39" s="119">
        <v>6.16</v>
      </c>
      <c r="F39" s="119">
        <v>24.85</v>
      </c>
      <c r="G39" s="120">
        <v>0.14990000000000001</v>
      </c>
      <c r="H39" s="121">
        <v>0.51170400000000005</v>
      </c>
      <c r="I39" s="121"/>
      <c r="J39" s="113">
        <f t="shared" si="36"/>
        <v>-18.219484314467849</v>
      </c>
      <c r="K39" s="114">
        <f t="shared" si="37"/>
        <v>0</v>
      </c>
      <c r="L39" s="117">
        <f t="shared" si="38"/>
        <v>0.50974036118982358</v>
      </c>
      <c r="M39" s="114" t="str">
        <f t="shared" si="39"/>
        <v>N/A</v>
      </c>
      <c r="N39" s="90">
        <v>1990</v>
      </c>
      <c r="O39" s="117">
        <f t="shared" si="40"/>
        <v>0.51006129717170312</v>
      </c>
      <c r="P39" s="113">
        <f t="shared" si="41"/>
        <v>-6.2921061382059662</v>
      </c>
      <c r="Q39" s="114"/>
      <c r="S39" s="91" t="s">
        <v>109</v>
      </c>
      <c r="T39" s="15" t="s">
        <v>93</v>
      </c>
      <c r="U39" s="17"/>
      <c r="V39" s="91">
        <f>1990-13</f>
        <v>1977</v>
      </c>
      <c r="W39" s="117">
        <f t="shared" si="42"/>
        <v>0.50975327208754517</v>
      </c>
      <c r="X39" s="117">
        <f t="shared" si="43"/>
        <v>0.51007823895677207</v>
      </c>
      <c r="Y39" s="113">
        <f t="shared" si="44"/>
        <v>-6.3709220352459184</v>
      </c>
      <c r="AA39" s="91">
        <f>1990+13</f>
        <v>2003</v>
      </c>
      <c r="AB39" s="117">
        <f t="shared" si="45"/>
        <v>0.50972744919437074</v>
      </c>
      <c r="AC39" s="117">
        <f t="shared" si="46"/>
        <v>0.51004435394618231</v>
      </c>
      <c r="AD39" s="113">
        <f t="shared" si="47"/>
        <v>-6.2132783033419514</v>
      </c>
    </row>
    <row r="40" spans="1:30">
      <c r="A40" s="143"/>
      <c r="B40" s="15" t="s">
        <v>110</v>
      </c>
      <c r="C40" s="15" t="s">
        <v>103</v>
      </c>
      <c r="D40" s="15" t="s">
        <v>104</v>
      </c>
      <c r="E40" s="119">
        <v>6.87</v>
      </c>
      <c r="F40" s="119">
        <v>45.78</v>
      </c>
      <c r="G40" s="120">
        <v>9.0700000000000003E-2</v>
      </c>
      <c r="H40" s="121">
        <v>0.51092599999999999</v>
      </c>
      <c r="I40" s="121"/>
      <c r="J40" s="113">
        <f t="shared" si="36"/>
        <v>-33.395885595683964</v>
      </c>
      <c r="K40" s="114">
        <f t="shared" si="37"/>
        <v>0</v>
      </c>
      <c r="L40" s="117">
        <f t="shared" si="38"/>
        <v>0.50972163393319636</v>
      </c>
      <c r="M40" s="114">
        <f t="shared" si="39"/>
        <v>2.7559001208840939</v>
      </c>
      <c r="N40" s="90">
        <v>2017</v>
      </c>
      <c r="O40" s="117">
        <f t="shared" si="40"/>
        <v>0.51002610578456153</v>
      </c>
      <c r="P40" s="113">
        <f t="shared" si="41"/>
        <v>-5.969730723818234</v>
      </c>
      <c r="Q40" s="114"/>
      <c r="S40" s="91" t="s">
        <v>111</v>
      </c>
      <c r="T40" s="15" t="s">
        <v>93</v>
      </c>
      <c r="U40" s="17"/>
      <c r="V40" s="91">
        <f>2017-2</f>
        <v>2015</v>
      </c>
      <c r="W40" s="117">
        <f t="shared" si="42"/>
        <v>0.50972283603444279</v>
      </c>
      <c r="X40" s="117">
        <f t="shared" si="43"/>
        <v>0.51002871276708817</v>
      </c>
      <c r="Y40" s="113">
        <f t="shared" si="44"/>
        <v>-5.9972453508716494</v>
      </c>
      <c r="AA40" s="91">
        <f>2017+2</f>
        <v>2019</v>
      </c>
      <c r="AB40" s="117">
        <f t="shared" si="45"/>
        <v>0.50972043181622639</v>
      </c>
      <c r="AC40" s="117">
        <f t="shared" si="46"/>
        <v>0.5100234987679354</v>
      </c>
      <c r="AD40" s="113">
        <f t="shared" si="47"/>
        <v>-5.9422154555843765</v>
      </c>
    </row>
    <row r="41" spans="1:30">
      <c r="A41" s="143"/>
      <c r="B41" s="15" t="s">
        <v>112</v>
      </c>
      <c r="C41" s="15" t="s">
        <v>103</v>
      </c>
      <c r="D41" s="15" t="s">
        <v>104</v>
      </c>
      <c r="E41" s="119">
        <v>3.28</v>
      </c>
      <c r="F41" s="119">
        <v>14.58</v>
      </c>
      <c r="G41" s="120">
        <v>0.1358</v>
      </c>
      <c r="H41" s="121">
        <v>0.51144100000000003</v>
      </c>
      <c r="I41" s="121"/>
      <c r="J41" s="113">
        <f t="shared" si="36"/>
        <v>-23.349810197449415</v>
      </c>
      <c r="K41" s="114">
        <f t="shared" si="37"/>
        <v>0</v>
      </c>
      <c r="L41" s="117">
        <f t="shared" si="38"/>
        <v>0.50947118363790711</v>
      </c>
      <c r="M41" s="114">
        <f t="shared" si="39"/>
        <v>3.3431932258009951</v>
      </c>
      <c r="N41" s="90">
        <v>2202</v>
      </c>
      <c r="O41" s="117">
        <f t="shared" si="40"/>
        <v>0.50978481238274176</v>
      </c>
      <c r="P41" s="113">
        <f t="shared" si="41"/>
        <v>-6.1521790609797566</v>
      </c>
      <c r="Q41" s="114"/>
      <c r="S41" s="91" t="s">
        <v>113</v>
      </c>
      <c r="T41" s="15" t="s">
        <v>93</v>
      </c>
      <c r="U41" s="17"/>
      <c r="V41" s="91">
        <f>2202-196</f>
        <v>2006</v>
      </c>
      <c r="W41" s="117">
        <f t="shared" si="42"/>
        <v>0.50964766936191697</v>
      </c>
      <c r="X41" s="117">
        <f t="shared" si="43"/>
        <v>0.51004044376648805</v>
      </c>
      <c r="Y41" s="113">
        <f t="shared" si="44"/>
        <v>-7.7008482243201559</v>
      </c>
      <c r="AA41" s="91">
        <f>2202+196</f>
        <v>2398</v>
      </c>
      <c r="AB41" s="117">
        <f t="shared" si="45"/>
        <v>0.50929447154238183</v>
      </c>
      <c r="AC41" s="117">
        <f t="shared" si="46"/>
        <v>0.50952885311035712</v>
      </c>
      <c r="AD41" s="113">
        <f t="shared" si="47"/>
        <v>-4.5999665484008911</v>
      </c>
    </row>
    <row r="42" spans="1:30">
      <c r="A42" s="143"/>
      <c r="B42" s="15" t="s">
        <v>114</v>
      </c>
      <c r="C42" s="15" t="s">
        <v>115</v>
      </c>
      <c r="D42" s="15" t="s">
        <v>104</v>
      </c>
      <c r="E42" s="119">
        <v>13.19</v>
      </c>
      <c r="F42" s="119">
        <v>71.61</v>
      </c>
      <c r="G42" s="120">
        <v>0.1114</v>
      </c>
      <c r="H42" s="121">
        <v>0.51145700000000005</v>
      </c>
      <c r="I42" s="121"/>
      <c r="J42" s="113">
        <f t="shared" si="36"/>
        <v>-23.037699117115508</v>
      </c>
      <c r="K42" s="114">
        <f t="shared" si="37"/>
        <v>0</v>
      </c>
      <c r="L42" s="117">
        <f t="shared" si="38"/>
        <v>0.50993715762402658</v>
      </c>
      <c r="M42" s="114">
        <f t="shared" si="39"/>
        <v>2.5288863650377569</v>
      </c>
      <c r="N42" s="90">
        <v>2072</v>
      </c>
      <c r="O42" s="117">
        <f t="shared" si="40"/>
        <v>0.50995440040077211</v>
      </c>
      <c r="P42" s="113">
        <f t="shared" si="41"/>
        <v>-0.33812389366505435</v>
      </c>
      <c r="Q42" s="114"/>
      <c r="S42" s="91" t="s">
        <v>116</v>
      </c>
      <c r="T42" s="15" t="s">
        <v>93</v>
      </c>
      <c r="U42" s="17"/>
      <c r="V42" s="91">
        <f>2072-6</f>
        <v>2066</v>
      </c>
      <c r="W42" s="117">
        <f t="shared" si="42"/>
        <v>0.50994158851170679</v>
      </c>
      <c r="X42" s="117">
        <f t="shared" si="43"/>
        <v>0.50996222405971914</v>
      </c>
      <c r="Y42" s="113">
        <f t="shared" si="44"/>
        <v>-0.40464856098654245</v>
      </c>
      <c r="AA42" s="91">
        <f>2072+6</f>
        <v>2078</v>
      </c>
      <c r="AB42" s="117">
        <f t="shared" si="45"/>
        <v>0.50993272656247479</v>
      </c>
      <c r="AC42" s="117">
        <f t="shared" si="46"/>
        <v>0.50994657643481867</v>
      </c>
      <c r="AD42" s="113">
        <f t="shared" si="47"/>
        <v>-0.27159457448910906</v>
      </c>
    </row>
    <row r="43" spans="1:30">
      <c r="A43" s="143"/>
      <c r="B43" s="15" t="s">
        <v>117</v>
      </c>
      <c r="C43" s="15" t="s">
        <v>100</v>
      </c>
      <c r="D43" s="15" t="s">
        <v>104</v>
      </c>
      <c r="E43" s="119">
        <v>11.93</v>
      </c>
      <c r="F43" s="119">
        <v>58.49</v>
      </c>
      <c r="G43" s="120">
        <v>0.12330000000000001</v>
      </c>
      <c r="H43" s="121">
        <v>0.51146100000000005</v>
      </c>
      <c r="I43" s="121"/>
      <c r="J43" s="113">
        <f t="shared" si="36"/>
        <v>-22.959671347032582</v>
      </c>
      <c r="K43" s="114">
        <f t="shared" si="37"/>
        <v>0</v>
      </c>
      <c r="L43" s="117">
        <f t="shared" si="38"/>
        <v>0.50984499515810555</v>
      </c>
      <c r="M43" s="114">
        <f t="shared" si="39"/>
        <v>2.8520475770570255</v>
      </c>
      <c r="N43" s="90">
        <v>1991</v>
      </c>
      <c r="O43" s="117">
        <f t="shared" si="40"/>
        <v>0.51005999389780488</v>
      </c>
      <c r="P43" s="113">
        <f t="shared" si="41"/>
        <v>-4.2151657113187468</v>
      </c>
      <c r="Q43" s="114"/>
      <c r="S43" s="91" t="s">
        <v>118</v>
      </c>
      <c r="T43" s="15" t="s">
        <v>93</v>
      </c>
      <c r="U43" s="17"/>
      <c r="V43" s="91">
        <f>1991-225</f>
        <v>1766</v>
      </c>
      <c r="W43" s="117">
        <f t="shared" si="42"/>
        <v>0.51002867388446393</v>
      </c>
      <c r="X43" s="117">
        <f t="shared" si="43"/>
        <v>0.51035301584001658</v>
      </c>
      <c r="Y43" s="113">
        <f t="shared" si="44"/>
        <v>-6.3552471619821027</v>
      </c>
      <c r="AA43" s="91">
        <f>1991+225</f>
        <v>2216</v>
      </c>
      <c r="AB43" s="117">
        <f t="shared" si="45"/>
        <v>0.50966104594954276</v>
      </c>
      <c r="AC43" s="117">
        <f t="shared" si="46"/>
        <v>0.50976654045640757</v>
      </c>
      <c r="AD43" s="113">
        <f t="shared" si="47"/>
        <v>-2.0694670695797779</v>
      </c>
    </row>
    <row r="44" spans="1:30">
      <c r="A44" s="143"/>
      <c r="B44" s="15" t="s">
        <v>119</v>
      </c>
      <c r="C44" s="15" t="s">
        <v>120</v>
      </c>
      <c r="D44" s="15" t="s">
        <v>104</v>
      </c>
      <c r="E44" s="119">
        <v>6.07</v>
      </c>
      <c r="F44" s="119">
        <v>29.9</v>
      </c>
      <c r="G44" s="120">
        <v>0.1288</v>
      </c>
      <c r="H44" s="121">
        <v>0.51154900000000003</v>
      </c>
      <c r="I44" s="121"/>
      <c r="J44" s="113">
        <f t="shared" si="36"/>
        <v>-21.2430604051983</v>
      </c>
      <c r="K44" s="114">
        <f t="shared" si="37"/>
        <v>0</v>
      </c>
      <c r="L44" s="117">
        <f t="shared" si="38"/>
        <v>0.50963371072946317</v>
      </c>
      <c r="M44" s="114">
        <f t="shared" si="39"/>
        <v>2.8795347454531148</v>
      </c>
      <c r="N44" s="90">
        <v>2257</v>
      </c>
      <c r="O44" s="117">
        <f t="shared" si="40"/>
        <v>0.50971302019010412</v>
      </c>
      <c r="P44" s="113">
        <f t="shared" si="41"/>
        <v>-1.5559630125072665</v>
      </c>
      <c r="Q44" s="114"/>
      <c r="S44" s="91" t="s">
        <v>121</v>
      </c>
      <c r="T44" s="15" t="s">
        <v>93</v>
      </c>
      <c r="U44" s="17"/>
      <c r="V44" s="91">
        <f>2257-25</f>
        <v>2232</v>
      </c>
      <c r="W44" s="117">
        <f t="shared" si="42"/>
        <v>0.50965508093219725</v>
      </c>
      <c r="X44" s="117">
        <f t="shared" si="43"/>
        <v>0.50974565620623602</v>
      </c>
      <c r="Y44" s="113">
        <f t="shared" si="44"/>
        <v>-1.776871915160072</v>
      </c>
      <c r="AA44" s="91">
        <f>2257+25</f>
        <v>2282</v>
      </c>
      <c r="AB44" s="117">
        <f t="shared" si="45"/>
        <v>0.50961233703241537</v>
      </c>
      <c r="AC44" s="117">
        <f t="shared" si="46"/>
        <v>0.50968037883754735</v>
      </c>
      <c r="AD44" s="113">
        <f t="shared" si="47"/>
        <v>-1.3349896907388636</v>
      </c>
    </row>
    <row r="45" spans="1:30">
      <c r="A45" s="143"/>
      <c r="B45" s="15" t="s">
        <v>122</v>
      </c>
      <c r="C45" s="15" t="s">
        <v>123</v>
      </c>
      <c r="D45" s="15" t="s">
        <v>124</v>
      </c>
      <c r="E45" s="119">
        <v>22.91</v>
      </c>
      <c r="F45" s="119">
        <v>118.48</v>
      </c>
      <c r="G45" s="120">
        <v>0.1168</v>
      </c>
      <c r="H45" s="121">
        <v>0.51143700000000003</v>
      </c>
      <c r="I45" s="121"/>
      <c r="J45" s="113">
        <f t="shared" si="36"/>
        <v>-23.427837967532341</v>
      </c>
      <c r="K45" s="114">
        <f t="shared" si="37"/>
        <v>0</v>
      </c>
      <c r="L45" s="117">
        <f t="shared" si="38"/>
        <v>0.50977610212366009</v>
      </c>
      <c r="M45" s="114">
        <f t="shared" si="39"/>
        <v>2.6996023906571707</v>
      </c>
      <c r="N45" s="90">
        <v>2159</v>
      </c>
      <c r="O45" s="117">
        <f t="shared" si="40"/>
        <v>0.5098409228401023</v>
      </c>
      <c r="P45" s="113">
        <f t="shared" si="41"/>
        <v>-1.2713910072403856</v>
      </c>
      <c r="Q45" s="114"/>
      <c r="S45" s="91" t="s">
        <v>125</v>
      </c>
      <c r="T45" s="15" t="s">
        <v>93</v>
      </c>
      <c r="U45" s="17"/>
      <c r="V45" s="91">
        <f>2159-11</f>
        <v>2148</v>
      </c>
      <c r="W45" s="117">
        <f t="shared" si="42"/>
        <v>0.5097846238941216</v>
      </c>
      <c r="X45" s="117">
        <f t="shared" si="43"/>
        <v>0.50985527414361065</v>
      </c>
      <c r="Y45" s="113">
        <f t="shared" si="44"/>
        <v>-1.385692236051117</v>
      </c>
      <c r="AA45" s="91">
        <f>2159+11</f>
        <v>2170</v>
      </c>
      <c r="AB45" s="117">
        <f t="shared" si="45"/>
        <v>0.50976757974012044</v>
      </c>
      <c r="AC45" s="117">
        <f t="shared" si="46"/>
        <v>0.50982657050412417</v>
      </c>
      <c r="AD45" s="113">
        <f t="shared" si="47"/>
        <v>-1.1570751195921769</v>
      </c>
    </row>
    <row r="46" spans="1:30">
      <c r="A46" s="143"/>
      <c r="B46" s="15" t="s">
        <v>126</v>
      </c>
      <c r="C46" s="15" t="s">
        <v>127</v>
      </c>
      <c r="D46" s="15" t="s">
        <v>124</v>
      </c>
      <c r="E46" s="119">
        <v>14.68</v>
      </c>
      <c r="F46" s="119">
        <v>73.59</v>
      </c>
      <c r="G46" s="120">
        <v>0.1205</v>
      </c>
      <c r="H46" s="121">
        <v>0.51157300000000006</v>
      </c>
      <c r="I46" s="121"/>
      <c r="J46" s="113">
        <f t="shared" si="36"/>
        <v>-20.774893784697433</v>
      </c>
      <c r="K46" s="114">
        <f t="shared" si="37"/>
        <v>0</v>
      </c>
      <c r="L46" s="117">
        <f t="shared" si="38"/>
        <v>0.50983790569683252</v>
      </c>
      <c r="M46" s="114">
        <f t="shared" si="39"/>
        <v>2.5865744301841782</v>
      </c>
      <c r="N46" s="90">
        <v>2186</v>
      </c>
      <c r="O46" s="117">
        <f t="shared" si="40"/>
        <v>0.50980569253582542</v>
      </c>
      <c r="P46" s="113">
        <f t="shared" si="41"/>
        <v>0.63187134782483056</v>
      </c>
      <c r="Q46" s="114"/>
      <c r="S46" s="91" t="s">
        <v>128</v>
      </c>
      <c r="T46" s="15" t="s">
        <v>93</v>
      </c>
      <c r="U46" s="17"/>
      <c r="V46" s="91">
        <f>2186-68</f>
        <v>2118</v>
      </c>
      <c r="W46" s="117">
        <f t="shared" si="42"/>
        <v>0.50989225400218618</v>
      </c>
      <c r="X46" s="117">
        <f t="shared" si="43"/>
        <v>0.50989440881518677</v>
      </c>
      <c r="Y46" s="113">
        <f t="shared" si="44"/>
        <v>-4.2259984878167955E-2</v>
      </c>
      <c r="AA46" s="91">
        <f>2186+68</f>
        <v>2254</v>
      </c>
      <c r="AB46" s="117">
        <f t="shared" si="45"/>
        <v>0.50978353321632541</v>
      </c>
      <c r="AC46" s="117">
        <f t="shared" si="46"/>
        <v>0.50971693679378594</v>
      </c>
      <c r="AD46" s="113">
        <f t="shared" si="47"/>
        <v>1.3065373687282111</v>
      </c>
    </row>
    <row r="47" spans="1:30">
      <c r="A47" s="143"/>
      <c r="B47" s="15" t="s">
        <v>129</v>
      </c>
      <c r="C47" s="15" t="s">
        <v>130</v>
      </c>
      <c r="D47" s="15" t="s">
        <v>124</v>
      </c>
      <c r="E47" s="119">
        <v>4.96</v>
      </c>
      <c r="F47" s="119">
        <v>31.82</v>
      </c>
      <c r="G47" s="120">
        <v>9.4299999999999995E-2</v>
      </c>
      <c r="H47" s="121">
        <v>0.51121300000000003</v>
      </c>
      <c r="I47" s="121"/>
      <c r="J47" s="113">
        <f t="shared" si="36"/>
        <v>-27.797393092201528</v>
      </c>
      <c r="K47" s="114">
        <f t="shared" si="37"/>
        <v>0</v>
      </c>
      <c r="L47" s="117">
        <f t="shared" si="38"/>
        <v>0.50991645209362679</v>
      </c>
      <c r="M47" s="114">
        <f t="shared" si="39"/>
        <v>2.4770231214233678</v>
      </c>
      <c r="N47" s="90">
        <v>2088</v>
      </c>
      <c r="O47" s="117">
        <f t="shared" si="40"/>
        <v>0.50993353580929368</v>
      </c>
      <c r="P47" s="113">
        <f t="shared" si="41"/>
        <v>-0.33501847725658784</v>
      </c>
      <c r="Q47" s="114"/>
      <c r="S47" s="91" t="s">
        <v>131</v>
      </c>
      <c r="T47" s="15" t="s">
        <v>93</v>
      </c>
      <c r="U47" s="17"/>
      <c r="V47" s="91">
        <f>2088-23</f>
        <v>2065</v>
      </c>
      <c r="W47" s="117">
        <f t="shared" si="42"/>
        <v>0.50993083064492495</v>
      </c>
      <c r="X47" s="117">
        <f t="shared" si="43"/>
        <v>0.50996352797303002</v>
      </c>
      <c r="Y47" s="113">
        <f t="shared" si="44"/>
        <v>-0.64116993297558267</v>
      </c>
      <c r="AA47" s="91">
        <f>2088+23</f>
        <v>2111</v>
      </c>
      <c r="AB47" s="117">
        <f t="shared" si="45"/>
        <v>0.50990207137934429</v>
      </c>
      <c r="AC47" s="117">
        <f t="shared" si="46"/>
        <v>0.50990353913379671</v>
      </c>
      <c r="AD47" s="113">
        <f t="shared" si="47"/>
        <v>-2.878494342106741E-2</v>
      </c>
    </row>
    <row r="48" spans="1:30">
      <c r="A48" s="143"/>
      <c r="B48" s="15" t="s">
        <v>132</v>
      </c>
      <c r="C48" s="15" t="s">
        <v>100</v>
      </c>
      <c r="D48" s="15" t="s">
        <v>133</v>
      </c>
      <c r="E48" s="119">
        <v>15.33</v>
      </c>
      <c r="F48" s="119">
        <v>74.92</v>
      </c>
      <c r="G48" s="120">
        <v>0.1237</v>
      </c>
      <c r="H48" s="121">
        <v>0.51159900000000003</v>
      </c>
      <c r="I48" s="121"/>
      <c r="J48" s="113">
        <f t="shared" si="36"/>
        <v>-20.267713279156219</v>
      </c>
      <c r="K48" s="114">
        <f t="shared" si="37"/>
        <v>0</v>
      </c>
      <c r="L48" s="117">
        <f t="shared" si="38"/>
        <v>0.50998185058221224</v>
      </c>
      <c r="M48" s="114">
        <f t="shared" si="39"/>
        <v>2.6343288990051419</v>
      </c>
      <c r="N48" s="90">
        <v>1986</v>
      </c>
      <c r="O48" s="117">
        <f t="shared" si="40"/>
        <v>0.51006651018206262</v>
      </c>
      <c r="P48" s="113">
        <f t="shared" si="41"/>
        <v>-1.6597756990588408</v>
      </c>
      <c r="Q48" s="114"/>
      <c r="S48" s="91" t="s">
        <v>134</v>
      </c>
      <c r="T48" s="15" t="s">
        <v>93</v>
      </c>
      <c r="U48" s="17"/>
      <c r="V48" s="91">
        <f>1986-11</f>
        <v>1975</v>
      </c>
      <c r="W48" s="117">
        <f t="shared" si="42"/>
        <v>0.50999086557366824</v>
      </c>
      <c r="X48" s="117">
        <f t="shared" si="43"/>
        <v>0.51008084525740127</v>
      </c>
      <c r="Y48" s="113">
        <f t="shared" si="44"/>
        <v>-1.7640278902775197</v>
      </c>
      <c r="AA48" s="91">
        <f>1986+11</f>
        <v>1997</v>
      </c>
      <c r="AB48" s="117">
        <f t="shared" si="45"/>
        <v>0.50997283494219448</v>
      </c>
      <c r="AC48" s="117">
        <f t="shared" si="46"/>
        <v>0.51005217407542147</v>
      </c>
      <c r="AD48" s="113">
        <f t="shared" si="47"/>
        <v>-1.5555101469921784</v>
      </c>
    </row>
    <row r="49" spans="1:30">
      <c r="A49" s="143"/>
      <c r="B49" s="15" t="s">
        <v>135</v>
      </c>
      <c r="C49" s="15" t="s">
        <v>103</v>
      </c>
      <c r="D49" s="15" t="s">
        <v>133</v>
      </c>
      <c r="E49" s="119">
        <v>4.29</v>
      </c>
      <c r="F49" s="119">
        <v>21.53</v>
      </c>
      <c r="G49" s="120">
        <v>0.12039999999999999</v>
      </c>
      <c r="H49" s="121">
        <v>0.51153199999999999</v>
      </c>
      <c r="I49" s="121"/>
      <c r="J49" s="113">
        <f t="shared" si="36"/>
        <v>-21.574678428053495</v>
      </c>
      <c r="K49" s="114">
        <f t="shared" si="37"/>
        <v>0</v>
      </c>
      <c r="L49" s="117">
        <f t="shared" si="38"/>
        <v>0.50995639656710268</v>
      </c>
      <c r="M49" s="114">
        <f t="shared" si="39"/>
        <v>2.6498782970440322</v>
      </c>
      <c r="N49" s="90">
        <v>1988</v>
      </c>
      <c r="O49" s="117">
        <f t="shared" si="40"/>
        <v>0.5100639036939294</v>
      </c>
      <c r="P49" s="113">
        <f t="shared" si="41"/>
        <v>-2.1077187789242391</v>
      </c>
      <c r="Q49" s="114"/>
      <c r="S49" s="91" t="s">
        <v>136</v>
      </c>
      <c r="T49" s="15" t="s">
        <v>93</v>
      </c>
      <c r="U49" s="17"/>
      <c r="V49" s="91">
        <f>1988-3</f>
        <v>1985</v>
      </c>
      <c r="W49" s="117">
        <f t="shared" si="42"/>
        <v>0.50995878970496522</v>
      </c>
      <c r="X49" s="117">
        <f t="shared" si="43"/>
        <v>0.5100678134133444</v>
      </c>
      <c r="Y49" s="113">
        <f t="shared" si="44"/>
        <v>-2.1374355627268304</v>
      </c>
      <c r="AA49" s="91">
        <f>1988+3</f>
        <v>1991</v>
      </c>
      <c r="AB49" s="117">
        <f t="shared" si="45"/>
        <v>0.50995400338228625</v>
      </c>
      <c r="AC49" s="117">
        <f t="shared" si="46"/>
        <v>0.51005999389780488</v>
      </c>
      <c r="AD49" s="113">
        <f t="shared" si="47"/>
        <v>-2.0780009564891344</v>
      </c>
    </row>
    <row r="50" spans="1:30">
      <c r="E50" s="119"/>
      <c r="F50" s="119"/>
      <c r="G50" s="120"/>
      <c r="H50" s="121"/>
      <c r="I50" s="121"/>
      <c r="J50" s="113"/>
      <c r="K50" s="114"/>
      <c r="L50" s="117"/>
      <c r="M50" s="114"/>
      <c r="O50" s="117"/>
      <c r="P50" s="113"/>
      <c r="Q50" s="114"/>
      <c r="U50" s="17"/>
      <c r="V50" s="91"/>
      <c r="W50" s="117"/>
      <c r="X50" s="117"/>
      <c r="AA50" s="91"/>
      <c r="AB50" s="117"/>
      <c r="AC50" s="117"/>
      <c r="AD50" s="113"/>
    </row>
    <row r="51" spans="1:30" ht="20.25" customHeight="1">
      <c r="A51" s="143" t="s">
        <v>384</v>
      </c>
      <c r="D51" s="118" t="s">
        <v>137</v>
      </c>
      <c r="E51" s="119"/>
      <c r="F51" s="119"/>
      <c r="G51" s="120"/>
      <c r="H51" s="121"/>
      <c r="I51" s="121"/>
      <c r="J51" s="113"/>
      <c r="K51" s="114"/>
      <c r="L51" s="117"/>
      <c r="M51" s="114"/>
      <c r="O51" s="117"/>
      <c r="P51" s="113"/>
      <c r="Q51" s="114"/>
      <c r="U51" s="17"/>
      <c r="V51" s="91"/>
      <c r="W51" s="117"/>
      <c r="X51" s="117"/>
      <c r="AA51" s="91"/>
      <c r="AB51" s="117"/>
      <c r="AC51" s="117"/>
      <c r="AD51" s="113"/>
    </row>
    <row r="52" spans="1:30">
      <c r="A52" s="143"/>
      <c r="B52" s="15" t="s">
        <v>138</v>
      </c>
      <c r="C52" s="15" t="s">
        <v>139</v>
      </c>
      <c r="D52" s="15" t="s">
        <v>140</v>
      </c>
      <c r="E52" s="119">
        <v>6.75</v>
      </c>
      <c r="F52" s="119">
        <v>29.7</v>
      </c>
      <c r="G52" s="127">
        <f t="shared" ref="G52:G61" si="48">(E52/F52)*0.6047</f>
        <v>0.13743181818181818</v>
      </c>
      <c r="H52" s="121">
        <v>0.51285999999999998</v>
      </c>
      <c r="I52" s="121">
        <v>2.0000000000000002E-5</v>
      </c>
      <c r="J52" s="113">
        <f t="shared" ref="J52:J61" si="49">((H52/0.512638)-1)*10000</f>
        <v>4.3305412396255072</v>
      </c>
      <c r="K52" s="114">
        <f t="shared" ref="K52:K61" si="50">(((H52+I52)/0.512638)-1)*10000-J52</f>
        <v>0.39013885041683238</v>
      </c>
      <c r="L52" s="117">
        <f t="shared" ref="L52:L61" si="51">H52-(G52*(EXP(0.00000000000654*N52*1000000)-1))</f>
        <v>0.51285887649029405</v>
      </c>
      <c r="M52" s="114">
        <f t="shared" ref="M52:M61" si="52">IF(G52&gt;0.14,"N/A",LN((0.513163-H52)/(0.2137-G52)+1)*(1/0.00000000000654)/1000000000)</f>
        <v>0.60626182709724041</v>
      </c>
      <c r="N52" s="90">
        <v>1.25</v>
      </c>
      <c r="O52" s="117">
        <f t="shared" ref="O52:O61" si="53">0.512638-(0.1967*(EXP(0.00000000000654*N52*1000000)-1))</f>
        <v>0.51263639197092725</v>
      </c>
      <c r="P52" s="113">
        <f>((L52/O52)-1)*10000</f>
        <v>4.3400063446807913</v>
      </c>
      <c r="Q52" s="114">
        <f t="shared" ref="Q52:Q61" si="54">(((L52+I52)/O52)-1)*10000-P52</f>
        <v>0.39014007419790886</v>
      </c>
      <c r="S52" s="91" t="s">
        <v>141</v>
      </c>
      <c r="T52" s="15" t="s">
        <v>142</v>
      </c>
      <c r="U52" s="17"/>
      <c r="V52" s="91">
        <v>0</v>
      </c>
      <c r="W52" s="117">
        <f t="shared" ref="W52:W61" si="55">H52-(G52*(EXP(0.00000000000654*V52*1000000)-1))</f>
        <v>0.51285999999999998</v>
      </c>
      <c r="X52" s="117">
        <f t="shared" ref="X52:X61" si="56">0.512638-(0.1967*(EXP(0.00000000000654*V52*1000000)-1))</f>
        <v>0.51263800000000004</v>
      </c>
      <c r="Y52" s="113">
        <f t="shared" ref="Y52" si="57">J52-(I52*(EXP(0.00000000000654*X52*1000000)-1))</f>
        <v>4.3305412395584542</v>
      </c>
      <c r="AA52" s="91">
        <v>2.5</v>
      </c>
      <c r="AB52" s="117">
        <f t="shared" ref="AB52:AB61" si="58">H52-(G52*(EXP(0.00000000000654*AA52*1000000)-1))</f>
        <v>0.51285775297140324</v>
      </c>
      <c r="AC52" s="117">
        <f t="shared" ref="AC52:AC61" si="59">0.512638-(0.1967*(EXP(0.00000000000654*AA52*1000000)-1))</f>
        <v>0.51263478392870876</v>
      </c>
      <c r="AD52" s="113">
        <f t="shared" ref="AD52:AD61" si="60">((AB52/AC52)-1)*10000</f>
        <v>4.3494715864911271</v>
      </c>
    </row>
    <row r="53" spans="1:30">
      <c r="A53" s="143"/>
      <c r="B53" s="15" t="s">
        <v>143</v>
      </c>
      <c r="C53" s="15" t="s">
        <v>139</v>
      </c>
      <c r="D53" s="15" t="s">
        <v>144</v>
      </c>
      <c r="E53" s="119">
        <v>6.59</v>
      </c>
      <c r="F53" s="119">
        <v>26</v>
      </c>
      <c r="G53" s="127">
        <f t="shared" si="48"/>
        <v>0.15326819230769231</v>
      </c>
      <c r="H53" s="121">
        <v>0.51288</v>
      </c>
      <c r="I53" s="121">
        <v>2.0000000000000002E-5</v>
      </c>
      <c r="J53" s="113">
        <f t="shared" si="49"/>
        <v>4.7206800900423396</v>
      </c>
      <c r="K53" s="114">
        <f t="shared" si="50"/>
        <v>0.39013885041905283</v>
      </c>
      <c r="L53" s="117">
        <f t="shared" si="51"/>
        <v>0.51287874702740643</v>
      </c>
      <c r="M53" s="114" t="str">
        <f t="shared" si="52"/>
        <v>N/A</v>
      </c>
      <c r="N53" s="90">
        <v>1.25</v>
      </c>
      <c r="O53" s="117">
        <f t="shared" si="53"/>
        <v>0.51263639197092725</v>
      </c>
      <c r="P53" s="113">
        <f t="shared" ref="P53:P61" si="61">((L53/O53)-1)*10000</f>
        <v>4.7276209858493345</v>
      </c>
      <c r="Q53" s="114">
        <f t="shared" si="54"/>
        <v>0.39014007419790886</v>
      </c>
      <c r="S53" s="91" t="s">
        <v>141</v>
      </c>
      <c r="T53" s="15" t="s">
        <v>142</v>
      </c>
      <c r="U53" s="17"/>
      <c r="V53" s="91">
        <v>0</v>
      </c>
      <c r="W53" s="117">
        <f t="shared" si="55"/>
        <v>0.51288</v>
      </c>
      <c r="X53" s="117">
        <f t="shared" si="56"/>
        <v>0.51263800000000004</v>
      </c>
      <c r="Y53" s="113">
        <f t="shared" ref="Y53:Y61" si="62">((W53/X53)-1)*10000</f>
        <v>4.7206800900423396</v>
      </c>
      <c r="AA53" s="91">
        <v>2.5</v>
      </c>
      <c r="AB53" s="117">
        <f t="shared" si="58"/>
        <v>0.51287749404456962</v>
      </c>
      <c r="AC53" s="117">
        <f t="shared" si="59"/>
        <v>0.51263478392870876</v>
      </c>
      <c r="AD53" s="113">
        <f t="shared" si="60"/>
        <v>4.7345619819383344</v>
      </c>
    </row>
    <row r="54" spans="1:30">
      <c r="A54" s="143"/>
      <c r="B54" s="15" t="s">
        <v>145</v>
      </c>
      <c r="C54" s="15" t="s">
        <v>139</v>
      </c>
      <c r="D54" s="15" t="s">
        <v>144</v>
      </c>
      <c r="E54" s="119">
        <v>5.49</v>
      </c>
      <c r="F54" s="119">
        <v>23.4</v>
      </c>
      <c r="G54" s="127">
        <f t="shared" si="48"/>
        <v>0.14187192307692309</v>
      </c>
      <c r="H54" s="121">
        <v>0.51293999999999995</v>
      </c>
      <c r="I54" s="121">
        <v>2.0000000000000002E-5</v>
      </c>
      <c r="J54" s="113">
        <f t="shared" si="49"/>
        <v>5.8910966412928367</v>
      </c>
      <c r="K54" s="114">
        <f t="shared" si="50"/>
        <v>0.39013885041683238</v>
      </c>
      <c r="L54" s="117">
        <f t="shared" si="51"/>
        <v>0.51293884019228808</v>
      </c>
      <c r="M54" s="114" t="str">
        <f t="shared" si="52"/>
        <v>N/A</v>
      </c>
      <c r="N54" s="90">
        <v>1.25</v>
      </c>
      <c r="O54" s="117">
        <f t="shared" si="53"/>
        <v>0.51263639197092725</v>
      </c>
      <c r="P54" s="113">
        <f t="shared" si="61"/>
        <v>5.8998585761349531</v>
      </c>
      <c r="Q54" s="114">
        <f t="shared" si="54"/>
        <v>0.39014007419790886</v>
      </c>
      <c r="S54" s="91" t="s">
        <v>141</v>
      </c>
      <c r="T54" s="15" t="s">
        <v>142</v>
      </c>
      <c r="U54" s="17"/>
      <c r="V54" s="91">
        <v>0</v>
      </c>
      <c r="W54" s="117">
        <f t="shared" si="55"/>
        <v>0.51293999999999995</v>
      </c>
      <c r="X54" s="117">
        <f t="shared" si="56"/>
        <v>0.51263800000000004</v>
      </c>
      <c r="Y54" s="113">
        <f t="shared" si="62"/>
        <v>5.8910966412928367</v>
      </c>
      <c r="AA54" s="91">
        <v>2.5</v>
      </c>
      <c r="AB54" s="117">
        <f t="shared" si="58"/>
        <v>0.5129376803750948</v>
      </c>
      <c r="AC54" s="117">
        <f t="shared" si="59"/>
        <v>0.51263478392870876</v>
      </c>
      <c r="AD54" s="113">
        <f t="shared" si="60"/>
        <v>5.908620637575801</v>
      </c>
    </row>
    <row r="55" spans="1:30">
      <c r="A55" s="143"/>
      <c r="B55" s="15" t="s">
        <v>146</v>
      </c>
      <c r="C55" s="15" t="s">
        <v>139</v>
      </c>
      <c r="D55" s="15" t="s">
        <v>144</v>
      </c>
      <c r="E55" s="119">
        <v>5.75</v>
      </c>
      <c r="F55" s="119">
        <v>24.4</v>
      </c>
      <c r="G55" s="127">
        <f t="shared" si="48"/>
        <v>0.14250102459016395</v>
      </c>
      <c r="H55" s="121">
        <v>0.51293</v>
      </c>
      <c r="I55" s="121">
        <v>2.0000000000000002E-5</v>
      </c>
      <c r="J55" s="113">
        <f t="shared" si="49"/>
        <v>5.6960272160844205</v>
      </c>
      <c r="K55" s="114">
        <f t="shared" si="50"/>
        <v>0.39013885041905283</v>
      </c>
      <c r="L55" s="117">
        <f t="shared" si="51"/>
        <v>0.51292883504936226</v>
      </c>
      <c r="M55" s="114" t="str">
        <f t="shared" si="52"/>
        <v>N/A</v>
      </c>
      <c r="N55" s="90">
        <v>1.25</v>
      </c>
      <c r="O55" s="117">
        <f t="shared" si="53"/>
        <v>0.51263639197092725</v>
      </c>
      <c r="P55" s="113">
        <f t="shared" si="61"/>
        <v>5.7046882159617063</v>
      </c>
      <c r="Q55" s="114">
        <f t="shared" si="54"/>
        <v>0.39014007419790886</v>
      </c>
      <c r="S55" s="91" t="s">
        <v>141</v>
      </c>
      <c r="T55" s="15" t="s">
        <v>142</v>
      </c>
      <c r="U55" s="17"/>
      <c r="V55" s="91">
        <v>0</v>
      </c>
      <c r="W55" s="117">
        <f t="shared" si="55"/>
        <v>0.51293</v>
      </c>
      <c r="X55" s="117">
        <f t="shared" si="56"/>
        <v>0.51263800000000004</v>
      </c>
      <c r="Y55" s="113">
        <f t="shared" si="62"/>
        <v>5.6960272160844205</v>
      </c>
      <c r="AA55" s="91">
        <v>2.5</v>
      </c>
      <c r="AB55" s="117">
        <f t="shared" si="58"/>
        <v>0.51292767008920093</v>
      </c>
      <c r="AC55" s="117">
        <f t="shared" si="59"/>
        <v>0.51263478392870876</v>
      </c>
      <c r="AD55" s="113">
        <f t="shared" si="60"/>
        <v>5.7133493409788905</v>
      </c>
    </row>
    <row r="56" spans="1:30">
      <c r="A56" s="143"/>
      <c r="B56" s="15" t="s">
        <v>147</v>
      </c>
      <c r="C56" s="15" t="s">
        <v>139</v>
      </c>
      <c r="D56" s="15" t="s">
        <v>144</v>
      </c>
      <c r="E56" s="119">
        <v>5.0999999999999996</v>
      </c>
      <c r="F56" s="119">
        <v>22</v>
      </c>
      <c r="G56" s="127">
        <f t="shared" si="48"/>
        <v>0.14018045454545455</v>
      </c>
      <c r="H56" s="121">
        <v>0.51288999999999996</v>
      </c>
      <c r="I56" s="121">
        <v>2.0000000000000002E-5</v>
      </c>
      <c r="J56" s="113">
        <f t="shared" si="49"/>
        <v>4.9157495152507558</v>
      </c>
      <c r="K56" s="114">
        <f t="shared" si="50"/>
        <v>0.39013885041683238</v>
      </c>
      <c r="L56" s="117">
        <f t="shared" si="51"/>
        <v>0.51288885402009987</v>
      </c>
      <c r="M56" s="114" t="str">
        <f t="shared" si="52"/>
        <v>N/A</v>
      </c>
      <c r="N56" s="90">
        <v>1.25</v>
      </c>
      <c r="O56" s="117">
        <f t="shared" si="53"/>
        <v>0.51263639197092725</v>
      </c>
      <c r="P56" s="113">
        <f t="shared" si="61"/>
        <v>4.9247781298156212</v>
      </c>
      <c r="Q56" s="114">
        <f t="shared" si="54"/>
        <v>0.39014007419790886</v>
      </c>
      <c r="S56" s="91" t="s">
        <v>141</v>
      </c>
      <c r="T56" s="15" t="s">
        <v>142</v>
      </c>
      <c r="U56" s="17"/>
      <c r="V56" s="91">
        <v>0</v>
      </c>
      <c r="W56" s="117">
        <f t="shared" si="55"/>
        <v>0.51288999999999996</v>
      </c>
      <c r="X56" s="117">
        <f t="shared" si="56"/>
        <v>0.51263800000000004</v>
      </c>
      <c r="Y56" s="113">
        <f t="shared" si="62"/>
        <v>4.9157495152507558</v>
      </c>
      <c r="AA56" s="91">
        <v>2.5</v>
      </c>
      <c r="AB56" s="117">
        <f t="shared" si="58"/>
        <v>0.51288770803083128</v>
      </c>
      <c r="AC56" s="117">
        <f t="shared" si="59"/>
        <v>0.51263478392870876</v>
      </c>
      <c r="AD56" s="113">
        <f t="shared" si="60"/>
        <v>4.9338068748316921</v>
      </c>
    </row>
    <row r="57" spans="1:30">
      <c r="A57" s="143"/>
      <c r="B57" s="15" t="s">
        <v>148</v>
      </c>
      <c r="C57" s="15" t="s">
        <v>139</v>
      </c>
      <c r="D57" s="15" t="s">
        <v>144</v>
      </c>
      <c r="E57" s="119">
        <v>15.07</v>
      </c>
      <c r="F57" s="119">
        <v>72.099999999999994</v>
      </c>
      <c r="G57" s="127">
        <f t="shared" si="48"/>
        <v>0.12639152565880721</v>
      </c>
      <c r="H57" s="121">
        <v>0.51293999999999995</v>
      </c>
      <c r="I57" s="121">
        <v>2.0000000000000002E-5</v>
      </c>
      <c r="J57" s="113">
        <f t="shared" si="49"/>
        <v>5.8910966412928367</v>
      </c>
      <c r="K57" s="114">
        <f t="shared" si="50"/>
        <v>0.39013885041683238</v>
      </c>
      <c r="L57" s="117">
        <f t="shared" si="51"/>
        <v>0.51293896674505424</v>
      </c>
      <c r="M57" s="114">
        <f t="shared" si="52"/>
        <v>0.39004676075576661</v>
      </c>
      <c r="N57" s="90">
        <v>1.25</v>
      </c>
      <c r="O57" s="117">
        <f t="shared" si="53"/>
        <v>0.51263639197092725</v>
      </c>
      <c r="P57" s="113">
        <f t="shared" si="61"/>
        <v>5.9023272414138184</v>
      </c>
      <c r="Q57" s="114">
        <f t="shared" si="54"/>
        <v>0.39014007419790886</v>
      </c>
      <c r="S57" s="91" t="s">
        <v>141</v>
      </c>
      <c r="T57" s="15" t="s">
        <v>142</v>
      </c>
      <c r="U57" s="17"/>
      <c r="V57" s="91">
        <v>0</v>
      </c>
      <c r="W57" s="117">
        <f t="shared" si="55"/>
        <v>0.51293999999999995</v>
      </c>
      <c r="X57" s="117">
        <f t="shared" si="56"/>
        <v>0.51263800000000004</v>
      </c>
      <c r="Y57" s="113">
        <f t="shared" si="62"/>
        <v>5.8910966412928367</v>
      </c>
      <c r="AA57" s="91">
        <v>2.5</v>
      </c>
      <c r="AB57" s="117">
        <f t="shared" si="58"/>
        <v>0.51293793348166172</v>
      </c>
      <c r="AC57" s="117">
        <f t="shared" si="59"/>
        <v>0.51263478392870876</v>
      </c>
      <c r="AD57" s="113">
        <f t="shared" si="60"/>
        <v>5.9135580038027769</v>
      </c>
    </row>
    <row r="58" spans="1:30">
      <c r="A58" s="143"/>
      <c r="B58" s="15" t="s">
        <v>149</v>
      </c>
      <c r="C58" s="15" t="s">
        <v>139</v>
      </c>
      <c r="D58" s="15" t="s">
        <v>144</v>
      </c>
      <c r="E58" s="119">
        <v>5.78</v>
      </c>
      <c r="F58" s="119">
        <v>24.8</v>
      </c>
      <c r="G58" s="127">
        <f t="shared" si="48"/>
        <v>0.1409341129032258</v>
      </c>
      <c r="H58" s="121">
        <v>0.51292000000000004</v>
      </c>
      <c r="I58" s="121">
        <v>2.0000000000000002E-5</v>
      </c>
      <c r="J58" s="113">
        <f t="shared" si="49"/>
        <v>5.5009577908782248</v>
      </c>
      <c r="K58" s="114">
        <f t="shared" si="50"/>
        <v>0.39013885041683238</v>
      </c>
      <c r="L58" s="117">
        <f t="shared" si="51"/>
        <v>0.51291884785891773</v>
      </c>
      <c r="M58" s="114" t="str">
        <f t="shared" si="52"/>
        <v>N/A</v>
      </c>
      <c r="N58" s="90">
        <v>1.25</v>
      </c>
      <c r="O58" s="117">
        <f t="shared" si="53"/>
        <v>0.51263639197092725</v>
      </c>
      <c r="P58" s="113">
        <f t="shared" si="61"/>
        <v>5.5098680549092727</v>
      </c>
      <c r="Q58" s="114">
        <f t="shared" si="54"/>
        <v>0.39014007419790886</v>
      </c>
      <c r="S58" s="91" t="s">
        <v>141</v>
      </c>
      <c r="T58" s="15" t="s">
        <v>142</v>
      </c>
      <c r="U58" s="17"/>
      <c r="V58" s="91">
        <v>0</v>
      </c>
      <c r="W58" s="117">
        <f t="shared" si="55"/>
        <v>0.51292000000000004</v>
      </c>
      <c r="X58" s="117">
        <f t="shared" si="56"/>
        <v>0.51263800000000004</v>
      </c>
      <c r="Y58" s="113">
        <f t="shared" si="62"/>
        <v>5.5009577908782248</v>
      </c>
      <c r="AA58" s="91">
        <v>2.5</v>
      </c>
      <c r="AB58" s="117">
        <f t="shared" si="58"/>
        <v>0.5129176957084165</v>
      </c>
      <c r="AC58" s="117">
        <f t="shared" si="59"/>
        <v>0.51263478392870876</v>
      </c>
      <c r="AD58" s="113">
        <f t="shared" si="60"/>
        <v>5.5187784476817825</v>
      </c>
    </row>
    <row r="59" spans="1:30">
      <c r="A59" s="143"/>
      <c r="B59" s="15" t="s">
        <v>150</v>
      </c>
      <c r="C59" s="15" t="s">
        <v>139</v>
      </c>
      <c r="D59" s="15" t="s">
        <v>144</v>
      </c>
      <c r="E59" s="119">
        <v>6.79</v>
      </c>
      <c r="F59" s="119">
        <v>29.7</v>
      </c>
      <c r="G59" s="127">
        <f t="shared" si="48"/>
        <v>0.13824622895622898</v>
      </c>
      <c r="H59" s="121">
        <v>0.51288999999999996</v>
      </c>
      <c r="I59" s="121">
        <v>2.0000000000000002E-5</v>
      </c>
      <c r="J59" s="113">
        <f t="shared" si="49"/>
        <v>4.9157495152507558</v>
      </c>
      <c r="K59" s="114">
        <f t="shared" si="50"/>
        <v>0.39013885041683238</v>
      </c>
      <c r="L59" s="117">
        <f t="shared" si="51"/>
        <v>0.51288886983245874</v>
      </c>
      <c r="M59" s="114">
        <f t="shared" si="52"/>
        <v>0.55222932875777719</v>
      </c>
      <c r="N59" s="90">
        <v>1.25</v>
      </c>
      <c r="O59" s="117">
        <f t="shared" si="53"/>
        <v>0.51263639197092725</v>
      </c>
      <c r="P59" s="113">
        <f t="shared" si="61"/>
        <v>4.9250865815597678</v>
      </c>
      <c r="Q59" s="114">
        <f t="shared" si="54"/>
        <v>0.39014007419790886</v>
      </c>
      <c r="S59" s="91" t="s">
        <v>141</v>
      </c>
      <c r="T59" s="15" t="s">
        <v>142</v>
      </c>
      <c r="U59" s="17"/>
      <c r="V59" s="91">
        <v>0</v>
      </c>
      <c r="W59" s="117">
        <f t="shared" si="55"/>
        <v>0.51288999999999996</v>
      </c>
      <c r="X59" s="117">
        <f t="shared" si="56"/>
        <v>0.51263800000000004</v>
      </c>
      <c r="Y59" s="113">
        <f t="shared" si="62"/>
        <v>4.9157495152507558</v>
      </c>
      <c r="AA59" s="91">
        <v>2.5</v>
      </c>
      <c r="AB59" s="117">
        <f t="shared" si="58"/>
        <v>0.51288773965567824</v>
      </c>
      <c r="AC59" s="117">
        <f t="shared" si="59"/>
        <v>0.51263478392870876</v>
      </c>
      <c r="AD59" s="113">
        <f t="shared" si="60"/>
        <v>4.9344237827741999</v>
      </c>
    </row>
    <row r="60" spans="1:30">
      <c r="A60" s="143"/>
      <c r="B60" s="15" t="s">
        <v>151</v>
      </c>
      <c r="C60" s="15" t="s">
        <v>139</v>
      </c>
      <c r="D60" s="15" t="s">
        <v>144</v>
      </c>
      <c r="E60" s="119">
        <v>6.64</v>
      </c>
      <c r="F60" s="119">
        <v>29.1</v>
      </c>
      <c r="G60" s="127">
        <f t="shared" si="48"/>
        <v>0.13797965635738829</v>
      </c>
      <c r="H60" s="121">
        <v>0.51290999999999998</v>
      </c>
      <c r="I60" s="121">
        <v>2.0000000000000002E-5</v>
      </c>
      <c r="J60" s="113">
        <f t="shared" si="49"/>
        <v>5.3058883656675881</v>
      </c>
      <c r="K60" s="114">
        <f t="shared" si="50"/>
        <v>0.39013885041683238</v>
      </c>
      <c r="L60" s="117">
        <f t="shared" si="51"/>
        <v>0.51290887201169866</v>
      </c>
      <c r="M60" s="114">
        <f t="shared" si="52"/>
        <v>0.51004167480659879</v>
      </c>
      <c r="N60" s="90">
        <v>1.25</v>
      </c>
      <c r="O60" s="117">
        <f t="shared" si="53"/>
        <v>0.51263639197092725</v>
      </c>
      <c r="P60" s="113">
        <f t="shared" si="61"/>
        <v>5.3152691661972895</v>
      </c>
      <c r="Q60" s="114">
        <f t="shared" si="54"/>
        <v>0.39014007419790886</v>
      </c>
      <c r="S60" s="91" t="s">
        <v>141</v>
      </c>
      <c r="T60" s="15" t="s">
        <v>142</v>
      </c>
      <c r="U60" s="17"/>
      <c r="V60" s="91">
        <v>0</v>
      </c>
      <c r="W60" s="117">
        <f t="shared" si="55"/>
        <v>0.51290999999999998</v>
      </c>
      <c r="X60" s="117">
        <f t="shared" si="56"/>
        <v>0.51263800000000004</v>
      </c>
      <c r="Y60" s="113">
        <f t="shared" si="62"/>
        <v>5.3058883656675881</v>
      </c>
      <c r="AA60" s="91">
        <v>2.5</v>
      </c>
      <c r="AB60" s="117">
        <f t="shared" si="58"/>
        <v>0.51290774401417594</v>
      </c>
      <c r="AC60" s="117">
        <f t="shared" si="59"/>
        <v>0.51263478392870876</v>
      </c>
      <c r="AD60" s="113">
        <f t="shared" si="60"/>
        <v>5.3246501022674586</v>
      </c>
    </row>
    <row r="61" spans="1:30">
      <c r="A61" s="143"/>
      <c r="B61" s="15" t="s">
        <v>152</v>
      </c>
      <c r="C61" s="15" t="s">
        <v>139</v>
      </c>
      <c r="D61" s="15" t="s">
        <v>144</v>
      </c>
      <c r="E61" s="119">
        <v>6.87</v>
      </c>
      <c r="F61" s="119">
        <v>30</v>
      </c>
      <c r="G61" s="127">
        <f t="shared" si="48"/>
        <v>0.1384763</v>
      </c>
      <c r="H61" s="121">
        <v>0.51288</v>
      </c>
      <c r="I61" s="121">
        <v>2.0000000000000002E-5</v>
      </c>
      <c r="J61" s="113">
        <f t="shared" si="49"/>
        <v>4.7206800900423396</v>
      </c>
      <c r="K61" s="114">
        <f t="shared" si="50"/>
        <v>0.39013885041905283</v>
      </c>
      <c r="L61" s="117">
        <f t="shared" si="51"/>
        <v>0.5128788679516203</v>
      </c>
      <c r="M61" s="114">
        <f t="shared" si="52"/>
        <v>0.57416715009243458</v>
      </c>
      <c r="N61" s="90">
        <v>1.25</v>
      </c>
      <c r="O61" s="117">
        <f t="shared" si="53"/>
        <v>0.51263639197092725</v>
      </c>
      <c r="P61" s="113">
        <f t="shared" si="61"/>
        <v>4.7299798549382821</v>
      </c>
      <c r="Q61" s="114">
        <f t="shared" si="54"/>
        <v>0.39014007419790886</v>
      </c>
      <c r="S61" s="91" t="s">
        <v>141</v>
      </c>
      <c r="T61" s="15" t="s">
        <v>142</v>
      </c>
      <c r="U61" s="17"/>
      <c r="V61" s="91">
        <v>0</v>
      </c>
      <c r="W61" s="117">
        <f t="shared" si="55"/>
        <v>0.51288</v>
      </c>
      <c r="X61" s="117">
        <f t="shared" si="56"/>
        <v>0.51263800000000004</v>
      </c>
      <c r="Y61" s="113">
        <f t="shared" si="62"/>
        <v>4.7206800900423396</v>
      </c>
      <c r="AA61" s="91">
        <v>2.5</v>
      </c>
      <c r="AB61" s="117">
        <f t="shared" si="58"/>
        <v>0.512877735893986</v>
      </c>
      <c r="AC61" s="117">
        <f t="shared" si="59"/>
        <v>0.51263478392870876</v>
      </c>
      <c r="AD61" s="113">
        <f t="shared" si="60"/>
        <v>4.7392797542000764</v>
      </c>
    </row>
    <row r="62" spans="1:30">
      <c r="A62" s="143"/>
      <c r="E62" s="119"/>
      <c r="F62" s="119"/>
      <c r="G62" s="120"/>
      <c r="H62" s="121"/>
      <c r="I62" s="121"/>
      <c r="J62" s="113"/>
      <c r="K62" s="114"/>
      <c r="L62" s="117"/>
      <c r="M62" s="114"/>
      <c r="O62" s="117"/>
      <c r="P62" s="113"/>
      <c r="Q62" s="114"/>
      <c r="U62" s="17"/>
      <c r="V62" s="91"/>
      <c r="W62" s="117"/>
      <c r="X62" s="117"/>
      <c r="AA62" s="91"/>
      <c r="AB62" s="117"/>
      <c r="AC62" s="117"/>
      <c r="AD62" s="113"/>
    </row>
    <row r="63" spans="1:30">
      <c r="A63" s="143"/>
      <c r="D63" s="118" t="s">
        <v>153</v>
      </c>
      <c r="E63" s="119"/>
      <c r="F63" s="119"/>
      <c r="G63" s="120"/>
      <c r="H63" s="121"/>
      <c r="I63" s="121"/>
      <c r="J63" s="113"/>
      <c r="K63" s="114"/>
      <c r="L63" s="117"/>
      <c r="M63" s="114"/>
      <c r="O63" s="117"/>
      <c r="P63" s="113"/>
      <c r="Q63" s="114"/>
      <c r="U63" s="17"/>
      <c r="V63" s="91"/>
      <c r="W63" s="117"/>
      <c r="X63" s="117"/>
      <c r="AA63" s="91"/>
      <c r="AB63" s="117"/>
      <c r="AC63" s="117"/>
      <c r="AD63" s="113"/>
    </row>
    <row r="64" spans="1:30">
      <c r="A64" s="143"/>
      <c r="B64" s="15" t="s">
        <v>154</v>
      </c>
      <c r="C64" s="15" t="s">
        <v>139</v>
      </c>
      <c r="D64" s="15" t="s">
        <v>155</v>
      </c>
      <c r="E64" s="119">
        <v>4.3899999999999997</v>
      </c>
      <c r="F64" s="119">
        <v>17.78</v>
      </c>
      <c r="G64" s="127">
        <f>(E64/F64)*0.6047</f>
        <v>0.14930444319460065</v>
      </c>
      <c r="H64" s="121">
        <v>0.512961</v>
      </c>
      <c r="I64" s="121"/>
      <c r="J64" s="113">
        <f>((H64/0.512638)-1)*10000</f>
        <v>6.3007424342309548</v>
      </c>
      <c r="K64" s="114">
        <f>(((H64+I64)/0.512638)-1)*10000-J64</f>
        <v>0</v>
      </c>
      <c r="L64" s="117">
        <f>H64-(G64*(EXP(0.00000000000654*N64*1000000)-1))</f>
        <v>0.51295977943118787</v>
      </c>
      <c r="M64" s="114" t="str">
        <f>IF(G64&gt;0.14,"N/A",LN((0.513163-H64)/(0.2137-G64)+1)*(1/0.00000000000654)/1000000000)</f>
        <v>N/A</v>
      </c>
      <c r="N64" s="90">
        <v>1.25</v>
      </c>
      <c r="O64" s="117">
        <f>0.512638-(0.1967*(EXP(0.00000000000654*N64*1000000)-1))</f>
        <v>0.51263639197092725</v>
      </c>
      <c r="P64" s="113">
        <f>((L64/O64)-1)*10000</f>
        <v>6.3083203870339943</v>
      </c>
      <c r="Q64" s="114"/>
      <c r="S64" s="91" t="s">
        <v>141</v>
      </c>
      <c r="T64" s="15" t="s">
        <v>156</v>
      </c>
      <c r="U64" s="17"/>
      <c r="V64" s="91">
        <v>0</v>
      </c>
      <c r="W64" s="117">
        <f t="shared" ref="W64" si="63">H64-(G64*(EXP(0.00000000000654*V64*1000000)-1))</f>
        <v>0.512961</v>
      </c>
      <c r="X64" s="117">
        <f>0.512638-(0.1967*(EXP(0.00000000000654*V64*1000000)-1))</f>
        <v>0.51263800000000004</v>
      </c>
      <c r="Y64" s="113">
        <f t="shared" ref="Y64" si="64">J64-(I64*(EXP(0.00000000000654*X64*1000000)-1))</f>
        <v>6.3007424342309548</v>
      </c>
      <c r="AA64" s="91">
        <v>2.5</v>
      </c>
      <c r="AB64" s="117">
        <f t="shared" ref="AB64" si="65">H64-(G64*(EXP(0.00000000000654*AA64*1000000)-1))</f>
        <v>0.51295855885239738</v>
      </c>
      <c r="AC64" s="117">
        <f t="shared" ref="AC64" si="66">0.512638-(0.1967*(EXP(0.00000000000654*AA64*1000000)-1))</f>
        <v>0.51263478392870876</v>
      </c>
      <c r="AD64" s="113">
        <f t="shared" ref="AD64" si="67">((AB64/AC64)-1)*10000</f>
        <v>6.3158984493272285</v>
      </c>
    </row>
    <row r="65" spans="1:42">
      <c r="A65" s="143"/>
      <c r="E65" s="119"/>
      <c r="F65" s="119"/>
      <c r="G65" s="120"/>
      <c r="H65" s="121"/>
      <c r="I65" s="121"/>
      <c r="J65" s="113"/>
      <c r="K65" s="114"/>
      <c r="L65" s="117"/>
      <c r="M65" s="114"/>
      <c r="O65" s="117"/>
      <c r="P65" s="113"/>
      <c r="Q65" s="114"/>
      <c r="U65" s="17"/>
      <c r="V65" s="91"/>
      <c r="W65" s="117"/>
      <c r="X65" s="117"/>
      <c r="AA65" s="91"/>
      <c r="AB65" s="117"/>
      <c r="AC65" s="117"/>
      <c r="AD65" s="113"/>
    </row>
    <row r="66" spans="1:42">
      <c r="A66" s="143"/>
      <c r="D66" s="118" t="s">
        <v>153</v>
      </c>
      <c r="E66" s="119"/>
      <c r="F66" s="119"/>
      <c r="G66" s="120"/>
      <c r="H66" s="121"/>
      <c r="I66" s="121"/>
      <c r="J66" s="113"/>
      <c r="K66" s="114"/>
      <c r="L66" s="117"/>
      <c r="M66" s="114"/>
      <c r="O66" s="117"/>
      <c r="P66" s="113"/>
      <c r="Q66" s="114"/>
      <c r="U66" s="17"/>
      <c r="V66" s="91"/>
      <c r="W66" s="117"/>
      <c r="X66" s="117"/>
      <c r="AA66" s="91"/>
      <c r="AB66" s="117"/>
      <c r="AC66" s="117"/>
      <c r="AD66" s="113"/>
    </row>
    <row r="67" spans="1:42">
      <c r="A67" s="143"/>
      <c r="B67" s="15" t="s">
        <v>157</v>
      </c>
      <c r="C67" s="15" t="s">
        <v>158</v>
      </c>
      <c r="D67" s="15" t="s">
        <v>159</v>
      </c>
      <c r="E67" s="119">
        <v>5.1100000000000003</v>
      </c>
      <c r="F67" s="119">
        <v>28.38</v>
      </c>
      <c r="G67" s="120">
        <v>0.109</v>
      </c>
      <c r="H67" s="121">
        <v>0.51260499999999998</v>
      </c>
      <c r="I67" s="121">
        <v>9.0000000000000002E-6</v>
      </c>
      <c r="J67" s="113">
        <f t="shared" ref="J67:J83" si="68">((H67/0.512638)-1)*10000</f>
        <v>-0.6437291031891057</v>
      </c>
      <c r="K67" s="114">
        <f t="shared" ref="K67:K83" si="69">(((H67+I67)/0.512638)-1)*10000-J67</f>
        <v>0.17556248268824071</v>
      </c>
      <c r="L67" s="117">
        <f t="shared" ref="L67:L83" si="70">H67-(G67*(EXP(0.00000000000654*N67*1000000)-1))</f>
        <v>0.51256482293624817</v>
      </c>
      <c r="M67" s="114">
        <f t="shared" ref="M67:M83" si="71">IF(G67&gt;0.14,"N/A",LN((0.513163-H67)/(0.2137-G67)+1)*(1/0.00000000000654)/1000000000)</f>
        <v>0.81274637593457588</v>
      </c>
      <c r="N67" s="90">
        <v>56.35</v>
      </c>
      <c r="O67" s="117">
        <f>0.512638-(0.1967*(EXP(0.00000000000654*N67*1000000)-1))</f>
        <v>0.5125654969867891</v>
      </c>
      <c r="P67" s="113">
        <f t="shared" ref="P67:P83" si="72">((L67/O67)-1)*10000</f>
        <v>-1.3150525053351458E-2</v>
      </c>
      <c r="Q67" s="114">
        <f t="shared" ref="Q67:Q83" si="73">(((L67+I67)/O67)-1)*10000-P67</f>
        <v>0.17558731621569734</v>
      </c>
      <c r="S67" s="91" t="s">
        <v>160</v>
      </c>
      <c r="T67" s="15" t="s">
        <v>386</v>
      </c>
      <c r="U67" s="17"/>
      <c r="V67" s="91">
        <v>55.4</v>
      </c>
      <c r="W67" s="117">
        <f>H67-(G67*(EXP(0.00000000000654*V67*1000000)-1))</f>
        <v>0.51256550040076365</v>
      </c>
      <c r="X67" s="117">
        <f>0.512638-(0.1967*(EXP(0.00000000000654*V67*1000000)-1))</f>
        <v>0.51256671953055255</v>
      </c>
      <c r="Y67" s="113">
        <f>((W67/X67)-1)*10000</f>
        <v>-2.3784801909121356E-2</v>
      </c>
      <c r="AA67" s="91">
        <v>57.3</v>
      </c>
      <c r="AB67" s="117">
        <f>H67-(G67*(EXP(0.00000000000654*AA67*1000000)-1))</f>
        <v>0.51256414546752349</v>
      </c>
      <c r="AC67" s="117">
        <f>0.512638-(0.1967*(EXP(0.00000000000654*AA67*1000000)-1))</f>
        <v>0.51256427443543007</v>
      </c>
      <c r="AD67" s="113">
        <f>((AB67/AC67)-1)*10000</f>
        <v>-2.5161314010091473E-3</v>
      </c>
    </row>
    <row r="68" spans="1:42">
      <c r="A68" s="143"/>
      <c r="B68" s="15" t="s">
        <v>161</v>
      </c>
      <c r="C68" s="15" t="s">
        <v>158</v>
      </c>
      <c r="D68" s="15" t="s">
        <v>159</v>
      </c>
      <c r="E68" s="119">
        <v>8.31</v>
      </c>
      <c r="F68" s="119">
        <v>37.74</v>
      </c>
      <c r="G68" s="120">
        <v>0.1331</v>
      </c>
      <c r="H68" s="121">
        <v>0.51260300000000003</v>
      </c>
      <c r="I68" s="121">
        <v>6.9999999999999999E-6</v>
      </c>
      <c r="J68" s="113">
        <f t="shared" si="68"/>
        <v>-0.68274298822945667</v>
      </c>
      <c r="K68" s="114">
        <f t="shared" si="69"/>
        <v>0.13654859764566929</v>
      </c>
      <c r="L68" s="117">
        <f t="shared" si="70"/>
        <v>0.51255393975059294</v>
      </c>
      <c r="M68" s="114">
        <f t="shared" si="71"/>
        <v>1.0586950221760765</v>
      </c>
      <c r="N68" s="90">
        <v>56.35</v>
      </c>
      <c r="O68" s="117">
        <f t="shared" ref="O68:O83" si="74">0.512638-(0.1967*(EXP(0.00000000000654*N68*1000000)-1))</f>
        <v>0.5125654969867891</v>
      </c>
      <c r="P68" s="113">
        <f t="shared" si="72"/>
        <v>-0.22547823183782789</v>
      </c>
      <c r="Q68" s="114">
        <f t="shared" si="73"/>
        <v>0.1365679126108521</v>
      </c>
      <c r="S68" s="91" t="s">
        <v>160</v>
      </c>
      <c r="T68" s="15" t="s">
        <v>386</v>
      </c>
      <c r="U68" s="17"/>
      <c r="V68" s="91">
        <v>55.4</v>
      </c>
      <c r="W68" s="117">
        <f>H68-(G68*(EXP(0.00000000000654*V68*1000000)-1))</f>
        <v>0.5125547670031344</v>
      </c>
      <c r="X68" s="117">
        <f>0.512638-(0.1967*(EXP(0.00000000000654*V68*1000000)-1))</f>
        <v>0.51256671953055255</v>
      </c>
      <c r="Y68" s="113">
        <f>((W68/X68)-1)*10000</f>
        <v>-0.23318968951135943</v>
      </c>
      <c r="AA68" s="91">
        <v>57.3</v>
      </c>
      <c r="AB68" s="117">
        <f>H68-(G68*(EXP(0.00000000000654*AA68*1000000)-1))</f>
        <v>0.5125531124929118</v>
      </c>
      <c r="AC68" s="117">
        <f>0.512638-(0.1967*(EXP(0.00000000000654*AA68*1000000)-1))</f>
        <v>0.51256427443543007</v>
      </c>
      <c r="AD68" s="113">
        <f>((AB68/AC68)-1)*10000</f>
        <v>-0.21776668946649202</v>
      </c>
    </row>
    <row r="69" spans="1:42">
      <c r="A69" s="143"/>
      <c r="B69" s="15" t="s">
        <v>162</v>
      </c>
      <c r="C69" s="15" t="s">
        <v>158</v>
      </c>
      <c r="D69" s="15" t="s">
        <v>159</v>
      </c>
      <c r="E69" s="119">
        <v>7.74</v>
      </c>
      <c r="F69" s="119">
        <v>24.21</v>
      </c>
      <c r="G69" s="120">
        <v>0.19370000000000001</v>
      </c>
      <c r="H69" s="121">
        <v>0.51260499999999998</v>
      </c>
      <c r="I69" s="121">
        <v>9.0000000000000002E-6</v>
      </c>
      <c r="J69" s="113">
        <f t="shared" si="68"/>
        <v>-0.6437291031891057</v>
      </c>
      <c r="K69" s="114">
        <f t="shared" si="69"/>
        <v>0.17556248268824071</v>
      </c>
      <c r="L69" s="117">
        <f t="shared" si="70"/>
        <v>0.51253360277753457</v>
      </c>
      <c r="M69" s="114" t="str">
        <f t="shared" si="71"/>
        <v>N/A</v>
      </c>
      <c r="N69" s="90">
        <v>56.35</v>
      </c>
      <c r="O69" s="117">
        <f t="shared" si="74"/>
        <v>0.5125654969867891</v>
      </c>
      <c r="P69" s="113">
        <f t="shared" si="72"/>
        <v>-0.62224651175335488</v>
      </c>
      <c r="Q69" s="114">
        <f t="shared" si="73"/>
        <v>0.17558731621458712</v>
      </c>
      <c r="S69" s="91" t="s">
        <v>160</v>
      </c>
      <c r="T69" s="15" t="s">
        <v>386</v>
      </c>
      <c r="U69" s="17"/>
      <c r="V69" s="91">
        <v>55.4</v>
      </c>
      <c r="W69" s="117">
        <f>H69-(G69*(EXP(0.00000000000654*V69*1000000)-1))</f>
        <v>0.51253480667548557</v>
      </c>
      <c r="X69" s="117">
        <f>0.512638-(0.1967*(EXP(0.00000000000654*V69*1000000)-1))</f>
        <v>0.51256671953055255</v>
      </c>
      <c r="Y69" s="113">
        <f>((W69/X69)-1)*10000</f>
        <v>-0.62260880098086169</v>
      </c>
      <c r="AA69" s="91">
        <v>57.3</v>
      </c>
      <c r="AB69" s="117">
        <f>H69-(G69*(EXP(0.00000000000654*AA69*1000000)-1))</f>
        <v>0.51253239887210367</v>
      </c>
      <c r="AC69" s="117">
        <f>0.512638-(0.1967*(EXP(0.00000000000654*AA69*1000000)-1))</f>
        <v>0.51256427443543007</v>
      </c>
      <c r="AD69" s="113">
        <f>((AB69/AC69)-1)*10000</f>
        <v>-0.62188421855013942</v>
      </c>
    </row>
    <row r="70" spans="1:42">
      <c r="A70" s="143"/>
      <c r="B70" s="15" t="s">
        <v>163</v>
      </c>
      <c r="C70" s="15" t="s">
        <v>158</v>
      </c>
      <c r="D70" s="15" t="s">
        <v>159</v>
      </c>
      <c r="E70" s="119"/>
      <c r="F70" s="119"/>
      <c r="G70" s="120"/>
      <c r="H70" s="121"/>
      <c r="I70" s="121"/>
      <c r="J70" s="113"/>
      <c r="K70" s="114"/>
      <c r="L70" s="117"/>
      <c r="M70" s="114"/>
      <c r="O70" s="117"/>
      <c r="P70" s="113"/>
      <c r="Q70" s="114"/>
      <c r="S70" s="91" t="s">
        <v>160</v>
      </c>
      <c r="T70" s="15" t="s">
        <v>386</v>
      </c>
      <c r="U70" s="17"/>
      <c r="V70" s="91"/>
      <c r="W70" s="117"/>
      <c r="X70" s="117"/>
      <c r="AA70" s="91"/>
      <c r="AB70" s="117"/>
      <c r="AC70" s="117"/>
      <c r="AD70" s="113"/>
    </row>
    <row r="71" spans="1:42">
      <c r="A71" s="143"/>
      <c r="B71" s="15" t="s">
        <v>164</v>
      </c>
      <c r="C71" s="15" t="s">
        <v>158</v>
      </c>
      <c r="D71" s="15" t="s">
        <v>159</v>
      </c>
      <c r="E71" s="119">
        <v>6.59</v>
      </c>
      <c r="F71" s="119">
        <v>30.45</v>
      </c>
      <c r="G71" s="120">
        <v>0.1313</v>
      </c>
      <c r="H71" s="121">
        <v>0.51257600000000003</v>
      </c>
      <c r="I71" s="121">
        <v>1.2999999999999999E-5</v>
      </c>
      <c r="J71" s="113">
        <f t="shared" si="68"/>
        <v>-1.2094304362919583</v>
      </c>
      <c r="K71" s="114">
        <f t="shared" si="69"/>
        <v>0.25359025277116309</v>
      </c>
      <c r="L71" s="117">
        <f t="shared" si="70"/>
        <v>0.51252760322504021</v>
      </c>
      <c r="M71" s="114">
        <f t="shared" si="71"/>
        <v>1.0854024629871275</v>
      </c>
      <c r="N71" s="90">
        <v>56.35</v>
      </c>
      <c r="O71" s="117">
        <f t="shared" si="74"/>
        <v>0.5125654969867891</v>
      </c>
      <c r="P71" s="113">
        <f t="shared" si="72"/>
        <v>-0.73929599186173256</v>
      </c>
      <c r="Q71" s="114">
        <f t="shared" si="73"/>
        <v>0.25362612342205715</v>
      </c>
      <c r="S71" s="91" t="s">
        <v>160</v>
      </c>
      <c r="T71" s="15" t="s">
        <v>386</v>
      </c>
      <c r="U71" s="17"/>
      <c r="V71" s="91">
        <v>55.4</v>
      </c>
      <c r="W71" s="117">
        <f>H71-(G71*(EXP(0.00000000000654*V71*1000000)-1))</f>
        <v>0.51252841929009429</v>
      </c>
      <c r="X71" s="117">
        <f>0.512638-(0.1967*(EXP(0.00000000000654*V71*1000000)-1))</f>
        <v>0.51256671953055255</v>
      </c>
      <c r="Y71" s="113">
        <f>((W71/X71)-1)*10000</f>
        <v>-0.74722448803021813</v>
      </c>
      <c r="AA71" s="91">
        <v>57.3</v>
      </c>
      <c r="AB71" s="117">
        <f>H71-(G71*(EXP(0.00000000000654*AA71*1000000)-1))</f>
        <v>0.51252678715491595</v>
      </c>
      <c r="AC71" s="117">
        <f>0.512638-(0.1967*(EXP(0.00000000000654*AA71*1000000)-1))</f>
        <v>0.51256427443543007</v>
      </c>
      <c r="AD71" s="113">
        <f>((AB71/AC71)-1)*10000</f>
        <v>-0.73136740861290406</v>
      </c>
    </row>
    <row r="72" spans="1:42">
      <c r="A72" s="143"/>
      <c r="B72" s="15" t="s">
        <v>165</v>
      </c>
      <c r="C72" s="15" t="s">
        <v>158</v>
      </c>
      <c r="D72" s="15" t="s">
        <v>159</v>
      </c>
      <c r="E72" s="119">
        <v>5.14</v>
      </c>
      <c r="F72" s="119">
        <v>25.2</v>
      </c>
      <c r="G72" s="120">
        <v>0.12379999999999999</v>
      </c>
      <c r="H72" s="121">
        <v>0.51261699999999999</v>
      </c>
      <c r="I72" s="121">
        <v>9.0000000000000002E-6</v>
      </c>
      <c r="J72" s="113">
        <f t="shared" si="68"/>
        <v>-0.40964579293811809</v>
      </c>
      <c r="K72" s="114">
        <f t="shared" si="69"/>
        <v>0.17556248268824071</v>
      </c>
      <c r="L72" s="117">
        <f t="shared" si="70"/>
        <v>0.51257136770190381</v>
      </c>
      <c r="M72" s="114">
        <f t="shared" si="71"/>
        <v>0.92584802110772813</v>
      </c>
      <c r="N72" s="90">
        <v>56.35</v>
      </c>
      <c r="O72" s="117">
        <f t="shared" si="74"/>
        <v>0.5125654969867891</v>
      </c>
      <c r="P72" s="113">
        <f t="shared" si="72"/>
        <v>0.11453590124999025</v>
      </c>
      <c r="Q72" s="114">
        <f t="shared" si="73"/>
        <v>0.17558731621569734</v>
      </c>
      <c r="S72" s="91" t="s">
        <v>160</v>
      </c>
      <c r="T72" s="15" t="s">
        <v>386</v>
      </c>
      <c r="U72" s="17"/>
      <c r="V72" s="91">
        <v>55.4</v>
      </c>
      <c r="W72" s="117">
        <f>H72-(G72*(EXP(0.00000000000654*V72*1000000)-1))</f>
        <v>0.512572137152427</v>
      </c>
      <c r="X72" s="117">
        <f>0.512638-(0.1967*(EXP(0.00000000000654*V72*1000000)-1))</f>
        <v>0.51256671953055255</v>
      </c>
      <c r="Y72" s="113">
        <f>((W72/X72)-1)*10000</f>
        <v>0.10569593514420106</v>
      </c>
      <c r="AA72" s="91">
        <v>57.3</v>
      </c>
      <c r="AB72" s="117">
        <f>H72-(G72*(EXP(0.00000000000654*AA72*1000000)-1))</f>
        <v>0.51257059824660012</v>
      </c>
      <c r="AC72" s="117">
        <f>0.512638-(0.1967*(EXP(0.00000000000654*AA72*1000000)-1))</f>
        <v>0.51256427443543007</v>
      </c>
      <c r="AD72" s="113">
        <f>((AB72/AC72)-1)*10000</f>
        <v>0.12337596444922383</v>
      </c>
    </row>
    <row r="73" spans="1:42">
      <c r="A73" s="143"/>
      <c r="B73" s="15" t="s">
        <v>166</v>
      </c>
      <c r="C73" s="15" t="s">
        <v>158</v>
      </c>
      <c r="D73" s="15" t="s">
        <v>159</v>
      </c>
      <c r="E73" s="119">
        <v>6.99</v>
      </c>
      <c r="F73" s="119">
        <v>35.56</v>
      </c>
      <c r="G73" s="120">
        <v>0.1191</v>
      </c>
      <c r="H73" s="121">
        <v>0.51258300000000001</v>
      </c>
      <c r="I73" s="121">
        <v>9.0000000000000002E-6</v>
      </c>
      <c r="J73" s="113">
        <f t="shared" si="68"/>
        <v>-1.0728818386473993</v>
      </c>
      <c r="K73" s="114">
        <f t="shared" si="69"/>
        <v>0.17556248268935093</v>
      </c>
      <c r="L73" s="117">
        <f t="shared" si="70"/>
        <v>0.51253910010740511</v>
      </c>
      <c r="M73" s="114">
        <f t="shared" si="71"/>
        <v>0.9346115650049045</v>
      </c>
      <c r="N73" s="90">
        <v>56.35</v>
      </c>
      <c r="O73" s="117">
        <f t="shared" si="74"/>
        <v>0.5125654969867891</v>
      </c>
      <c r="P73" s="113">
        <f t="shared" si="72"/>
        <v>-0.51499524527431895</v>
      </c>
      <c r="Q73" s="114">
        <f t="shared" si="73"/>
        <v>0.17558731621458712</v>
      </c>
      <c r="S73" s="91" t="s">
        <v>160</v>
      </c>
      <c r="T73" s="15" t="s">
        <v>386</v>
      </c>
      <c r="U73" s="17"/>
      <c r="V73" s="91">
        <v>55.4</v>
      </c>
      <c r="W73" s="117">
        <f>H73-(G73*(EXP(0.00000000000654*V73*1000000)-1))</f>
        <v>0.51253984034615563</v>
      </c>
      <c r="X73" s="117">
        <f>0.512638-(0.1967*(EXP(0.00000000000654*V73*1000000)-1))</f>
        <v>0.51256671953055255</v>
      </c>
      <c r="Y73" s="113">
        <f>((W73/X73)-1)*10000</f>
        <v>-0.52440362147465613</v>
      </c>
      <c r="AA73" s="91">
        <v>57.3</v>
      </c>
      <c r="AB73" s="117">
        <f>H73-(G73*(EXP(0.00000000000654*AA73*1000000)-1))</f>
        <v>0.51253835986405549</v>
      </c>
      <c r="AC73" s="117">
        <f>0.512638-(0.1967*(EXP(0.00000000000654*AA73*1000000)-1))</f>
        <v>0.51256427443543007</v>
      </c>
      <c r="AD73" s="113">
        <f>((AB73/AC73)-1)*10000</f>
        <v>-0.50558676573997374</v>
      </c>
      <c r="AK73" s="35"/>
      <c r="AP73" s="35"/>
    </row>
    <row r="74" spans="1:42">
      <c r="A74" s="143"/>
      <c r="B74" s="15" t="s">
        <v>167</v>
      </c>
      <c r="C74" s="15" t="s">
        <v>158</v>
      </c>
      <c r="D74" s="15" t="s">
        <v>159</v>
      </c>
      <c r="E74" s="119">
        <v>8.76</v>
      </c>
      <c r="F74" s="119">
        <v>45.31</v>
      </c>
      <c r="G74" s="120">
        <v>0.1171</v>
      </c>
      <c r="H74" s="121">
        <v>0.51259699999999997</v>
      </c>
      <c r="I74" s="121">
        <v>7.9999999999999996E-6</v>
      </c>
      <c r="J74" s="113">
        <f t="shared" si="68"/>
        <v>-0.7997846433560607</v>
      </c>
      <c r="K74" s="114">
        <f t="shared" si="69"/>
        <v>0.156055540166955</v>
      </c>
      <c r="L74" s="117">
        <f t="shared" si="70"/>
        <v>0.51255383730123538</v>
      </c>
      <c r="M74" s="114">
        <f t="shared" si="71"/>
        <v>0.89328972736446699</v>
      </c>
      <c r="N74" s="90">
        <v>56.35</v>
      </c>
      <c r="O74" s="117">
        <f t="shared" si="74"/>
        <v>0.5125654969867891</v>
      </c>
      <c r="P74" s="113">
        <f t="shared" si="72"/>
        <v>-0.22747698825376084</v>
      </c>
      <c r="Q74" s="114">
        <f t="shared" si="73"/>
        <v>0.15607761441271961</v>
      </c>
      <c r="S74" s="91" t="s">
        <v>160</v>
      </c>
      <c r="T74" s="15" t="s">
        <v>386</v>
      </c>
      <c r="U74" s="17"/>
      <c r="V74" s="91">
        <v>55.4</v>
      </c>
      <c r="W74" s="117">
        <f>H74-(G74*(EXP(0.00000000000654*V74*1000000)-1))</f>
        <v>0.5125545651094443</v>
      </c>
      <c r="X74" s="117">
        <f>0.512638-(0.1967*(EXP(0.00000000000654*V74*1000000)-1))</f>
        <v>0.51256671953055255</v>
      </c>
      <c r="Y74" s="113">
        <f>((W74/X74)-1)*10000</f>
        <v>-0.23712856580648811</v>
      </c>
      <c r="AA74" s="91">
        <v>57.3</v>
      </c>
      <c r="AB74" s="117">
        <f>H74-(G74*(EXP(0.00000000000654*AA74*1000000)-1))</f>
        <v>0.51255310948850452</v>
      </c>
      <c r="AC74" s="117">
        <f>0.512638-(0.1967*(EXP(0.00000000000654*AA74*1000000)-1))</f>
        <v>0.51256427443543007</v>
      </c>
      <c r="AD74" s="113">
        <f>((AB74/AC74)-1)*10000</f>
        <v>-0.21782530469693917</v>
      </c>
    </row>
    <row r="75" spans="1:42">
      <c r="A75" s="143"/>
      <c r="B75" s="15" t="s">
        <v>168</v>
      </c>
      <c r="C75" s="15" t="s">
        <v>158</v>
      </c>
      <c r="D75" s="15" t="s">
        <v>159</v>
      </c>
      <c r="E75" s="119">
        <v>5.1100000000000003</v>
      </c>
      <c r="F75" s="119">
        <v>26.94</v>
      </c>
      <c r="G75" s="120">
        <v>0.1149</v>
      </c>
      <c r="H75" s="121">
        <v>0.51263400000000003</v>
      </c>
      <c r="I75" s="121">
        <v>7.9999999999999996E-6</v>
      </c>
      <c r="J75" s="113">
        <f t="shared" si="68"/>
        <v>-7.8027770082922387E-2</v>
      </c>
      <c r="K75" s="114">
        <f t="shared" si="69"/>
        <v>0.15605554016584477</v>
      </c>
      <c r="L75" s="117">
        <f t="shared" si="70"/>
        <v>0.5125916482144488</v>
      </c>
      <c r="M75" s="114">
        <f t="shared" si="71"/>
        <v>0.8165088640424284</v>
      </c>
      <c r="N75" s="90">
        <v>56.35</v>
      </c>
      <c r="O75" s="117">
        <f t="shared" si="74"/>
        <v>0.5125654969867891</v>
      </c>
      <c r="P75" s="113">
        <f t="shared" si="72"/>
        <v>0.51020265338541648</v>
      </c>
      <c r="Q75" s="114">
        <f t="shared" si="73"/>
        <v>0.15607761441494006</v>
      </c>
      <c r="S75" s="91" t="s">
        <v>160</v>
      </c>
      <c r="T75" s="15" t="s">
        <v>386</v>
      </c>
      <c r="U75" s="17"/>
      <c r="V75" s="91">
        <v>55.4</v>
      </c>
      <c r="W75" s="117">
        <f>H75-(G75*(EXP(0.00000000000654*V75*1000000)-1))</f>
        <v>0.51259236234906191</v>
      </c>
      <c r="X75" s="117">
        <f>0.512638-(0.1967*(EXP(0.00000000000654*V75*1000000)-1))</f>
        <v>0.51256671953055255</v>
      </c>
      <c r="Y75" s="113">
        <f>((W75/X75)-1)*10000</f>
        <v>0.50028254922285242</v>
      </c>
      <c r="AA75" s="91">
        <v>57.3</v>
      </c>
      <c r="AB75" s="117">
        <f>H75-(G75*(EXP(0.00000000000654*AA75*1000000)-1))</f>
        <v>0.51259093407539869</v>
      </c>
      <c r="AC75" s="117">
        <f>0.512638-(0.1967*(EXP(0.00000000000654*AA75*1000000)-1))</f>
        <v>0.51256427443543007</v>
      </c>
      <c r="AD75" s="113">
        <f>((AB75/AC75)-1)*10000</f>
        <v>0.52012286650304773</v>
      </c>
    </row>
    <row r="76" spans="1:42">
      <c r="A76" s="143"/>
      <c r="B76" s="15" t="s">
        <v>169</v>
      </c>
      <c r="C76" s="15" t="s">
        <v>158</v>
      </c>
      <c r="D76" s="15" t="s">
        <v>170</v>
      </c>
      <c r="E76" s="119"/>
      <c r="F76" s="119"/>
      <c r="G76" s="120"/>
      <c r="H76" s="121"/>
      <c r="I76" s="121"/>
      <c r="J76" s="113"/>
      <c r="K76" s="114"/>
      <c r="L76" s="117"/>
      <c r="M76" s="114"/>
      <c r="O76" s="117"/>
      <c r="P76" s="113"/>
      <c r="Q76" s="114"/>
      <c r="S76" s="91" t="s">
        <v>160</v>
      </c>
      <c r="T76" s="15" t="s">
        <v>386</v>
      </c>
      <c r="U76" s="17"/>
      <c r="V76" s="91"/>
      <c r="W76" s="117"/>
      <c r="X76" s="117"/>
      <c r="AA76" s="91"/>
      <c r="AB76" s="117"/>
      <c r="AC76" s="117"/>
      <c r="AD76" s="113"/>
    </row>
    <row r="77" spans="1:42">
      <c r="A77" s="143"/>
      <c r="B77" s="15" t="s">
        <v>171</v>
      </c>
      <c r="C77" s="15" t="s">
        <v>158</v>
      </c>
      <c r="D77" s="15" t="s">
        <v>170</v>
      </c>
      <c r="E77" s="119">
        <v>6.55</v>
      </c>
      <c r="F77" s="119">
        <v>32.5</v>
      </c>
      <c r="G77" s="120">
        <v>0.12239999999999999</v>
      </c>
      <c r="H77" s="121">
        <v>0.51262799999999997</v>
      </c>
      <c r="I77" s="121">
        <v>9.0000000000000002E-6</v>
      </c>
      <c r="J77" s="113">
        <f t="shared" si="68"/>
        <v>-0.19506942520952641</v>
      </c>
      <c r="K77" s="114">
        <f t="shared" si="69"/>
        <v>0.17556248268824071</v>
      </c>
      <c r="L77" s="117">
        <f t="shared" si="70"/>
        <v>0.51258288373758509</v>
      </c>
      <c r="M77" s="114">
        <f t="shared" si="71"/>
        <v>0.89337935467527851</v>
      </c>
      <c r="N77" s="90">
        <v>56.35</v>
      </c>
      <c r="O77" s="117">
        <f t="shared" si="74"/>
        <v>0.5125654969867891</v>
      </c>
      <c r="P77" s="113">
        <f t="shared" si="72"/>
        <v>0.3392103233279542</v>
      </c>
      <c r="Q77" s="114">
        <f t="shared" si="73"/>
        <v>0.17558731621569734</v>
      </c>
      <c r="S77" s="91" t="s">
        <v>160</v>
      </c>
      <c r="T77" s="15" t="s">
        <v>386</v>
      </c>
      <c r="U77" s="17"/>
      <c r="V77" s="91">
        <v>55.4</v>
      </c>
      <c r="W77" s="117">
        <f t="shared" ref="W77:W83" si="75">H77-(G77*(EXP(0.00000000000654*V77*1000000)-1))</f>
        <v>0.51258364448672911</v>
      </c>
      <c r="X77" s="117">
        <f t="shared" ref="X77:X83" si="76">0.512638-(0.1967*(EXP(0.00000000000654*V77*1000000)-1))</f>
        <v>0.51256671953055255</v>
      </c>
      <c r="Y77" s="113">
        <f t="shared" ref="Y77:Y83" si="77">((W77/X77)-1)*10000</f>
        <v>0.33020006043438244</v>
      </c>
      <c r="AA77" s="91">
        <v>57.3</v>
      </c>
      <c r="AB77" s="117">
        <f t="shared" ref="AB77:AB83" si="78">H77-(G77*(EXP(0.00000000000654*AA77*1000000)-1))</f>
        <v>0.51258212298371442</v>
      </c>
      <c r="AC77" s="117">
        <f t="shared" ref="AC77:AC83" si="79">0.512638-(0.1967*(EXP(0.00000000000654*AA77*1000000)-1))</f>
        <v>0.51256427443543007</v>
      </c>
      <c r="AD77" s="113">
        <f t="shared" ref="AD77:AD83" si="80">((AB77/AC77)-1)*10000</f>
        <v>0.34822068518236549</v>
      </c>
    </row>
    <row r="78" spans="1:42">
      <c r="A78" s="143"/>
      <c r="B78" s="15" t="s">
        <v>172</v>
      </c>
      <c r="C78" s="15" t="s">
        <v>158</v>
      </c>
      <c r="D78" s="15" t="s">
        <v>170</v>
      </c>
      <c r="E78" s="119">
        <v>6.47</v>
      </c>
      <c r="F78" s="119">
        <v>30.79</v>
      </c>
      <c r="G78" s="120">
        <v>0.12770000000000001</v>
      </c>
      <c r="H78" s="121">
        <v>0.51257900000000001</v>
      </c>
      <c r="I78" s="121">
        <v>1.0000000000000001E-5</v>
      </c>
      <c r="J78" s="113">
        <f t="shared" si="68"/>
        <v>-1.1509096087303217</v>
      </c>
      <c r="K78" s="114">
        <f t="shared" si="69"/>
        <v>0.19506942520730597</v>
      </c>
      <c r="L78" s="117">
        <f t="shared" si="70"/>
        <v>0.51253193017393472</v>
      </c>
      <c r="M78" s="114">
        <f t="shared" si="71"/>
        <v>1.0348233546388264</v>
      </c>
      <c r="N78" s="90">
        <v>56.35</v>
      </c>
      <c r="O78" s="117">
        <f t="shared" si="74"/>
        <v>0.5125654969867891</v>
      </c>
      <c r="P78" s="113">
        <f t="shared" si="72"/>
        <v>-0.65487850921863711</v>
      </c>
      <c r="Q78" s="114">
        <f t="shared" si="73"/>
        <v>0.19509701801423418</v>
      </c>
      <c r="S78" s="91" t="s">
        <v>160</v>
      </c>
      <c r="T78" s="15" t="s">
        <v>386</v>
      </c>
      <c r="U78" s="17"/>
      <c r="V78" s="91">
        <v>55.4</v>
      </c>
      <c r="W78" s="117">
        <f t="shared" si="75"/>
        <v>0.51253272386401405</v>
      </c>
      <c r="X78" s="117">
        <f t="shared" si="76"/>
        <v>0.51256671953055255</v>
      </c>
      <c r="Y78" s="113">
        <f t="shared" si="77"/>
        <v>-0.66324373477977261</v>
      </c>
      <c r="AA78" s="91">
        <v>57.3</v>
      </c>
      <c r="AB78" s="117">
        <f t="shared" si="78"/>
        <v>0.51253113647892434</v>
      </c>
      <c r="AC78" s="117">
        <f t="shared" si="79"/>
        <v>0.51256427443543007</v>
      </c>
      <c r="AD78" s="113">
        <f t="shared" si="80"/>
        <v>-0.64651319177877475</v>
      </c>
    </row>
    <row r="79" spans="1:42">
      <c r="A79" s="143"/>
      <c r="B79" s="15" t="s">
        <v>173</v>
      </c>
      <c r="C79" s="15" t="s">
        <v>158</v>
      </c>
      <c r="D79" s="15" t="s">
        <v>170</v>
      </c>
      <c r="E79" s="119">
        <v>8.57</v>
      </c>
      <c r="F79" s="119">
        <v>42.08</v>
      </c>
      <c r="G79" s="120">
        <v>0.12330000000000001</v>
      </c>
      <c r="H79" s="121">
        <v>0.51262399999999997</v>
      </c>
      <c r="I79" s="121">
        <v>7.9999999999999996E-6</v>
      </c>
      <c r="J79" s="113">
        <f t="shared" si="68"/>
        <v>-0.27309719529355903</v>
      </c>
      <c r="K79" s="114">
        <f t="shared" si="69"/>
        <v>0.156055540166955</v>
      </c>
      <c r="L79" s="117">
        <f t="shared" si="70"/>
        <v>0.5125785520003614</v>
      </c>
      <c r="M79" s="114">
        <f t="shared" si="71"/>
        <v>0.90897319220242179</v>
      </c>
      <c r="N79" s="90">
        <v>56.35</v>
      </c>
      <c r="O79" s="117">
        <f t="shared" si="74"/>
        <v>0.5125654969867891</v>
      </c>
      <c r="P79" s="113">
        <f t="shared" si="72"/>
        <v>0.25469942181111094</v>
      </c>
      <c r="Q79" s="114">
        <f t="shared" si="73"/>
        <v>0.15607761441271961</v>
      </c>
      <c r="S79" s="91" t="s">
        <v>160</v>
      </c>
      <c r="T79" s="15" t="s">
        <v>386</v>
      </c>
      <c r="U79" s="17"/>
      <c r="V79" s="91">
        <v>55.4</v>
      </c>
      <c r="W79" s="117">
        <f t="shared" si="75"/>
        <v>0.51257931834324921</v>
      </c>
      <c r="X79" s="117">
        <f t="shared" si="76"/>
        <v>0.51256671953055255</v>
      </c>
      <c r="Y79" s="113">
        <f t="shared" si="77"/>
        <v>0.24579849249972696</v>
      </c>
      <c r="AA79" s="91">
        <v>57.3</v>
      </c>
      <c r="AB79" s="117">
        <f t="shared" si="78"/>
        <v>0.51257778565271228</v>
      </c>
      <c r="AC79" s="117">
        <f t="shared" si="79"/>
        <v>0.51256427443543007</v>
      </c>
      <c r="AD79" s="113">
        <f t="shared" si="80"/>
        <v>0.26360044888207312</v>
      </c>
    </row>
    <row r="80" spans="1:42">
      <c r="A80" s="143"/>
      <c r="B80" s="15" t="s">
        <v>174</v>
      </c>
      <c r="C80" s="15" t="s">
        <v>158</v>
      </c>
      <c r="D80" s="15" t="s">
        <v>170</v>
      </c>
      <c r="E80" s="119">
        <v>7.56</v>
      </c>
      <c r="F80" s="119">
        <v>36.93</v>
      </c>
      <c r="G80" s="120">
        <v>0.1242</v>
      </c>
      <c r="H80" s="121">
        <v>0.51258599999999999</v>
      </c>
      <c r="I80" s="121">
        <v>9.0000000000000002E-6</v>
      </c>
      <c r="J80" s="113">
        <f t="shared" si="68"/>
        <v>-1.0143610110846524</v>
      </c>
      <c r="K80" s="114">
        <f t="shared" si="69"/>
        <v>0.17556248268824071</v>
      </c>
      <c r="L80" s="117">
        <f t="shared" si="70"/>
        <v>0.51254022026313784</v>
      </c>
      <c r="M80" s="114">
        <f t="shared" si="71"/>
        <v>0.98260471345134337</v>
      </c>
      <c r="N80" s="90">
        <v>56.35</v>
      </c>
      <c r="O80" s="117">
        <f t="shared" si="74"/>
        <v>0.5125654969867891</v>
      </c>
      <c r="P80" s="113">
        <f t="shared" si="72"/>
        <v>-0.49314134095812534</v>
      </c>
      <c r="Q80" s="114">
        <f t="shared" si="73"/>
        <v>0.17558731621569734</v>
      </c>
      <c r="S80" s="91" t="s">
        <v>160</v>
      </c>
      <c r="T80" s="15" t="s">
        <v>386</v>
      </c>
      <c r="U80" s="17"/>
      <c r="V80" s="91">
        <v>55.4</v>
      </c>
      <c r="W80" s="117">
        <f t="shared" si="75"/>
        <v>0.51254099219976923</v>
      </c>
      <c r="X80" s="117">
        <f t="shared" si="76"/>
        <v>0.51256671953055255</v>
      </c>
      <c r="Y80" s="113">
        <f t="shared" si="77"/>
        <v>-0.50193135455400828</v>
      </c>
      <c r="AA80" s="91">
        <v>57.3</v>
      </c>
      <c r="AB80" s="117">
        <f t="shared" si="78"/>
        <v>0.51253944832171028</v>
      </c>
      <c r="AC80" s="117">
        <f t="shared" si="79"/>
        <v>0.51256427443543007</v>
      </c>
      <c r="AD80" s="113">
        <f t="shared" si="80"/>
        <v>-0.48435123082168907</v>
      </c>
    </row>
    <row r="81" spans="1:30">
      <c r="A81" s="143"/>
      <c r="B81" s="15" t="s">
        <v>175</v>
      </c>
      <c r="C81" s="15" t="s">
        <v>158</v>
      </c>
      <c r="D81" s="15" t="s">
        <v>170</v>
      </c>
      <c r="E81" s="119">
        <v>3.2</v>
      </c>
      <c r="F81" s="119">
        <v>30.06</v>
      </c>
      <c r="G81" s="120">
        <v>0.96460000000000001</v>
      </c>
      <c r="H81" s="121">
        <v>0.51261900000000005</v>
      </c>
      <c r="I81" s="121">
        <v>9.0000000000000002E-6</v>
      </c>
      <c r="J81" s="113">
        <f t="shared" si="68"/>
        <v>-0.37063190789554668</v>
      </c>
      <c r="K81" s="114">
        <f t="shared" si="69"/>
        <v>0.17556248268824071</v>
      </c>
      <c r="L81" s="117">
        <f t="shared" si="70"/>
        <v>0.512263451415642</v>
      </c>
      <c r="M81" s="114" t="str">
        <f t="shared" si="71"/>
        <v>N/A</v>
      </c>
      <c r="N81" s="90">
        <v>56.35</v>
      </c>
      <c r="O81" s="117">
        <f t="shared" si="74"/>
        <v>0.5125654969867891</v>
      </c>
      <c r="P81" s="113">
        <f t="shared" si="72"/>
        <v>-5.8928190235729705</v>
      </c>
      <c r="Q81" s="114">
        <f t="shared" si="73"/>
        <v>0.17558731621458712</v>
      </c>
      <c r="S81" s="91" t="s">
        <v>160</v>
      </c>
      <c r="T81" s="15" t="s">
        <v>386</v>
      </c>
      <c r="U81" s="17"/>
      <c r="V81" s="91">
        <v>55.4</v>
      </c>
      <c r="W81" s="117">
        <f t="shared" si="75"/>
        <v>0.51226944666584107</v>
      </c>
      <c r="X81" s="117">
        <f t="shared" si="76"/>
        <v>0.51256671953055255</v>
      </c>
      <c r="Y81" s="113">
        <f t="shared" si="77"/>
        <v>-5.799691111115779</v>
      </c>
      <c r="AA81" s="91">
        <v>57.3</v>
      </c>
      <c r="AB81" s="117">
        <f t="shared" si="78"/>
        <v>0.51225745612819429</v>
      </c>
      <c r="AC81" s="117">
        <f t="shared" si="79"/>
        <v>0.51256427443543007</v>
      </c>
      <c r="AD81" s="113">
        <f t="shared" si="80"/>
        <v>-5.9859479588919573</v>
      </c>
    </row>
    <row r="82" spans="1:30">
      <c r="A82" s="143"/>
      <c r="B82" s="15" t="s">
        <v>176</v>
      </c>
      <c r="C82" s="15" t="s">
        <v>158</v>
      </c>
      <c r="D82" s="15" t="s">
        <v>170</v>
      </c>
      <c r="E82" s="119">
        <v>8.93</v>
      </c>
      <c r="F82" s="119">
        <v>44.01</v>
      </c>
      <c r="G82" s="120">
        <v>0.12280000000000001</v>
      </c>
      <c r="H82" s="121">
        <v>0.51256100000000004</v>
      </c>
      <c r="I82" s="121">
        <v>1.1E-5</v>
      </c>
      <c r="J82" s="113">
        <f t="shared" si="68"/>
        <v>-1.5020345741045826</v>
      </c>
      <c r="K82" s="114">
        <f t="shared" si="69"/>
        <v>0.21457636772859168</v>
      </c>
      <c r="L82" s="117">
        <f t="shared" si="70"/>
        <v>0.51251573629881908</v>
      </c>
      <c r="M82" s="114">
        <f t="shared" si="71"/>
        <v>1.0093010371037663</v>
      </c>
      <c r="N82" s="90">
        <v>56.35</v>
      </c>
      <c r="O82" s="117">
        <f t="shared" si="74"/>
        <v>0.5125654969867891</v>
      </c>
      <c r="P82" s="113">
        <f t="shared" si="72"/>
        <v>-0.97081618373739964</v>
      </c>
      <c r="Q82" s="114">
        <f t="shared" si="73"/>
        <v>0.21460671981721191</v>
      </c>
      <c r="S82" s="91" t="s">
        <v>160</v>
      </c>
      <c r="T82" s="15" t="s">
        <v>386</v>
      </c>
      <c r="U82" s="17"/>
      <c r="V82" s="91">
        <v>55.4</v>
      </c>
      <c r="W82" s="117">
        <f t="shared" si="75"/>
        <v>0.51251649953407141</v>
      </c>
      <c r="X82" s="117">
        <f t="shared" si="76"/>
        <v>0.51256671953055255</v>
      </c>
      <c r="Y82" s="113">
        <f t="shared" si="77"/>
        <v>-0.97977481891775575</v>
      </c>
      <c r="AA82" s="91">
        <v>57.3</v>
      </c>
      <c r="AB82" s="117">
        <f t="shared" si="78"/>
        <v>0.51251497305882465</v>
      </c>
      <c r="AC82" s="117">
        <f t="shared" si="79"/>
        <v>0.51256427443543007</v>
      </c>
      <c r="AD82" s="113">
        <f t="shared" si="80"/>
        <v>-0.96185745016463819</v>
      </c>
    </row>
    <row r="83" spans="1:30">
      <c r="A83" s="143"/>
      <c r="B83" s="15" t="s">
        <v>177</v>
      </c>
      <c r="C83" s="15" t="s">
        <v>158</v>
      </c>
      <c r="D83" s="15" t="s">
        <v>170</v>
      </c>
      <c r="E83" s="119">
        <v>6.52</v>
      </c>
      <c r="F83" s="119">
        <v>31.84</v>
      </c>
      <c r="G83" s="120">
        <v>0.1239</v>
      </c>
      <c r="H83" s="121">
        <v>0.51257399999999997</v>
      </c>
      <c r="I83" s="121">
        <v>6.9999999999999999E-6</v>
      </c>
      <c r="J83" s="113">
        <f t="shared" si="68"/>
        <v>-1.24844432133564</v>
      </c>
      <c r="K83" s="114">
        <f t="shared" si="69"/>
        <v>0.13654859764566929</v>
      </c>
      <c r="L83" s="117">
        <f t="shared" si="70"/>
        <v>0.51252833084221228</v>
      </c>
      <c r="M83" s="114">
        <f t="shared" si="71"/>
        <v>0.99963352756332791</v>
      </c>
      <c r="N83" s="90">
        <v>56.35</v>
      </c>
      <c r="O83" s="117">
        <f t="shared" si="74"/>
        <v>0.5125654969867891</v>
      </c>
      <c r="P83" s="113">
        <f t="shared" si="72"/>
        <v>-0.72510039780926405</v>
      </c>
      <c r="Q83" s="114">
        <f t="shared" si="73"/>
        <v>0.1365679126108521</v>
      </c>
      <c r="S83" s="91" t="s">
        <v>160</v>
      </c>
      <c r="T83" s="15" t="s">
        <v>386</v>
      </c>
      <c r="U83" s="17"/>
      <c r="V83" s="91">
        <v>55.4</v>
      </c>
      <c r="W83" s="117">
        <f t="shared" si="75"/>
        <v>0.51252910091426263</v>
      </c>
      <c r="X83" s="117">
        <f t="shared" si="76"/>
        <v>0.51256671953055255</v>
      </c>
      <c r="Y83" s="113">
        <f t="shared" si="77"/>
        <v>-0.73392623548329539</v>
      </c>
      <c r="AA83" s="91">
        <v>57.3</v>
      </c>
      <c r="AB83" s="117">
        <f t="shared" si="78"/>
        <v>0.51252756076537764</v>
      </c>
      <c r="AC83" s="117">
        <f t="shared" si="79"/>
        <v>0.51256427443543007</v>
      </c>
      <c r="AD83" s="113">
        <f t="shared" si="80"/>
        <v>-0.7162744631949991</v>
      </c>
    </row>
    <row r="84" spans="1:30">
      <c r="A84" s="143"/>
      <c r="E84" s="119"/>
      <c r="F84" s="119"/>
      <c r="G84" s="120"/>
      <c r="H84" s="121"/>
      <c r="I84" s="121"/>
      <c r="J84" s="113"/>
      <c r="K84" s="114"/>
      <c r="L84" s="117"/>
      <c r="M84" s="114"/>
      <c r="O84" s="117"/>
      <c r="P84" s="113"/>
      <c r="Q84" s="114"/>
      <c r="U84" s="17"/>
      <c r="V84" s="91"/>
      <c r="W84" s="117"/>
      <c r="X84" s="117"/>
      <c r="AA84" s="91"/>
      <c r="AB84" s="117"/>
      <c r="AC84" s="117"/>
      <c r="AD84" s="113"/>
    </row>
    <row r="85" spans="1:30">
      <c r="A85" s="143"/>
      <c r="D85" s="118" t="s">
        <v>178</v>
      </c>
      <c r="E85" s="119"/>
      <c r="F85" s="119"/>
      <c r="G85" s="120"/>
      <c r="H85" s="121"/>
      <c r="I85" s="121"/>
      <c r="J85" s="113"/>
      <c r="K85" s="114"/>
      <c r="L85" s="117"/>
      <c r="M85" s="114"/>
      <c r="O85" s="117"/>
      <c r="P85" s="113"/>
      <c r="Q85" s="114"/>
      <c r="U85" s="17"/>
      <c r="V85" s="91"/>
      <c r="W85" s="117"/>
      <c r="X85" s="117"/>
      <c r="AA85" s="91"/>
      <c r="AB85" s="117"/>
      <c r="AC85" s="117"/>
      <c r="AD85" s="113"/>
    </row>
    <row r="86" spans="1:30">
      <c r="A86" s="143"/>
      <c r="B86" s="15" t="s">
        <v>179</v>
      </c>
      <c r="C86" s="15" t="s">
        <v>180</v>
      </c>
      <c r="D86" s="15" t="s">
        <v>181</v>
      </c>
      <c r="E86" s="119">
        <v>7.9</v>
      </c>
      <c r="F86" s="119">
        <v>31.66</v>
      </c>
      <c r="G86" s="120">
        <v>0.15079999999999999</v>
      </c>
      <c r="H86" s="121">
        <v>0.51245600000000002</v>
      </c>
      <c r="I86" s="121"/>
      <c r="J86" s="113">
        <f t="shared" ref="J86:J94" si="81">((H86/0.512638)-1)*10000</f>
        <v>-3.5502635387940629</v>
      </c>
      <c r="K86" s="114">
        <f t="shared" ref="K86:K94" si="82">(((H86+I86)/0.512638)-1)*10000-J86</f>
        <v>0</v>
      </c>
      <c r="L86" s="117">
        <f t="shared" ref="L86:L94" si="83">H86-(G86*(EXP(0.00000000000654*N86*1000000)-1))</f>
        <v>0.5116847736224206</v>
      </c>
      <c r="M86" s="114">
        <f>LN((0.513163-H86)/(0.2137-G86)+1)*(1/0.00000000000654)/1000000000</f>
        <v>1.7090769841418632</v>
      </c>
      <c r="N86" s="90">
        <v>780</v>
      </c>
      <c r="O86" s="117">
        <f t="shared" ref="O86:O94" si="84">0.512638-(0.1967*(EXP(0.00000000000654*N86*1000000)-1))</f>
        <v>0.51163203031518656</v>
      </c>
      <c r="P86" s="113">
        <f t="shared" ref="P86:P94" si="85">((L86/O86)-1)*10000</f>
        <v>1.030883605968036</v>
      </c>
      <c r="Q86" s="114"/>
      <c r="S86" s="91">
        <v>780</v>
      </c>
      <c r="T86" s="15" t="s">
        <v>182</v>
      </c>
      <c r="U86" s="17"/>
      <c r="V86" s="91"/>
      <c r="W86" s="117"/>
      <c r="X86" s="117"/>
      <c r="AA86" s="91"/>
      <c r="AB86" s="117"/>
      <c r="AC86" s="117"/>
      <c r="AD86" s="113"/>
    </row>
    <row r="87" spans="1:30">
      <c r="A87" s="143"/>
      <c r="B87" s="15" t="s">
        <v>183</v>
      </c>
      <c r="C87" s="15" t="s">
        <v>180</v>
      </c>
      <c r="D87" s="15" t="s">
        <v>181</v>
      </c>
      <c r="E87" s="119">
        <v>7.75</v>
      </c>
      <c r="F87" s="119">
        <v>31.51</v>
      </c>
      <c r="G87" s="120">
        <v>0.14879999999999999</v>
      </c>
      <c r="H87" s="121">
        <v>0.51241099999999995</v>
      </c>
      <c r="I87" s="121"/>
      <c r="J87" s="113">
        <f t="shared" si="81"/>
        <v>-4.428075952233046</v>
      </c>
      <c r="K87" s="114">
        <f t="shared" si="82"/>
        <v>0</v>
      </c>
      <c r="L87" s="117">
        <f t="shared" si="83"/>
        <v>0.5116500020889666</v>
      </c>
      <c r="M87" s="114">
        <f t="shared" ref="M87:M94" si="86">LN((0.513163-H87)/(0.2137-G87)+1)*(1/0.00000000000654)/1000000000</f>
        <v>1.7615353455116587</v>
      </c>
      <c r="N87" s="90">
        <v>780</v>
      </c>
      <c r="O87" s="117">
        <f t="shared" si="84"/>
        <v>0.51163203031518656</v>
      </c>
      <c r="P87" s="113">
        <f t="shared" si="85"/>
        <v>0.35126365659721159</v>
      </c>
      <c r="Q87" s="114"/>
      <c r="S87" s="91">
        <v>780</v>
      </c>
      <c r="T87" s="15" t="s">
        <v>182</v>
      </c>
      <c r="U87" s="17"/>
      <c r="V87" s="91"/>
      <c r="W87" s="117"/>
      <c r="X87" s="117"/>
      <c r="AA87" s="91"/>
      <c r="AB87" s="117"/>
      <c r="AC87" s="117"/>
      <c r="AD87" s="113"/>
    </row>
    <row r="88" spans="1:30">
      <c r="A88" s="143"/>
      <c r="B88" s="15" t="s">
        <v>184</v>
      </c>
      <c r="C88" s="15" t="s">
        <v>180</v>
      </c>
      <c r="D88" s="15" t="s">
        <v>181</v>
      </c>
      <c r="E88" s="119">
        <v>7.52</v>
      </c>
      <c r="F88" s="119">
        <v>30.27</v>
      </c>
      <c r="G88" s="120">
        <v>0.1502</v>
      </c>
      <c r="H88" s="121">
        <v>0.51255300000000004</v>
      </c>
      <c r="I88" s="121"/>
      <c r="J88" s="113">
        <f t="shared" si="81"/>
        <v>-1.6580901142715376</v>
      </c>
      <c r="K88" s="114">
        <f t="shared" si="82"/>
        <v>0</v>
      </c>
      <c r="L88" s="117">
        <f t="shared" si="83"/>
        <v>0.5117848421623844</v>
      </c>
      <c r="M88" s="114">
        <f t="shared" si="86"/>
        <v>1.4618428288256933</v>
      </c>
      <c r="N88" s="90">
        <v>780</v>
      </c>
      <c r="O88" s="117">
        <f t="shared" si="84"/>
        <v>0.51163203031518656</v>
      </c>
      <c r="P88" s="113">
        <f t="shared" si="85"/>
        <v>2.9867529424154604</v>
      </c>
      <c r="Q88" s="114"/>
      <c r="S88" s="91">
        <v>780</v>
      </c>
      <c r="T88" s="15" t="s">
        <v>182</v>
      </c>
      <c r="U88" s="17"/>
      <c r="V88" s="91"/>
      <c r="W88" s="117"/>
      <c r="X88" s="117"/>
      <c r="AA88" s="91"/>
      <c r="AB88" s="117"/>
      <c r="AC88" s="117"/>
      <c r="AD88" s="113"/>
    </row>
    <row r="89" spans="1:30">
      <c r="A89" s="143"/>
      <c r="B89" s="15" t="s">
        <v>185</v>
      </c>
      <c r="C89" s="15" t="s">
        <v>180</v>
      </c>
      <c r="D89" s="15" t="s">
        <v>181</v>
      </c>
      <c r="E89" s="119">
        <v>5.35</v>
      </c>
      <c r="F89" s="119">
        <v>19.02</v>
      </c>
      <c r="G89" s="120">
        <v>0.1701</v>
      </c>
      <c r="H89" s="121">
        <v>0.51258000000000004</v>
      </c>
      <c r="I89" s="121"/>
      <c r="J89" s="113">
        <f t="shared" si="81"/>
        <v>-1.131402666209036</v>
      </c>
      <c r="K89" s="114">
        <f t="shared" si="82"/>
        <v>0</v>
      </c>
      <c r="L89" s="117">
        <f t="shared" si="83"/>
        <v>0.51171006892025028</v>
      </c>
      <c r="M89" s="114">
        <f t="shared" si="86"/>
        <v>2.0310320123211967</v>
      </c>
      <c r="N89" s="90">
        <v>780</v>
      </c>
      <c r="O89" s="117">
        <f t="shared" si="84"/>
        <v>0.51163203031518656</v>
      </c>
      <c r="P89" s="113">
        <f t="shared" si="85"/>
        <v>1.5252877153848488</v>
      </c>
      <c r="Q89" s="114"/>
      <c r="S89" s="91">
        <v>780</v>
      </c>
      <c r="T89" s="15" t="s">
        <v>182</v>
      </c>
      <c r="U89" s="17"/>
      <c r="V89" s="91"/>
      <c r="W89" s="117"/>
      <c r="X89" s="117"/>
      <c r="AA89" s="91"/>
      <c r="AB89" s="117"/>
      <c r="AC89" s="117"/>
      <c r="AD89" s="113"/>
    </row>
    <row r="90" spans="1:30">
      <c r="A90" s="143"/>
      <c r="B90" s="15" t="s">
        <v>186</v>
      </c>
      <c r="C90" s="15" t="s">
        <v>180</v>
      </c>
      <c r="D90" s="15" t="s">
        <v>181</v>
      </c>
      <c r="E90" s="119">
        <v>6.01</v>
      </c>
      <c r="F90" s="119">
        <v>21.98</v>
      </c>
      <c r="G90" s="120">
        <v>0.16520000000000001</v>
      </c>
      <c r="H90" s="121">
        <v>0.51254999999999995</v>
      </c>
      <c r="I90" s="121"/>
      <c r="J90" s="113">
        <f t="shared" si="81"/>
        <v>-1.7166109418353948</v>
      </c>
      <c r="K90" s="114">
        <f t="shared" si="82"/>
        <v>0</v>
      </c>
      <c r="L90" s="117">
        <f t="shared" si="83"/>
        <v>0.51170512866328821</v>
      </c>
      <c r="M90" s="114">
        <f t="shared" si="86"/>
        <v>1.920484342030353</v>
      </c>
      <c r="N90" s="90">
        <v>780</v>
      </c>
      <c r="O90" s="117">
        <f t="shared" si="84"/>
        <v>0.51163203031518656</v>
      </c>
      <c r="P90" s="113">
        <f t="shared" si="85"/>
        <v>1.428728925680911</v>
      </c>
      <c r="Q90" s="114"/>
      <c r="S90" s="91">
        <v>780</v>
      </c>
      <c r="T90" s="15" t="s">
        <v>182</v>
      </c>
      <c r="U90" s="17"/>
      <c r="V90" s="91"/>
      <c r="W90" s="117"/>
      <c r="X90" s="117"/>
      <c r="AA90" s="91"/>
      <c r="AB90" s="117"/>
      <c r="AC90" s="117"/>
      <c r="AD90" s="113"/>
    </row>
    <row r="91" spans="1:30">
      <c r="A91" s="143"/>
      <c r="B91" s="15" t="s">
        <v>187</v>
      </c>
      <c r="C91" s="15" t="s">
        <v>180</v>
      </c>
      <c r="D91" s="15" t="s">
        <v>181</v>
      </c>
      <c r="E91" s="119">
        <v>4.01</v>
      </c>
      <c r="F91" s="119">
        <v>13.69</v>
      </c>
      <c r="G91" s="120">
        <v>0.1772</v>
      </c>
      <c r="H91" s="121">
        <v>0.51254699999999997</v>
      </c>
      <c r="I91" s="121"/>
      <c r="J91" s="113">
        <f t="shared" si="81"/>
        <v>-1.7751317693981417</v>
      </c>
      <c r="K91" s="114">
        <f t="shared" si="82"/>
        <v>0</v>
      </c>
      <c r="L91" s="117">
        <f t="shared" si="83"/>
        <v>0.51164075786401142</v>
      </c>
      <c r="M91" s="114">
        <f t="shared" si="86"/>
        <v>2.5590035019095803</v>
      </c>
      <c r="N91" s="90">
        <v>780</v>
      </c>
      <c r="O91" s="117">
        <f t="shared" si="84"/>
        <v>0.51163203031518656</v>
      </c>
      <c r="P91" s="113">
        <f t="shared" si="85"/>
        <v>0.17058253408253066</v>
      </c>
      <c r="Q91" s="114"/>
      <c r="S91" s="91">
        <v>780</v>
      </c>
      <c r="T91" s="15" t="s">
        <v>182</v>
      </c>
      <c r="U91" s="17"/>
      <c r="V91" s="91"/>
      <c r="W91" s="117"/>
      <c r="X91" s="117"/>
      <c r="AA91" s="91"/>
      <c r="AB91" s="117"/>
      <c r="AC91" s="117"/>
      <c r="AD91" s="113"/>
    </row>
    <row r="92" spans="1:30">
      <c r="A92" s="143"/>
      <c r="B92" s="15" t="s">
        <v>188</v>
      </c>
      <c r="C92" s="15" t="s">
        <v>180</v>
      </c>
      <c r="D92" s="15" t="s">
        <v>189</v>
      </c>
      <c r="E92" s="119">
        <v>6.6</v>
      </c>
      <c r="F92" s="119">
        <v>24.91</v>
      </c>
      <c r="G92" s="120">
        <v>0.16009999999999999</v>
      </c>
      <c r="H92" s="121">
        <v>0.51252200000000003</v>
      </c>
      <c r="I92" s="121"/>
      <c r="J92" s="113">
        <f t="shared" si="81"/>
        <v>-2.2628053324180719</v>
      </c>
      <c r="K92" s="114">
        <f t="shared" si="82"/>
        <v>0</v>
      </c>
      <c r="L92" s="117">
        <f t="shared" si="83"/>
        <v>0.51170321125298102</v>
      </c>
      <c r="M92" s="114">
        <f t="shared" si="86"/>
        <v>1.817738832355241</v>
      </c>
      <c r="N92" s="90">
        <v>780</v>
      </c>
      <c r="O92" s="117">
        <f t="shared" si="84"/>
        <v>0.51163203031518656</v>
      </c>
      <c r="P92" s="113">
        <f t="shared" si="85"/>
        <v>1.3912525717096891</v>
      </c>
      <c r="Q92" s="114"/>
      <c r="S92" s="91" t="s">
        <v>190</v>
      </c>
      <c r="T92" s="15" t="s">
        <v>182</v>
      </c>
      <c r="U92" s="17"/>
      <c r="V92" s="91">
        <v>778</v>
      </c>
      <c r="W92" s="117">
        <f t="shared" ref="W92:W94" si="87">H92-(G92*(EXP(0.00000000000654*V92*1000000)-1))</f>
        <v>0.51170531605697234</v>
      </c>
      <c r="X92" s="117">
        <f t="shared" ref="X92:X94" si="88">0.512638-(0.1967*(EXP(0.00000000000654*V92*1000000)-1))</f>
        <v>0.51163461629235762</v>
      </c>
      <c r="Y92" s="113">
        <f t="shared" ref="Y92:Y94" si="89">((W92/X92)-1)*10000</f>
        <v>1.3818409146559851</v>
      </c>
      <c r="AA92" s="91">
        <v>780</v>
      </c>
      <c r="AB92" s="117">
        <f t="shared" ref="AB92:AB94" si="90">H92-(G92*(EXP(0.00000000000654*AA92*1000000)-1))</f>
        <v>0.51170321125298102</v>
      </c>
      <c r="AC92" s="117">
        <f t="shared" ref="AC92:AC94" si="91">0.512638-(0.1967*(EXP(0.00000000000654*AA92*1000000)-1))</f>
        <v>0.51163203031518656</v>
      </c>
      <c r="AD92" s="113">
        <f t="shared" ref="AD92:AD94" si="92">((AB92/AC92)-1)*10000</f>
        <v>1.3912525717096891</v>
      </c>
    </row>
    <row r="93" spans="1:30">
      <c r="A93" s="143"/>
      <c r="B93" s="15" t="s">
        <v>191</v>
      </c>
      <c r="C93" s="15" t="s">
        <v>180</v>
      </c>
      <c r="D93" s="15" t="s">
        <v>189</v>
      </c>
      <c r="E93" s="119">
        <v>6.35</v>
      </c>
      <c r="F93" s="119">
        <v>24.16</v>
      </c>
      <c r="G93" s="120">
        <v>0.15890000000000001</v>
      </c>
      <c r="H93" s="121">
        <v>0.51254100000000002</v>
      </c>
      <c r="I93" s="121"/>
      <c r="J93" s="113">
        <f t="shared" si="81"/>
        <v>-1.8921734245225252</v>
      </c>
      <c r="K93" s="114">
        <f t="shared" si="82"/>
        <v>0</v>
      </c>
      <c r="L93" s="117">
        <f t="shared" si="83"/>
        <v>0.5117283483329087</v>
      </c>
      <c r="M93" s="114">
        <f t="shared" si="86"/>
        <v>1.7257542636939369</v>
      </c>
      <c r="N93" s="90">
        <v>780</v>
      </c>
      <c r="O93" s="117">
        <f t="shared" si="84"/>
        <v>0.51163203031518656</v>
      </c>
      <c r="P93" s="113">
        <f t="shared" si="85"/>
        <v>1.8825642652364749</v>
      </c>
      <c r="Q93" s="114"/>
      <c r="S93" s="91" t="s">
        <v>190</v>
      </c>
      <c r="T93" s="15" t="s">
        <v>182</v>
      </c>
      <c r="U93" s="17"/>
      <c r="V93" s="91">
        <v>778</v>
      </c>
      <c r="W93" s="117">
        <f t="shared" si="87"/>
        <v>0.51173043736073021</v>
      </c>
      <c r="X93" s="117">
        <f t="shared" si="88"/>
        <v>0.51163461629235762</v>
      </c>
      <c r="Y93" s="113">
        <f t="shared" si="89"/>
        <v>1.8728417765578875</v>
      </c>
      <c r="AA93" s="91">
        <v>780</v>
      </c>
      <c r="AB93" s="117">
        <f t="shared" si="90"/>
        <v>0.5117283483329087</v>
      </c>
      <c r="AC93" s="117">
        <f t="shared" si="91"/>
        <v>0.51163203031518656</v>
      </c>
      <c r="AD93" s="113">
        <f t="shared" si="92"/>
        <v>1.8825642652364749</v>
      </c>
    </row>
    <row r="94" spans="1:30">
      <c r="A94" s="143"/>
      <c r="B94" s="15">
        <v>47</v>
      </c>
      <c r="C94" s="15" t="s">
        <v>180</v>
      </c>
      <c r="D94" s="15" t="s">
        <v>189</v>
      </c>
      <c r="E94" s="119">
        <v>6.44</v>
      </c>
      <c r="F94" s="119">
        <v>24.3</v>
      </c>
      <c r="G94" s="120">
        <v>0.16020000000000001</v>
      </c>
      <c r="H94" s="121">
        <v>0.51256299999999999</v>
      </c>
      <c r="I94" s="121"/>
      <c r="J94" s="113">
        <f t="shared" si="81"/>
        <v>-1.4630206890642317</v>
      </c>
      <c r="K94" s="114">
        <f t="shared" si="82"/>
        <v>0</v>
      </c>
      <c r="L94" s="117">
        <f t="shared" si="83"/>
        <v>0.51174369982965362</v>
      </c>
      <c r="M94" s="114">
        <f t="shared" si="86"/>
        <v>1.7052801147516463</v>
      </c>
      <c r="N94" s="90">
        <v>780</v>
      </c>
      <c r="O94" s="117">
        <f t="shared" si="84"/>
        <v>0.51163203031518656</v>
      </c>
      <c r="P94" s="113">
        <f t="shared" si="85"/>
        <v>2.1826138288938424</v>
      </c>
      <c r="Q94" s="114"/>
      <c r="S94" s="91" t="s">
        <v>190</v>
      </c>
      <c r="T94" s="15" t="s">
        <v>182</v>
      </c>
      <c r="U94" s="17"/>
      <c r="V94" s="91">
        <v>778</v>
      </c>
      <c r="W94" s="117">
        <f t="shared" si="87"/>
        <v>0.51174580594832586</v>
      </c>
      <c r="X94" s="117">
        <f t="shared" si="88"/>
        <v>0.51163461629235762</v>
      </c>
      <c r="Y94" s="113">
        <f t="shared" si="89"/>
        <v>2.1732238677274474</v>
      </c>
      <c r="AA94" s="91">
        <v>780</v>
      </c>
      <c r="AB94" s="117">
        <f t="shared" si="90"/>
        <v>0.51174369982965362</v>
      </c>
      <c r="AC94" s="117">
        <f t="shared" si="91"/>
        <v>0.51163203031518656</v>
      </c>
      <c r="AD94" s="113">
        <f t="shared" si="92"/>
        <v>2.1826138288938424</v>
      </c>
    </row>
    <row r="95" spans="1:30">
      <c r="A95" s="143"/>
      <c r="E95" s="119"/>
      <c r="F95" s="119"/>
      <c r="G95" s="120"/>
      <c r="H95" s="121"/>
      <c r="I95" s="121"/>
      <c r="J95" s="113"/>
      <c r="K95" s="114"/>
      <c r="L95" s="117"/>
      <c r="M95" s="114"/>
      <c r="O95" s="117"/>
      <c r="P95" s="113"/>
      <c r="Q95" s="114"/>
      <c r="U95" s="17"/>
      <c r="V95" s="91"/>
      <c r="W95" s="117"/>
      <c r="X95" s="117"/>
      <c r="AA95" s="91"/>
      <c r="AB95" s="117"/>
      <c r="AC95" s="117"/>
      <c r="AD95" s="113"/>
    </row>
    <row r="96" spans="1:30">
      <c r="A96" s="143"/>
      <c r="D96" s="118" t="s">
        <v>88</v>
      </c>
      <c r="E96" s="119"/>
      <c r="F96" s="119"/>
      <c r="G96" s="120"/>
      <c r="H96" s="121"/>
      <c r="I96" s="121"/>
      <c r="J96" s="113"/>
      <c r="K96" s="114"/>
      <c r="L96" s="117"/>
      <c r="M96" s="114"/>
      <c r="O96" s="117"/>
      <c r="P96" s="113"/>
      <c r="Q96" s="114"/>
      <c r="U96" s="17"/>
      <c r="V96" s="91"/>
      <c r="W96" s="117"/>
      <c r="X96" s="117"/>
      <c r="AA96" s="91"/>
      <c r="AB96" s="117"/>
      <c r="AC96" s="117"/>
      <c r="AD96" s="113"/>
    </row>
    <row r="97" spans="1:42">
      <c r="A97" s="143"/>
      <c r="B97" s="15" t="s">
        <v>192</v>
      </c>
      <c r="C97" s="15" t="s">
        <v>193</v>
      </c>
      <c r="D97" s="15" t="s">
        <v>104</v>
      </c>
      <c r="E97" s="119">
        <v>12.59</v>
      </c>
      <c r="F97" s="119">
        <v>65.25</v>
      </c>
      <c r="G97" s="120">
        <v>0.1166</v>
      </c>
      <c r="H97" s="121">
        <v>0.51141199999999998</v>
      </c>
      <c r="I97" s="121"/>
      <c r="J97" s="113">
        <f>((H97/0.512638)-1)*10000</f>
        <v>-23.91551153055449</v>
      </c>
      <c r="K97" s="114">
        <f>(((H97+I97)/0.512638)-1)*10000-J97</f>
        <v>0</v>
      </c>
      <c r="L97" s="117">
        <f>H97-(G97*(EXP(0.00000000000654*N97*1000000)-1))</f>
        <v>0.50987839922979483</v>
      </c>
      <c r="M97" s="114">
        <f>IF(G97&gt;0.14,"N/A",LN((0.513163-H97)/(0.2137-G97)+1)*(1/0.00000000000654)/1000000000)</f>
        <v>2.7327661477160681</v>
      </c>
      <c r="N97" s="90">
        <v>1998</v>
      </c>
      <c r="O97" s="117">
        <f>0.512638-(0.1967*(EXP(0.00000000000654*N97*1000000)-1))</f>
        <v>0.51005087074185806</v>
      </c>
      <c r="P97" s="113">
        <f>((L97/O97)-1)*10000</f>
        <v>-3.38145706549553</v>
      </c>
      <c r="Q97" s="114"/>
      <c r="S97" s="91" t="s">
        <v>194</v>
      </c>
      <c r="T97" s="15" t="s">
        <v>93</v>
      </c>
      <c r="U97" s="17"/>
      <c r="V97" s="91">
        <f>1998-5</f>
        <v>1993</v>
      </c>
      <c r="W97" s="117">
        <f>H97-(G97*(EXP(0.00000000000654*V97*1000000)-1))</f>
        <v>0.50988226213538113</v>
      </c>
      <c r="X97" s="117">
        <f>0.512638-(0.1967*(EXP(0.00000000000654*V97*1000000)-1))</f>
        <v>0.51005738732443806</v>
      </c>
      <c r="Y97" s="113">
        <f>((W97/X97)-1)*10000</f>
        <v>-3.4334408913394565</v>
      </c>
      <c r="AA97" s="91">
        <f>1998+5</f>
        <v>2003</v>
      </c>
      <c r="AB97" s="117">
        <f>H97-(G97*(EXP(0.00000000000654*AA97*1000000)-1))</f>
        <v>0.50987453619788947</v>
      </c>
      <c r="AC97" s="117">
        <f>0.512638-(0.1967*(EXP(0.00000000000654*AA97*1000000)-1))</f>
        <v>0.51004435394618231</v>
      </c>
      <c r="AD97" s="113">
        <f>((AB97/AC97)-1)*10000</f>
        <v>-3.3294702113451091</v>
      </c>
    </row>
    <row r="98" spans="1:42">
      <c r="A98" s="143"/>
      <c r="B98" s="15" t="s">
        <v>195</v>
      </c>
      <c r="C98" s="15" t="s">
        <v>193</v>
      </c>
      <c r="D98" s="15" t="s">
        <v>104</v>
      </c>
      <c r="E98" s="119">
        <v>4.07</v>
      </c>
      <c r="F98" s="119">
        <v>20.82</v>
      </c>
      <c r="G98" s="120">
        <v>0.11799999999999999</v>
      </c>
      <c r="H98" s="121">
        <v>0.51136899999999996</v>
      </c>
      <c r="I98" s="121"/>
      <c r="J98" s="113">
        <f>((H98/0.512638)-1)*10000</f>
        <v>-24.7543100589509</v>
      </c>
      <c r="K98" s="114">
        <f>(((H98+I98)/0.512638)-1)*10000-J98</f>
        <v>0</v>
      </c>
      <c r="L98" s="117">
        <f>H98-(G98*(EXP(0.00000000000654*N98*1000000)-1))</f>
        <v>0.50956182391072158</v>
      </c>
      <c r="M98" s="114">
        <f>IF(G98&gt;0.14,"N/A",LN((0.513163-H98)/(0.2137-G98)+1)*(1/0.00000000000654)/1000000000)</f>
        <v>2.8398377966034181</v>
      </c>
      <c r="N98" s="90">
        <v>2324</v>
      </c>
      <c r="O98" s="117">
        <f>0.512638-(0.1967*(EXP(0.00000000000654*N98*1000000)-1))</f>
        <v>0.50962552934948258</v>
      </c>
      <c r="P98" s="113">
        <f>((L98/O98)-1)*10000</f>
        <v>-1.2500441028207021</v>
      </c>
      <c r="Q98" s="114"/>
      <c r="S98" s="91" t="s">
        <v>196</v>
      </c>
      <c r="T98" s="15" t="s">
        <v>93</v>
      </c>
      <c r="U98" s="17"/>
      <c r="V98" s="91">
        <f>2324-5</f>
        <v>2319</v>
      </c>
      <c r="W98" s="117">
        <f>H98-(G98*(EXP(0.00000000000654*V98*1000000)-1))</f>
        <v>0.50956574154132606</v>
      </c>
      <c r="X98" s="117">
        <f>0.512638-(0.1967*(EXP(0.00000000000654*V98*1000000)-1))</f>
        <v>0.50963205984049875</v>
      </c>
      <c r="Y98" s="113">
        <f>((W98/X98)-1)*10000</f>
        <v>-1.3012976301662871</v>
      </c>
      <c r="AA98" s="91">
        <f>2324+5</f>
        <v>2329</v>
      </c>
      <c r="AB98" s="117">
        <f>H98-(G98*(EXP(0.00000000000654*AA98*1000000)-1))</f>
        <v>0.50955790615200847</v>
      </c>
      <c r="AC98" s="117">
        <f>0.512638-(0.1967*(EXP(0.00000000000654*AA98*1000000)-1))</f>
        <v>0.50961899864491589</v>
      </c>
      <c r="AD98" s="113">
        <f>((AB98/AC98)-1)*10000</f>
        <v>-1.1987875858210373</v>
      </c>
    </row>
    <row r="99" spans="1:42">
      <c r="A99" s="143"/>
      <c r="B99" s="15" t="s">
        <v>197</v>
      </c>
      <c r="C99" s="15" t="s">
        <v>193</v>
      </c>
      <c r="D99" s="15" t="s">
        <v>104</v>
      </c>
      <c r="E99" s="119">
        <v>5.65</v>
      </c>
      <c r="F99" s="119">
        <v>30.68</v>
      </c>
      <c r="G99" s="120">
        <v>0.1113</v>
      </c>
      <c r="H99" s="121">
        <v>0.511293</v>
      </c>
      <c r="I99" s="121"/>
      <c r="J99" s="113">
        <f>((H99/0.512638)-1)*10000</f>
        <v>-26.23683769053531</v>
      </c>
      <c r="K99" s="114">
        <f>(((H99+I99)/0.512638)-1)*10000-J99</f>
        <v>0</v>
      </c>
      <c r="L99" s="117">
        <f>H99-(G99*(EXP(0.00000000000654*N99*1000000)-1))</f>
        <v>0.5095825222029442</v>
      </c>
      <c r="M99" s="114">
        <f>IF(G99&gt;0.14,"N/A",LN((0.513163-H99)/(0.2137-G99)+1)*(1/0.00000000000654)/1000000000)</f>
        <v>2.7671217425221113</v>
      </c>
      <c r="N99" s="90">
        <v>2332</v>
      </c>
      <c r="O99" s="117">
        <f>0.512638-(0.1967*(EXP(0.00000000000654*N99*1000000)-1))</f>
        <v>0.50961508011966872</v>
      </c>
      <c r="P99" s="113">
        <f>((L99/O99)-1)*10000</f>
        <v>-0.6388727099060354</v>
      </c>
      <c r="Q99" s="114"/>
      <c r="S99" s="91" t="s">
        <v>198</v>
      </c>
      <c r="T99" s="15" t="s">
        <v>93</v>
      </c>
      <c r="U99" s="17"/>
      <c r="V99" s="91">
        <f>2332-202</f>
        <v>2130</v>
      </c>
      <c r="W99" s="117">
        <f>H99-(G99*(EXP(0.00000000000654*V99*1000000)-1))</f>
        <v>0.50973171951246254</v>
      </c>
      <c r="X99" s="117">
        <f>0.512638-(0.1967*(EXP(0.00000000000654*V99*1000000)-1))</f>
        <v>0.50987875586793707</v>
      </c>
      <c r="Y99" s="113">
        <f>((W99/X99)-1)*10000</f>
        <v>-2.8837513581880803</v>
      </c>
      <c r="AA99" s="91">
        <f>2332+202</f>
        <v>2534</v>
      </c>
      <c r="AB99" s="117">
        <f>H99-(G99*(EXP(0.00000000000654*AA99*1000000)-1))</f>
        <v>0.50943312766159332</v>
      </c>
      <c r="AC99" s="117">
        <f>0.512638-(0.1967*(EXP(0.00000000000654*AA99*1000000)-1))</f>
        <v>0.50935105580445106</v>
      </c>
      <c r="AD99" s="113">
        <f>((AB99/AC99)-1)*10000</f>
        <v>1.6113023857911024</v>
      </c>
    </row>
    <row r="100" spans="1:42">
      <c r="J100" s="113"/>
      <c r="K100" s="114"/>
      <c r="L100" s="115"/>
      <c r="M100" s="116"/>
      <c r="O100" s="117"/>
      <c r="P100" s="113"/>
      <c r="Q100" s="114"/>
      <c r="U100" s="17"/>
      <c r="AA100" s="91"/>
      <c r="AC100" s="117"/>
      <c r="AD100" s="113"/>
    </row>
    <row r="101" spans="1:42" s="51" customFormat="1" ht="15.75">
      <c r="A101" s="145" t="s">
        <v>385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7"/>
      <c r="V101" s="145" t="s">
        <v>385</v>
      </c>
      <c r="W101" s="145"/>
      <c r="X101" s="145"/>
      <c r="Y101" s="145"/>
      <c r="Z101" s="145"/>
      <c r="AA101" s="145"/>
      <c r="AB101" s="145"/>
      <c r="AC101" s="145"/>
      <c r="AD101" s="145"/>
      <c r="AE101" s="15"/>
    </row>
    <row r="102" spans="1:42"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7"/>
      <c r="V102" s="19"/>
      <c r="W102" s="19"/>
      <c r="X102" s="19"/>
      <c r="Y102" s="19"/>
      <c r="Z102" s="19"/>
      <c r="AA102" s="19"/>
      <c r="AB102" s="19"/>
      <c r="AC102" s="19"/>
      <c r="AD102" s="19"/>
    </row>
    <row r="103" spans="1:42">
      <c r="A103" s="143" t="s">
        <v>314</v>
      </c>
      <c r="D103" s="125" t="s">
        <v>199</v>
      </c>
      <c r="J103" s="113"/>
      <c r="K103" s="114"/>
      <c r="L103" s="115"/>
      <c r="M103" s="116"/>
      <c r="O103" s="117"/>
      <c r="P103" s="113"/>
      <c r="Q103" s="114"/>
      <c r="U103" s="17"/>
      <c r="AC103" s="117"/>
      <c r="AD103" s="113"/>
      <c r="AK103" s="35"/>
      <c r="AP103" s="35"/>
    </row>
    <row r="104" spans="1:42">
      <c r="A104" s="143"/>
      <c r="B104" s="15" t="s">
        <v>200</v>
      </c>
      <c r="C104" s="15" t="s">
        <v>201</v>
      </c>
      <c r="D104" s="15" t="s">
        <v>202</v>
      </c>
      <c r="E104" s="119">
        <v>4.6900000000000004</v>
      </c>
      <c r="F104" s="119">
        <v>21.2</v>
      </c>
      <c r="G104" s="120">
        <v>0.1338</v>
      </c>
      <c r="H104" s="121">
        <v>0.51190800000000003</v>
      </c>
      <c r="I104" s="121">
        <v>5.0000000000000004E-6</v>
      </c>
      <c r="J104" s="113">
        <f t="shared" ref="J104:J132" si="93">((H104/0.512638)-1)*10000</f>
        <v>-14.240068040215492</v>
      </c>
      <c r="K104" s="114">
        <f t="shared" ref="K104:K132" si="94">(((H104+I104)/0.512638)-1)*10000-J104</f>
        <v>9.7534712604208096E-2</v>
      </c>
      <c r="L104" s="117">
        <f t="shared" ref="L104:L132" si="95">H104-(G104*(EXP(0.00000000000654*N104*1000000)-1))</f>
        <v>0.51143902721400158</v>
      </c>
      <c r="M104" s="114">
        <f t="shared" ref="M104:M132" si="96">IF(G104&gt;0.14,"N/A",LN((0.513163-H104)/(0.2137-G104)+1)*(1/0.00000000000654)/1000000000)</f>
        <v>2.3830357163310403</v>
      </c>
      <c r="N104" s="90">
        <v>535</v>
      </c>
      <c r="O104" s="117">
        <f t="shared" ref="O104:O132" si="97">0.512638-(0.1967*(EXP(0.00000000000654*N104*1000000)-1))</f>
        <v>0.51194856093418628</v>
      </c>
      <c r="P104" s="113">
        <f t="shared" ref="P104:P132" si="98">((L104/O104)-1)*10000</f>
        <v>-9.9528304026275105</v>
      </c>
      <c r="Q104" s="114">
        <f t="shared" ref="Q104:Q132" si="99">(((L104+I104)/O104)-1)*10000-P104</f>
        <v>9.766606220984464E-2</v>
      </c>
      <c r="S104" s="91">
        <v>535</v>
      </c>
      <c r="T104" s="15" t="s">
        <v>203</v>
      </c>
      <c r="U104" s="17"/>
      <c r="AC104" s="117"/>
      <c r="AD104" s="113"/>
      <c r="AK104" s="35"/>
      <c r="AP104" s="35"/>
    </row>
    <row r="105" spans="1:42">
      <c r="A105" s="143"/>
      <c r="B105" s="15" t="s">
        <v>204</v>
      </c>
      <c r="C105" s="15" t="s">
        <v>205</v>
      </c>
      <c r="D105" s="15" t="s">
        <v>202</v>
      </c>
      <c r="E105" s="119">
        <v>4.67</v>
      </c>
      <c r="F105" s="119">
        <v>28.1</v>
      </c>
      <c r="G105" s="120">
        <v>0.1004</v>
      </c>
      <c r="H105" s="121">
        <v>0.51159500000000002</v>
      </c>
      <c r="I105" s="121">
        <v>5.0000000000000004E-6</v>
      </c>
      <c r="J105" s="113">
        <f t="shared" si="93"/>
        <v>-20.345741049240253</v>
      </c>
      <c r="K105" s="114">
        <f t="shared" si="94"/>
        <v>9.7534712605320095E-2</v>
      </c>
      <c r="L105" s="117">
        <f t="shared" si="95"/>
        <v>0.51124309515908639</v>
      </c>
      <c r="M105" s="114">
        <f t="shared" si="96"/>
        <v>2.101601679731949</v>
      </c>
      <c r="N105" s="90">
        <v>535</v>
      </c>
      <c r="O105" s="117">
        <f t="shared" si="97"/>
        <v>0.51194856093418628</v>
      </c>
      <c r="P105" s="113">
        <f t="shared" si="98"/>
        <v>-13.78001285544328</v>
      </c>
      <c r="Q105" s="114">
        <f t="shared" si="99"/>
        <v>9.766606220984464E-2</v>
      </c>
      <c r="S105" s="91">
        <v>535</v>
      </c>
      <c r="T105" s="15" t="s">
        <v>203</v>
      </c>
      <c r="U105" s="17"/>
      <c r="AC105" s="117"/>
      <c r="AD105" s="113"/>
      <c r="AK105" s="35"/>
      <c r="AP105" s="35"/>
    </row>
    <row r="106" spans="1:42">
      <c r="A106" s="143"/>
      <c r="B106" s="15" t="s">
        <v>206</v>
      </c>
      <c r="C106" s="15" t="s">
        <v>207</v>
      </c>
      <c r="D106" s="15" t="s">
        <v>208</v>
      </c>
      <c r="E106" s="119">
        <v>1.66</v>
      </c>
      <c r="F106" s="119">
        <v>8.33</v>
      </c>
      <c r="G106" s="120">
        <v>0.1207</v>
      </c>
      <c r="H106" s="121">
        <v>0.51212999999999997</v>
      </c>
      <c r="I106" s="121">
        <v>6.9999999999999999E-6</v>
      </c>
      <c r="J106" s="113">
        <f t="shared" si="93"/>
        <v>-9.909526800589985</v>
      </c>
      <c r="K106" s="114">
        <f t="shared" si="94"/>
        <v>0.13654859764566929</v>
      </c>
      <c r="L106" s="117">
        <f t="shared" si="95"/>
        <v>0.51173466497951459</v>
      </c>
      <c r="M106" s="114">
        <f t="shared" si="96"/>
        <v>1.6890353727902399</v>
      </c>
      <c r="N106" s="90">
        <v>500</v>
      </c>
      <c r="O106" s="117">
        <f t="shared" si="97"/>
        <v>0.51199373820605243</v>
      </c>
      <c r="P106" s="113">
        <f t="shared" si="98"/>
        <v>-5.0600858410021488</v>
      </c>
      <c r="Q106" s="114">
        <f t="shared" si="99"/>
        <v>0.13672042209922353</v>
      </c>
      <c r="S106" s="91">
        <v>500</v>
      </c>
      <c r="T106" s="15" t="s">
        <v>203</v>
      </c>
      <c r="U106" s="17"/>
      <c r="AC106" s="117"/>
      <c r="AD106" s="113"/>
      <c r="AK106" s="35"/>
      <c r="AP106" s="35"/>
    </row>
    <row r="107" spans="1:42">
      <c r="A107" s="143"/>
      <c r="B107" s="15" t="s">
        <v>209</v>
      </c>
      <c r="C107" s="15" t="s">
        <v>207</v>
      </c>
      <c r="D107" s="15" t="s">
        <v>208</v>
      </c>
      <c r="E107" s="119">
        <v>1.99</v>
      </c>
      <c r="F107" s="119">
        <v>10.3</v>
      </c>
      <c r="G107" s="120">
        <v>0.1171</v>
      </c>
      <c r="H107" s="121">
        <v>0.51200599999999996</v>
      </c>
      <c r="I107" s="121">
        <v>6.9999999999999999E-6</v>
      </c>
      <c r="J107" s="113">
        <f t="shared" si="93"/>
        <v>-12.328387673173902</v>
      </c>
      <c r="K107" s="114">
        <f t="shared" si="94"/>
        <v>0.13654859764455907</v>
      </c>
      <c r="L107" s="117">
        <f t="shared" si="95"/>
        <v>0.51163013942025015</v>
      </c>
      <c r="M107" s="114">
        <f t="shared" si="96"/>
        <v>1.8204994397915963</v>
      </c>
      <c r="N107" s="90">
        <v>490</v>
      </c>
      <c r="O107" s="117">
        <f t="shared" si="97"/>
        <v>0.51200664409874641</v>
      </c>
      <c r="P107" s="113">
        <f t="shared" si="98"/>
        <v>-7.3535115771594661</v>
      </c>
      <c r="Q107" s="114">
        <f t="shared" si="99"/>
        <v>0.13671697585704301</v>
      </c>
      <c r="S107" s="91">
        <v>490</v>
      </c>
      <c r="T107" s="15" t="s">
        <v>203</v>
      </c>
      <c r="U107" s="17"/>
      <c r="AC107" s="117"/>
      <c r="AD107" s="113"/>
      <c r="AK107" s="35"/>
      <c r="AP107" s="35"/>
    </row>
    <row r="108" spans="1:42">
      <c r="A108" s="143"/>
      <c r="B108" s="15" t="s">
        <v>210</v>
      </c>
      <c r="C108" s="15" t="s">
        <v>207</v>
      </c>
      <c r="D108" s="15" t="s">
        <v>208</v>
      </c>
      <c r="E108" s="119">
        <v>1.76</v>
      </c>
      <c r="F108" s="119">
        <v>8.8000000000000007</v>
      </c>
      <c r="G108" s="120">
        <v>0.1211</v>
      </c>
      <c r="H108" s="121">
        <v>0.51185400000000003</v>
      </c>
      <c r="I108" s="121">
        <v>5.0000000000000004E-6</v>
      </c>
      <c r="J108" s="113">
        <f t="shared" si="93"/>
        <v>-15.293442936341606</v>
      </c>
      <c r="K108" s="114">
        <f t="shared" si="94"/>
        <v>9.7534712605318319E-2</v>
      </c>
      <c r="L108" s="117">
        <f t="shared" si="95"/>
        <v>0.51147483451838915</v>
      </c>
      <c r="M108" s="114">
        <f t="shared" si="96"/>
        <v>2.1463435190297888</v>
      </c>
      <c r="N108" s="90">
        <v>478</v>
      </c>
      <c r="O108" s="117">
        <f t="shared" si="97"/>
        <v>0.51202213005588071</v>
      </c>
      <c r="P108" s="113">
        <f t="shared" si="98"/>
        <v>-10.688903962643437</v>
      </c>
      <c r="Q108" s="114">
        <f t="shared" si="99"/>
        <v>9.7652029209527313E-2</v>
      </c>
      <c r="S108" s="91">
        <v>478</v>
      </c>
      <c r="T108" s="15" t="s">
        <v>203</v>
      </c>
      <c r="U108" s="17"/>
      <c r="AC108" s="117"/>
      <c r="AD108" s="113"/>
      <c r="AK108" s="35"/>
      <c r="AP108" s="35"/>
    </row>
    <row r="109" spans="1:42">
      <c r="A109" s="143"/>
      <c r="B109" s="15" t="s">
        <v>211</v>
      </c>
      <c r="C109" s="15" t="s">
        <v>207</v>
      </c>
      <c r="D109" s="15" t="s">
        <v>208</v>
      </c>
      <c r="E109" s="119">
        <v>3.92</v>
      </c>
      <c r="F109" s="119">
        <v>21.7</v>
      </c>
      <c r="G109" s="120">
        <v>0.1094</v>
      </c>
      <c r="H109" s="121">
        <v>0.51195100000000004</v>
      </c>
      <c r="I109" s="121">
        <v>6.9999999999999999E-6</v>
      </c>
      <c r="J109" s="113">
        <f t="shared" si="93"/>
        <v>-13.401269511819081</v>
      </c>
      <c r="K109" s="114">
        <f t="shared" si="94"/>
        <v>0.13654859764566929</v>
      </c>
      <c r="L109" s="117">
        <f t="shared" si="95"/>
        <v>0.51163573717739752</v>
      </c>
      <c r="M109" s="114">
        <f t="shared" si="96"/>
        <v>1.7665639934031974</v>
      </c>
      <c r="N109" s="90">
        <v>440</v>
      </c>
      <c r="O109" s="117">
        <f t="shared" si="97"/>
        <v>0.51207116090305371</v>
      </c>
      <c r="P109" s="113">
        <f t="shared" si="98"/>
        <v>-8.5031878164809616</v>
      </c>
      <c r="Q109" s="114">
        <f t="shared" si="99"/>
        <v>0.13669975062913231</v>
      </c>
      <c r="S109" s="91">
        <v>440</v>
      </c>
      <c r="T109" s="15" t="s">
        <v>203</v>
      </c>
      <c r="U109" s="17"/>
      <c r="AC109" s="117"/>
      <c r="AD109" s="113"/>
      <c r="AK109" s="35"/>
      <c r="AP109" s="35"/>
    </row>
    <row r="110" spans="1:42">
      <c r="A110" s="143"/>
      <c r="B110" s="15" t="s">
        <v>212</v>
      </c>
      <c r="C110" s="15" t="s">
        <v>207</v>
      </c>
      <c r="D110" s="15" t="s">
        <v>208</v>
      </c>
      <c r="E110" s="119">
        <v>2.91</v>
      </c>
      <c r="F110" s="119">
        <v>16.8</v>
      </c>
      <c r="G110" s="120">
        <v>0.1046</v>
      </c>
      <c r="H110" s="121">
        <v>0.51190400000000003</v>
      </c>
      <c r="I110" s="121">
        <v>6.0000000000000002E-6</v>
      </c>
      <c r="J110" s="113">
        <f t="shared" si="93"/>
        <v>-14.318095810299525</v>
      </c>
      <c r="K110" s="114">
        <f t="shared" si="94"/>
        <v>0.11704165512438358</v>
      </c>
      <c r="L110" s="117">
        <f t="shared" si="95"/>
        <v>0.51161834763633862</v>
      </c>
      <c r="M110" s="114">
        <f t="shared" si="96"/>
        <v>1.7544029380625787</v>
      </c>
      <c r="N110" s="90">
        <v>417</v>
      </c>
      <c r="O110" s="117">
        <f t="shared" si="97"/>
        <v>0.51210083154940544</v>
      </c>
      <c r="P110" s="113">
        <f t="shared" si="98"/>
        <v>-9.4216584575157469</v>
      </c>
      <c r="Q110" s="114">
        <f t="shared" si="99"/>
        <v>0.11716442603337818</v>
      </c>
      <c r="S110" s="91">
        <v>417</v>
      </c>
      <c r="T110" s="15" t="s">
        <v>203</v>
      </c>
      <c r="U110" s="17"/>
      <c r="AC110" s="117"/>
      <c r="AD110" s="113"/>
      <c r="AK110" s="35"/>
      <c r="AP110" s="35"/>
    </row>
    <row r="111" spans="1:42">
      <c r="A111" s="143"/>
      <c r="B111" s="15" t="s">
        <v>213</v>
      </c>
      <c r="C111" s="15" t="s">
        <v>207</v>
      </c>
      <c r="D111" s="15" t="s">
        <v>208</v>
      </c>
      <c r="E111" s="119">
        <v>2.08</v>
      </c>
      <c r="F111" s="119">
        <v>9.57</v>
      </c>
      <c r="G111" s="120">
        <v>0.13170000000000001</v>
      </c>
      <c r="H111" s="121">
        <v>0.51210299999999997</v>
      </c>
      <c r="I111" s="121">
        <v>9.0000000000000002E-6</v>
      </c>
      <c r="J111" s="113">
        <f t="shared" si="93"/>
        <v>-10.436214248652487</v>
      </c>
      <c r="K111" s="114">
        <f t="shared" si="94"/>
        <v>0.17556248268824071</v>
      </c>
      <c r="L111" s="117">
        <f t="shared" si="95"/>
        <v>0.5117493857412343</v>
      </c>
      <c r="M111" s="114">
        <f t="shared" si="96"/>
        <v>1.9639129875160606</v>
      </c>
      <c r="N111" s="90">
        <v>410</v>
      </c>
      <c r="O111" s="117">
        <f t="shared" si="97"/>
        <v>0.51210986086029464</v>
      </c>
      <c r="P111" s="113">
        <f t="shared" si="98"/>
        <v>-7.0390192927505257</v>
      </c>
      <c r="Q111" s="114">
        <f t="shared" si="99"/>
        <v>0.17574354035931883</v>
      </c>
      <c r="S111" s="91">
        <v>410</v>
      </c>
      <c r="T111" s="15" t="s">
        <v>203</v>
      </c>
      <c r="U111" s="17"/>
      <c r="AC111" s="117"/>
      <c r="AD111" s="113"/>
      <c r="AK111" s="35"/>
      <c r="AP111" s="35"/>
    </row>
    <row r="112" spans="1:42">
      <c r="A112" s="143"/>
      <c r="B112" s="15" t="s">
        <v>214</v>
      </c>
      <c r="C112" s="15" t="s">
        <v>207</v>
      </c>
      <c r="D112" s="15" t="s">
        <v>215</v>
      </c>
      <c r="E112" s="119">
        <v>5.31</v>
      </c>
      <c r="F112" s="119">
        <v>32.200000000000003</v>
      </c>
      <c r="G112" s="120">
        <v>9.9599999999999994E-2</v>
      </c>
      <c r="H112" s="121">
        <v>0.5121</v>
      </c>
      <c r="I112" s="121">
        <v>6.0000000000000002E-6</v>
      </c>
      <c r="J112" s="113">
        <f t="shared" si="93"/>
        <v>-10.494735076214123</v>
      </c>
      <c r="K112" s="114">
        <f t="shared" si="94"/>
        <v>0.11704165512438358</v>
      </c>
      <c r="L112" s="117">
        <f t="shared" si="95"/>
        <v>0.51184563598747324</v>
      </c>
      <c r="M112" s="114">
        <f t="shared" si="96"/>
        <v>1.41792954872851</v>
      </c>
      <c r="N112" s="90">
        <v>390</v>
      </c>
      <c r="O112" s="117">
        <f t="shared" si="97"/>
        <v>0.51213565661381499</v>
      </c>
      <c r="P112" s="113">
        <f t="shared" si="98"/>
        <v>-5.6629649311934482</v>
      </c>
      <c r="Q112" s="114">
        <f t="shared" si="99"/>
        <v>0.11715645888865645</v>
      </c>
      <c r="S112" s="91">
        <v>390</v>
      </c>
      <c r="T112" s="15" t="s">
        <v>203</v>
      </c>
      <c r="U112" s="17"/>
      <c r="AC112" s="117"/>
      <c r="AD112" s="113"/>
      <c r="AK112" s="35"/>
      <c r="AP112" s="35"/>
    </row>
    <row r="113" spans="1:42">
      <c r="A113" s="143"/>
      <c r="B113" s="15" t="s">
        <v>216</v>
      </c>
      <c r="C113" s="15" t="s">
        <v>207</v>
      </c>
      <c r="D113" s="15" t="s">
        <v>217</v>
      </c>
      <c r="E113" s="119">
        <v>1.61</v>
      </c>
      <c r="F113" s="119">
        <v>6.82</v>
      </c>
      <c r="G113" s="120">
        <v>0.14299999999999999</v>
      </c>
      <c r="H113" s="121">
        <v>0.51224499999999995</v>
      </c>
      <c r="I113" s="121">
        <v>6.0000000000000002E-6</v>
      </c>
      <c r="J113" s="113">
        <f t="shared" si="93"/>
        <v>-7.6662284106931988</v>
      </c>
      <c r="K113" s="114">
        <f t="shared" si="94"/>
        <v>0.11704165512438358</v>
      </c>
      <c r="L113" s="117">
        <f t="shared" si="95"/>
        <v>0.51189198704799577</v>
      </c>
      <c r="M113" s="114" t="str">
        <f>IF(G113&gt;0.14,"N/A",LN((0.513163-H113)/(0.2137-G113)+1)*(1/0.00000000000654)/1000000000)</f>
        <v>N/A</v>
      </c>
      <c r="N113" s="90">
        <v>377</v>
      </c>
      <c r="O113" s="117">
        <f t="shared" si="97"/>
        <v>0.51215242204434119</v>
      </c>
      <c r="P113" s="113">
        <f t="shared" si="98"/>
        <v>-5.0851071894941757</v>
      </c>
      <c r="Q113" s="114">
        <f t="shared" si="99"/>
        <v>0.11715262374534241</v>
      </c>
      <c r="S113" s="91">
        <v>377</v>
      </c>
      <c r="T113" s="15" t="s">
        <v>203</v>
      </c>
      <c r="U113" s="17"/>
      <c r="AC113" s="117"/>
      <c r="AD113" s="113"/>
      <c r="AK113" s="35"/>
      <c r="AP113" s="35"/>
    </row>
    <row r="114" spans="1:42">
      <c r="A114" s="143"/>
      <c r="B114" s="15" t="s">
        <v>218</v>
      </c>
      <c r="C114" s="15" t="s">
        <v>207</v>
      </c>
      <c r="D114" s="15" t="s">
        <v>217</v>
      </c>
      <c r="E114" s="119">
        <v>0.88</v>
      </c>
      <c r="F114" s="119">
        <v>4.8499999999999996</v>
      </c>
      <c r="G114" s="120">
        <v>0.10979999999999999</v>
      </c>
      <c r="H114" s="121">
        <v>0.51216300000000003</v>
      </c>
      <c r="I114" s="121">
        <v>6.9999999999999999E-6</v>
      </c>
      <c r="J114" s="113">
        <f t="shared" si="93"/>
        <v>-9.2657976974008793</v>
      </c>
      <c r="K114" s="114">
        <f t="shared" si="94"/>
        <v>0.13654859764566929</v>
      </c>
      <c r="L114" s="117">
        <f t="shared" si="95"/>
        <v>0.51189194529978987</v>
      </c>
      <c r="M114" s="114">
        <f t="shared" si="96"/>
        <v>1.4646203818149461</v>
      </c>
      <c r="N114" s="90">
        <v>377</v>
      </c>
      <c r="O114" s="117">
        <f t="shared" si="97"/>
        <v>0.51215242204434119</v>
      </c>
      <c r="P114" s="113">
        <f t="shared" si="98"/>
        <v>-5.0859223414700949</v>
      </c>
      <c r="Q114" s="114">
        <f t="shared" si="99"/>
        <v>0.1366780610356777</v>
      </c>
      <c r="S114" s="91">
        <v>377</v>
      </c>
      <c r="T114" s="15" t="s">
        <v>203</v>
      </c>
      <c r="U114" s="17"/>
      <c r="AC114" s="117"/>
      <c r="AD114" s="113"/>
      <c r="AK114" s="35"/>
      <c r="AP114" s="35"/>
    </row>
    <row r="115" spans="1:42">
      <c r="A115" s="143"/>
      <c r="B115" s="15" t="s">
        <v>219</v>
      </c>
      <c r="C115" s="15" t="s">
        <v>201</v>
      </c>
      <c r="D115" s="15" t="s">
        <v>220</v>
      </c>
      <c r="E115" s="119">
        <v>5.12</v>
      </c>
      <c r="F115" s="119">
        <v>25.5</v>
      </c>
      <c r="G115" s="120">
        <v>0.1216</v>
      </c>
      <c r="H115" s="121">
        <v>0.51210599999999995</v>
      </c>
      <c r="I115" s="121">
        <v>6.0000000000000002E-6</v>
      </c>
      <c r="J115" s="113">
        <f t="shared" si="93"/>
        <v>-10.37769342108974</v>
      </c>
      <c r="K115" s="114">
        <f t="shared" si="94"/>
        <v>0.11704165512327336</v>
      </c>
      <c r="L115" s="117">
        <f t="shared" si="95"/>
        <v>0.51180900442680877</v>
      </c>
      <c r="M115" s="114">
        <f t="shared" si="96"/>
        <v>1.7448468768006815</v>
      </c>
      <c r="N115" s="90">
        <v>373</v>
      </c>
      <c r="O115" s="117">
        <f t="shared" si="97"/>
        <v>0.51215758035158954</v>
      </c>
      <c r="P115" s="113">
        <f t="shared" si="98"/>
        <v>-6.8060288113180878</v>
      </c>
      <c r="Q115" s="114">
        <f t="shared" si="99"/>
        <v>0.11715144381585496</v>
      </c>
      <c r="S115" s="91">
        <v>373</v>
      </c>
      <c r="T115" s="15" t="s">
        <v>203</v>
      </c>
      <c r="U115" s="17"/>
      <c r="AC115" s="117"/>
      <c r="AD115" s="113"/>
      <c r="AK115" s="35"/>
      <c r="AP115" s="35"/>
    </row>
    <row r="116" spans="1:42">
      <c r="A116" s="143"/>
      <c r="B116" s="15" t="s">
        <v>221</v>
      </c>
      <c r="C116" s="15" t="s">
        <v>207</v>
      </c>
      <c r="D116" s="15" t="s">
        <v>220</v>
      </c>
      <c r="E116" s="119">
        <v>6.76</v>
      </c>
      <c r="F116" s="119">
        <v>36.5</v>
      </c>
      <c r="G116" s="120">
        <v>0.1119</v>
      </c>
      <c r="H116" s="121">
        <v>0.51205800000000001</v>
      </c>
      <c r="I116" s="121">
        <v>6.9999999999999999E-6</v>
      </c>
      <c r="J116" s="113">
        <f t="shared" si="93"/>
        <v>-11.314026662089249</v>
      </c>
      <c r="K116" s="114">
        <f t="shared" si="94"/>
        <v>0.13654859764566929</v>
      </c>
      <c r="L116" s="117">
        <f t="shared" si="95"/>
        <v>0.51178469568552554</v>
      </c>
      <c r="M116" s="114">
        <f t="shared" si="96"/>
        <v>1.6507841602448583</v>
      </c>
      <c r="N116" s="90">
        <v>373</v>
      </c>
      <c r="O116" s="117">
        <f t="shared" si="97"/>
        <v>0.51215758035158954</v>
      </c>
      <c r="P116" s="113">
        <f t="shared" si="98"/>
        <v>-7.2806628344346258</v>
      </c>
      <c r="Q116" s="114">
        <f t="shared" si="99"/>
        <v>0.1366766844523859</v>
      </c>
      <c r="S116" s="91">
        <v>373</v>
      </c>
      <c r="T116" s="15" t="s">
        <v>203</v>
      </c>
      <c r="U116" s="17"/>
      <c r="AC116" s="117"/>
      <c r="AD116" s="113"/>
      <c r="AK116" s="35"/>
      <c r="AP116" s="35"/>
    </row>
    <row r="117" spans="1:42">
      <c r="A117" s="143"/>
      <c r="B117" s="15" t="s">
        <v>222</v>
      </c>
      <c r="C117" s="15" t="s">
        <v>201</v>
      </c>
      <c r="D117" s="15" t="s">
        <v>220</v>
      </c>
      <c r="E117" s="119">
        <v>1.86</v>
      </c>
      <c r="F117" s="119">
        <v>9.57</v>
      </c>
      <c r="G117" s="120">
        <v>0.1173</v>
      </c>
      <c r="H117" s="121">
        <v>0.51186299999999996</v>
      </c>
      <c r="I117" s="121">
        <v>6.9999999999999999E-6</v>
      </c>
      <c r="J117" s="113">
        <f t="shared" si="93"/>
        <v>-15.117880453655586</v>
      </c>
      <c r="K117" s="114">
        <f t="shared" si="94"/>
        <v>0.13654859764566929</v>
      </c>
      <c r="L117" s="117">
        <f t="shared" si="95"/>
        <v>0.51157881376173975</v>
      </c>
      <c r="M117" s="114">
        <f t="shared" si="96"/>
        <v>2.0482197908620727</v>
      </c>
      <c r="N117" s="90">
        <v>370</v>
      </c>
      <c r="O117" s="117">
        <f t="shared" si="97"/>
        <v>0.5121614489934716</v>
      </c>
      <c r="P117" s="113">
        <f t="shared" si="98"/>
        <v>-11.376007172677616</v>
      </c>
      <c r="Q117" s="114">
        <f t="shared" si="99"/>
        <v>0.13667565205710552</v>
      </c>
      <c r="S117" s="91">
        <v>370</v>
      </c>
      <c r="T117" s="15" t="s">
        <v>203</v>
      </c>
      <c r="U117" s="17"/>
      <c r="AC117" s="117"/>
      <c r="AD117" s="113"/>
      <c r="AK117" s="35"/>
      <c r="AP117" s="35"/>
    </row>
    <row r="118" spans="1:42">
      <c r="A118" s="143"/>
      <c r="B118" s="15" t="s">
        <v>223</v>
      </c>
      <c r="C118" s="15" t="s">
        <v>201</v>
      </c>
      <c r="D118" s="15" t="s">
        <v>220</v>
      </c>
      <c r="E118" s="119">
        <v>4.42</v>
      </c>
      <c r="F118" s="119">
        <v>22.1</v>
      </c>
      <c r="G118" s="120">
        <v>0.1208</v>
      </c>
      <c r="H118" s="121">
        <v>0.51215200000000005</v>
      </c>
      <c r="I118" s="121">
        <v>9.0000000000000002E-6</v>
      </c>
      <c r="J118" s="113">
        <f t="shared" si="93"/>
        <v>-9.480374065129471</v>
      </c>
      <c r="K118" s="114">
        <f t="shared" si="94"/>
        <v>0.17556248268824071</v>
      </c>
      <c r="L118" s="117">
        <f t="shared" si="95"/>
        <v>0.51186012614990817</v>
      </c>
      <c r="M118" s="114">
        <f t="shared" si="96"/>
        <v>1.6550274362802053</v>
      </c>
      <c r="N118" s="90">
        <v>369</v>
      </c>
      <c r="O118" s="117">
        <f t="shared" si="97"/>
        <v>0.51216273852389838</v>
      </c>
      <c r="P118" s="113">
        <f t="shared" si="98"/>
        <v>-5.9085199142439038</v>
      </c>
      <c r="Q118" s="114">
        <f t="shared" si="99"/>
        <v>0.17572539591559355</v>
      </c>
      <c r="S118" s="91">
        <v>369</v>
      </c>
      <c r="T118" s="15" t="s">
        <v>203</v>
      </c>
      <c r="U118" s="17"/>
      <c r="AC118" s="117"/>
      <c r="AD118" s="113"/>
      <c r="AK118" s="35"/>
      <c r="AP118" s="35"/>
    </row>
    <row r="119" spans="1:42">
      <c r="A119" s="143"/>
      <c r="B119" s="15" t="s">
        <v>224</v>
      </c>
      <c r="C119" s="15" t="s">
        <v>207</v>
      </c>
      <c r="D119" s="15" t="s">
        <v>220</v>
      </c>
      <c r="E119" s="119">
        <v>7.34</v>
      </c>
      <c r="F119" s="119">
        <v>37.6</v>
      </c>
      <c r="G119" s="120">
        <v>0.1181</v>
      </c>
      <c r="H119" s="121">
        <v>0.51209899999999997</v>
      </c>
      <c r="I119" s="121">
        <v>6.9999999999999999E-6</v>
      </c>
      <c r="J119" s="113">
        <f t="shared" si="93"/>
        <v>-10.514242018735409</v>
      </c>
      <c r="K119" s="114">
        <f t="shared" si="94"/>
        <v>0.13654859764566929</v>
      </c>
      <c r="L119" s="117">
        <f t="shared" si="95"/>
        <v>0.51181364982039856</v>
      </c>
      <c r="M119" s="114">
        <f t="shared" si="96"/>
        <v>1.6923895516287766</v>
      </c>
      <c r="N119" s="90">
        <v>369</v>
      </c>
      <c r="O119" s="117">
        <f t="shared" si="97"/>
        <v>0.51216273852389838</v>
      </c>
      <c r="P119" s="113">
        <f t="shared" si="98"/>
        <v>-6.8159722924376887</v>
      </c>
      <c r="Q119" s="114">
        <f t="shared" si="99"/>
        <v>0.13667530793348703</v>
      </c>
      <c r="S119" s="91">
        <v>369</v>
      </c>
      <c r="T119" s="15" t="s">
        <v>203</v>
      </c>
      <c r="U119" s="17"/>
      <c r="AC119" s="117"/>
      <c r="AD119" s="113"/>
      <c r="AK119" s="35"/>
      <c r="AP119" s="35"/>
    </row>
    <row r="120" spans="1:42">
      <c r="A120" s="143"/>
      <c r="B120" s="15" t="s">
        <v>225</v>
      </c>
      <c r="C120" s="15" t="s">
        <v>207</v>
      </c>
      <c r="D120" s="15" t="s">
        <v>220</v>
      </c>
      <c r="E120" s="119">
        <v>6.34</v>
      </c>
      <c r="F120" s="119">
        <v>31.6</v>
      </c>
      <c r="G120" s="120">
        <v>0.1212</v>
      </c>
      <c r="H120" s="121">
        <v>0.51219899999999996</v>
      </c>
      <c r="I120" s="121">
        <v>6.0000000000000002E-6</v>
      </c>
      <c r="J120" s="113">
        <f t="shared" si="93"/>
        <v>-8.5635477666512472</v>
      </c>
      <c r="K120" s="114">
        <f t="shared" si="94"/>
        <v>0.11704165512327336</v>
      </c>
      <c r="L120" s="117">
        <f t="shared" si="95"/>
        <v>0.5119093378913373</v>
      </c>
      <c r="M120" s="114">
        <f t="shared" si="96"/>
        <v>1.5852738373805093</v>
      </c>
      <c r="N120" s="90">
        <v>365</v>
      </c>
      <c r="O120" s="117">
        <f t="shared" si="97"/>
        <v>0.51216789656127115</v>
      </c>
      <c r="P120" s="113">
        <f t="shared" si="98"/>
        <v>-5.0483185625227467</v>
      </c>
      <c r="Q120" s="114">
        <f t="shared" si="99"/>
        <v>0.11714908412341352</v>
      </c>
      <c r="S120" s="91">
        <v>365</v>
      </c>
      <c r="T120" s="15" t="s">
        <v>203</v>
      </c>
      <c r="U120" s="17"/>
      <c r="AC120" s="117"/>
      <c r="AD120" s="113"/>
      <c r="AK120" s="35"/>
      <c r="AP120" s="35"/>
    </row>
    <row r="121" spans="1:42">
      <c r="A121" s="143"/>
      <c r="B121" s="15" t="s">
        <v>226</v>
      </c>
      <c r="C121" s="15" t="s">
        <v>205</v>
      </c>
      <c r="D121" s="15" t="s">
        <v>220</v>
      </c>
      <c r="E121" s="119">
        <v>4.05</v>
      </c>
      <c r="F121" s="119">
        <v>20.100000000000001</v>
      </c>
      <c r="G121" s="120">
        <v>0.1217</v>
      </c>
      <c r="H121" s="121">
        <v>0.51213699999999995</v>
      </c>
      <c r="I121" s="121">
        <v>6.0000000000000002E-6</v>
      </c>
      <c r="J121" s="113">
        <f t="shared" si="93"/>
        <v>-9.7729782029443157</v>
      </c>
      <c r="K121" s="114">
        <f t="shared" si="94"/>
        <v>0.11704165512438358</v>
      </c>
      <c r="L121" s="117">
        <f t="shared" si="95"/>
        <v>0.51184614291564157</v>
      </c>
      <c r="M121" s="114">
        <f t="shared" si="96"/>
        <v>1.695786991484628</v>
      </c>
      <c r="N121" s="90">
        <v>365</v>
      </c>
      <c r="O121" s="117">
        <f t="shared" si="97"/>
        <v>0.51216789656127115</v>
      </c>
      <c r="P121" s="113">
        <f t="shared" si="98"/>
        <v>-6.28219081652448</v>
      </c>
      <c r="Q121" s="114">
        <f t="shared" si="99"/>
        <v>0.11714908412341352</v>
      </c>
      <c r="S121" s="91">
        <v>365</v>
      </c>
      <c r="T121" s="15" t="s">
        <v>203</v>
      </c>
      <c r="U121" s="17"/>
      <c r="AC121" s="117"/>
      <c r="AD121" s="113"/>
      <c r="AK121" s="35"/>
      <c r="AP121" s="35"/>
    </row>
    <row r="122" spans="1:42">
      <c r="A122" s="143"/>
      <c r="B122" s="15" t="s">
        <v>227</v>
      </c>
      <c r="C122" s="15" t="s">
        <v>201</v>
      </c>
      <c r="D122" s="15" t="s">
        <v>228</v>
      </c>
      <c r="E122" s="119">
        <v>1.65</v>
      </c>
      <c r="F122" s="119">
        <v>8.43</v>
      </c>
      <c r="G122" s="120">
        <v>0.1181</v>
      </c>
      <c r="H122" s="121">
        <v>0.51199799999999995</v>
      </c>
      <c r="I122" s="121">
        <v>7.9999999999999996E-6</v>
      </c>
      <c r="J122" s="113">
        <f t="shared" si="93"/>
        <v>-12.484443213340857</v>
      </c>
      <c r="K122" s="114">
        <f t="shared" si="94"/>
        <v>0.156055540166955</v>
      </c>
      <c r="L122" s="117">
        <f t="shared" si="95"/>
        <v>0.51171961777704111</v>
      </c>
      <c r="M122" s="114">
        <f t="shared" si="96"/>
        <v>1.8520701215535182</v>
      </c>
      <c r="N122" s="90">
        <v>360</v>
      </c>
      <c r="O122" s="117">
        <f t="shared" si="97"/>
        <v>0.51217434391823879</v>
      </c>
      <c r="P122" s="113">
        <f t="shared" si="98"/>
        <v>-8.878346730899489</v>
      </c>
      <c r="Q122" s="114">
        <f t="shared" si="99"/>
        <v>0.15619681257073026</v>
      </c>
      <c r="S122" s="91">
        <v>360</v>
      </c>
      <c r="T122" s="15" t="s">
        <v>203</v>
      </c>
      <c r="U122" s="17"/>
      <c r="AC122" s="117"/>
      <c r="AD122" s="113"/>
      <c r="AK122" s="35"/>
      <c r="AP122" s="35"/>
    </row>
    <row r="123" spans="1:42">
      <c r="A123" s="143"/>
      <c r="B123" s="15" t="s">
        <v>229</v>
      </c>
      <c r="C123" s="15" t="s">
        <v>201</v>
      </c>
      <c r="D123" s="15" t="s">
        <v>228</v>
      </c>
      <c r="E123" s="119">
        <v>1.01</v>
      </c>
      <c r="F123" s="119">
        <v>6.09</v>
      </c>
      <c r="G123" s="120">
        <v>0.1007</v>
      </c>
      <c r="H123" s="121">
        <v>0.51197599999999999</v>
      </c>
      <c r="I123" s="121">
        <v>6.9999999999999999E-6</v>
      </c>
      <c r="J123" s="113">
        <f t="shared" si="93"/>
        <v>-12.91359594879915</v>
      </c>
      <c r="K123" s="114">
        <f t="shared" si="94"/>
        <v>0.13654859764566929</v>
      </c>
      <c r="L123" s="117">
        <f t="shared" si="95"/>
        <v>0.51174193319869432</v>
      </c>
      <c r="M123" s="114">
        <f t="shared" si="96"/>
        <v>1.5978037696176064</v>
      </c>
      <c r="N123" s="90">
        <v>355</v>
      </c>
      <c r="O123" s="117">
        <f t="shared" si="97"/>
        <v>0.51218079106438119</v>
      </c>
      <c r="P123" s="113">
        <f t="shared" si="98"/>
        <v>-8.5684171164412959</v>
      </c>
      <c r="Q123" s="114">
        <f t="shared" si="99"/>
        <v>0.13667049061694136</v>
      </c>
      <c r="S123" s="91">
        <v>355</v>
      </c>
      <c r="T123" s="15" t="s">
        <v>203</v>
      </c>
      <c r="U123" s="17"/>
      <c r="AC123" s="117"/>
      <c r="AD123" s="113"/>
      <c r="AK123" s="35"/>
      <c r="AP123" s="35"/>
    </row>
    <row r="124" spans="1:42">
      <c r="A124" s="143"/>
      <c r="B124" s="15" t="s">
        <v>230</v>
      </c>
      <c r="C124" s="15" t="s">
        <v>207</v>
      </c>
      <c r="D124" s="15" t="s">
        <v>231</v>
      </c>
      <c r="E124" s="119">
        <v>6.66</v>
      </c>
      <c r="F124" s="119">
        <v>37.299999999999997</v>
      </c>
      <c r="G124" s="120">
        <v>0.108</v>
      </c>
      <c r="H124" s="121">
        <v>0.51197000000000004</v>
      </c>
      <c r="I124" s="121">
        <v>6.0000000000000002E-6</v>
      </c>
      <c r="J124" s="113">
        <f t="shared" si="93"/>
        <v>-13.030637603923534</v>
      </c>
      <c r="K124" s="114">
        <f t="shared" si="94"/>
        <v>0.11704165512438358</v>
      </c>
      <c r="L124" s="117">
        <f t="shared" si="95"/>
        <v>0.5117225048498637</v>
      </c>
      <c r="M124" s="114">
        <f t="shared" si="96"/>
        <v>1.7161225156163216</v>
      </c>
      <c r="N124" s="90">
        <v>350</v>
      </c>
      <c r="O124" s="117">
        <f t="shared" si="97"/>
        <v>0.51218723799970545</v>
      </c>
      <c r="P124" s="113">
        <f t="shared" si="98"/>
        <v>-9.0735011605658222</v>
      </c>
      <c r="Q124" s="114">
        <f t="shared" si="99"/>
        <v>0.11714466028767134</v>
      </c>
      <c r="S124" s="91">
        <v>350</v>
      </c>
      <c r="T124" s="15" t="s">
        <v>203</v>
      </c>
      <c r="U124" s="17"/>
      <c r="AC124" s="117"/>
      <c r="AD124" s="113"/>
      <c r="AK124" s="35"/>
      <c r="AP124" s="35"/>
    </row>
    <row r="125" spans="1:42">
      <c r="A125" s="143"/>
      <c r="B125" s="15" t="s">
        <v>232</v>
      </c>
      <c r="C125" s="15" t="s">
        <v>207</v>
      </c>
      <c r="D125" s="15" t="s">
        <v>231</v>
      </c>
      <c r="E125" s="119">
        <v>5.09</v>
      </c>
      <c r="F125" s="119">
        <v>28.8</v>
      </c>
      <c r="G125" s="120">
        <v>0.1069</v>
      </c>
      <c r="H125" s="121">
        <v>0.51197199999999998</v>
      </c>
      <c r="I125" s="121">
        <v>6.9999999999999999E-6</v>
      </c>
      <c r="J125" s="113">
        <f t="shared" si="93"/>
        <v>-12.991623718883183</v>
      </c>
      <c r="K125" s="114">
        <f t="shared" si="94"/>
        <v>0.13654859764566929</v>
      </c>
      <c r="L125" s="117">
        <f t="shared" si="95"/>
        <v>0.5117305292171781</v>
      </c>
      <c r="M125" s="114">
        <f t="shared" si="96"/>
        <v>1.6957131181005007</v>
      </c>
      <c r="N125" s="90">
        <v>345</v>
      </c>
      <c r="O125" s="117">
        <f t="shared" si="97"/>
        <v>0.51219368472421833</v>
      </c>
      <c r="P125" s="113">
        <f t="shared" si="98"/>
        <v>-9.0425852729836276</v>
      </c>
      <c r="Q125" s="114">
        <f t="shared" si="99"/>
        <v>0.13666705015569214</v>
      </c>
      <c r="S125" s="91">
        <v>345</v>
      </c>
      <c r="T125" s="15" t="s">
        <v>203</v>
      </c>
      <c r="U125" s="17"/>
      <c r="AC125" s="117"/>
      <c r="AD125" s="113"/>
      <c r="AK125" s="35"/>
      <c r="AP125" s="35"/>
    </row>
    <row r="126" spans="1:42">
      <c r="A126" s="143"/>
      <c r="B126" s="15" t="s">
        <v>233</v>
      </c>
      <c r="C126" s="15" t="s">
        <v>207</v>
      </c>
      <c r="D126" s="15" t="s">
        <v>234</v>
      </c>
      <c r="E126" s="119">
        <v>8.0500000000000007</v>
      </c>
      <c r="F126" s="119">
        <v>40</v>
      </c>
      <c r="G126" s="120">
        <v>0.12180000000000001</v>
      </c>
      <c r="H126" s="121">
        <v>0.51196600000000003</v>
      </c>
      <c r="I126" s="121">
        <v>5.0000000000000004E-6</v>
      </c>
      <c r="J126" s="113">
        <f t="shared" si="93"/>
        <v>-13.108665374006456</v>
      </c>
      <c r="K126" s="114">
        <f t="shared" si="94"/>
        <v>9.7534712604208096E-2</v>
      </c>
      <c r="L126" s="117">
        <f t="shared" si="95"/>
        <v>0.51168208999092957</v>
      </c>
      <c r="M126" s="114">
        <f t="shared" si="96"/>
        <v>1.9787356248490029</v>
      </c>
      <c r="N126" s="90">
        <v>356</v>
      </c>
      <c r="O126" s="117">
        <f t="shared" si="97"/>
        <v>0.51217950165201842</v>
      </c>
      <c r="P126" s="113">
        <f t="shared" si="98"/>
        <v>-9.7116667005314739</v>
      </c>
      <c r="Q126" s="114">
        <f t="shared" si="99"/>
        <v>9.7622024777255234E-2</v>
      </c>
      <c r="S126" s="91">
        <v>356</v>
      </c>
      <c r="T126" s="15" t="s">
        <v>203</v>
      </c>
      <c r="U126" s="17"/>
      <c r="AC126" s="117"/>
      <c r="AD126" s="113"/>
      <c r="AK126" s="35"/>
      <c r="AP126" s="35"/>
    </row>
    <row r="127" spans="1:42">
      <c r="A127" s="143"/>
      <c r="B127" s="15" t="s">
        <v>235</v>
      </c>
      <c r="C127" s="15" t="s">
        <v>207</v>
      </c>
      <c r="D127" s="15" t="s">
        <v>236</v>
      </c>
      <c r="E127" s="119">
        <v>5.92</v>
      </c>
      <c r="F127" s="119">
        <v>33.700000000000003</v>
      </c>
      <c r="G127" s="120">
        <v>0.10639999999999999</v>
      </c>
      <c r="H127" s="121">
        <v>0.51199499999999998</v>
      </c>
      <c r="I127" s="121">
        <v>6.0000000000000002E-6</v>
      </c>
      <c r="J127" s="113">
        <f t="shared" si="93"/>
        <v>-12.542964040903604</v>
      </c>
      <c r="K127" s="114">
        <f t="shared" si="94"/>
        <v>0.11704165512438358</v>
      </c>
      <c r="L127" s="117">
        <f t="shared" si="95"/>
        <v>0.5117581457230066</v>
      </c>
      <c r="M127" s="114">
        <f t="shared" si="96"/>
        <v>1.6554356219605448</v>
      </c>
      <c r="N127" s="90">
        <v>340</v>
      </c>
      <c r="O127" s="117">
        <f t="shared" si="97"/>
        <v>0.51220013123792674</v>
      </c>
      <c r="P127" s="113">
        <f t="shared" si="98"/>
        <v>-8.6291566121221575</v>
      </c>
      <c r="Q127" s="114">
        <f t="shared" si="99"/>
        <v>0.11714171149201924</v>
      </c>
      <c r="S127" s="91">
        <v>340</v>
      </c>
      <c r="T127" s="15" t="s">
        <v>203</v>
      </c>
      <c r="U127" s="17"/>
      <c r="AC127" s="117"/>
      <c r="AD127" s="113"/>
      <c r="AK127" s="35"/>
      <c r="AP127" s="35"/>
    </row>
    <row r="128" spans="1:42">
      <c r="A128" s="143"/>
      <c r="B128" s="15" t="s">
        <v>237</v>
      </c>
      <c r="C128" s="15" t="s">
        <v>201</v>
      </c>
      <c r="D128" s="15" t="s">
        <v>238</v>
      </c>
      <c r="E128" s="119">
        <v>1.76</v>
      </c>
      <c r="F128" s="119">
        <v>9.65</v>
      </c>
      <c r="G128" s="120">
        <v>0.11101999999999999</v>
      </c>
      <c r="H128" s="121">
        <v>0.51188800000000001</v>
      </c>
      <c r="I128" s="121">
        <v>6.0000000000000002E-6</v>
      </c>
      <c r="J128" s="113">
        <f t="shared" si="93"/>
        <v>-14.630206890633435</v>
      </c>
      <c r="K128" s="114">
        <f t="shared" si="94"/>
        <v>0.11704165512438358</v>
      </c>
      <c r="L128" s="117">
        <f t="shared" si="95"/>
        <v>0.51164449963692826</v>
      </c>
      <c r="M128" s="114">
        <f t="shared" si="96"/>
        <v>1.8869659315615304</v>
      </c>
      <c r="N128" s="90">
        <v>335</v>
      </c>
      <c r="O128" s="117">
        <f t="shared" si="97"/>
        <v>0.51220657754083765</v>
      </c>
      <c r="P128" s="113">
        <f t="shared" si="98"/>
        <v>-10.973656500234963</v>
      </c>
      <c r="Q128" s="114">
        <f t="shared" si="99"/>
        <v>0.11714023722242395</v>
      </c>
      <c r="S128" s="91">
        <v>335</v>
      </c>
      <c r="T128" s="15" t="s">
        <v>203</v>
      </c>
      <c r="U128" s="17"/>
      <c r="AC128" s="117"/>
      <c r="AD128" s="113"/>
      <c r="AK128" s="35"/>
      <c r="AP128" s="35"/>
    </row>
    <row r="129" spans="1:42">
      <c r="A129" s="143"/>
      <c r="B129" s="15" t="s">
        <v>239</v>
      </c>
      <c r="C129" s="15" t="s">
        <v>207</v>
      </c>
      <c r="D129" s="15" t="s">
        <v>240</v>
      </c>
      <c r="E129" s="119">
        <v>1.24</v>
      </c>
      <c r="F129" s="119">
        <v>12.1</v>
      </c>
      <c r="G129" s="120">
        <v>6.1600000000000002E-2</v>
      </c>
      <c r="H129" s="121">
        <v>0.51207000000000003</v>
      </c>
      <c r="I129" s="121">
        <v>6.0000000000000002E-6</v>
      </c>
      <c r="J129" s="113">
        <f t="shared" si="93"/>
        <v>-11.079943351839372</v>
      </c>
      <c r="K129" s="114">
        <f t="shared" si="94"/>
        <v>0.11704165512438358</v>
      </c>
      <c r="L129" s="117">
        <f t="shared" si="95"/>
        <v>0.51194498547559775</v>
      </c>
      <c r="M129" s="114">
        <f t="shared" si="96"/>
        <v>1.0948570476042387</v>
      </c>
      <c r="N129" s="90">
        <v>310</v>
      </c>
      <c r="O129" s="117">
        <f t="shared" si="97"/>
        <v>0.5122388058936701</v>
      </c>
      <c r="P129" s="113">
        <f t="shared" si="98"/>
        <v>-5.7360046660215325</v>
      </c>
      <c r="Q129" s="114">
        <f t="shared" si="99"/>
        <v>0.11713286714898352</v>
      </c>
      <c r="S129" s="91">
        <v>310</v>
      </c>
      <c r="T129" s="15" t="s">
        <v>203</v>
      </c>
      <c r="U129" s="17"/>
      <c r="AC129" s="117"/>
      <c r="AD129" s="113"/>
      <c r="AK129" s="35"/>
      <c r="AP129" s="35"/>
    </row>
    <row r="130" spans="1:42">
      <c r="A130" s="143"/>
      <c r="B130" s="15" t="s">
        <v>241</v>
      </c>
      <c r="C130" s="15" t="s">
        <v>207</v>
      </c>
      <c r="D130" s="15" t="s">
        <v>242</v>
      </c>
      <c r="E130" s="119">
        <v>5.38</v>
      </c>
      <c r="F130" s="119">
        <v>28.7</v>
      </c>
      <c r="G130" s="120">
        <v>0.1135</v>
      </c>
      <c r="H130" s="121">
        <v>0.51205599999999996</v>
      </c>
      <c r="I130" s="121">
        <v>5.0000000000000004E-6</v>
      </c>
      <c r="J130" s="113">
        <f t="shared" si="93"/>
        <v>-11.353040547131821</v>
      </c>
      <c r="K130" s="114">
        <f t="shared" si="94"/>
        <v>9.7534712604208096E-2</v>
      </c>
      <c r="L130" s="117">
        <f t="shared" si="95"/>
        <v>0.51182937560129749</v>
      </c>
      <c r="M130" s="114">
        <f t="shared" si="96"/>
        <v>1.6800186383251892</v>
      </c>
      <c r="N130" s="90">
        <v>305</v>
      </c>
      <c r="O130" s="117">
        <f t="shared" si="97"/>
        <v>0.5122452509319404</v>
      </c>
      <c r="P130" s="113">
        <f t="shared" si="98"/>
        <v>-8.118676159247773</v>
      </c>
      <c r="Q130" s="114">
        <f t="shared" si="99"/>
        <v>9.760949449377776E-2</v>
      </c>
      <c r="S130" s="91">
        <v>305</v>
      </c>
      <c r="T130" s="15" t="s">
        <v>203</v>
      </c>
      <c r="U130" s="17"/>
      <c r="AC130" s="117"/>
      <c r="AD130" s="113"/>
      <c r="AK130" s="35"/>
      <c r="AP130" s="35"/>
    </row>
    <row r="131" spans="1:42">
      <c r="A131" s="143"/>
      <c r="B131" s="15" t="s">
        <v>243</v>
      </c>
      <c r="C131" s="15" t="s">
        <v>207</v>
      </c>
      <c r="D131" s="15" t="s">
        <v>244</v>
      </c>
      <c r="E131" s="119">
        <v>4.79</v>
      </c>
      <c r="F131" s="119">
        <v>27.8</v>
      </c>
      <c r="G131" s="120">
        <v>0.1041</v>
      </c>
      <c r="H131" s="121">
        <v>0.51196600000000003</v>
      </c>
      <c r="I131" s="121">
        <v>7.9999999999999996E-6</v>
      </c>
      <c r="J131" s="113">
        <f t="shared" si="93"/>
        <v>-13.108665374006456</v>
      </c>
      <c r="K131" s="114">
        <f t="shared" si="94"/>
        <v>0.156055540166955</v>
      </c>
      <c r="L131" s="117">
        <f t="shared" si="95"/>
        <v>0.51177860768797512</v>
      </c>
      <c r="M131" s="114">
        <f t="shared" si="96"/>
        <v>1.6609057523604791</v>
      </c>
      <c r="N131" s="90">
        <v>275</v>
      </c>
      <c r="O131" s="117">
        <f t="shared" si="97"/>
        <v>0.5122839167360681</v>
      </c>
      <c r="P131" s="113">
        <f t="shared" si="98"/>
        <v>-9.8638475967094408</v>
      </c>
      <c r="Q131" s="114">
        <f t="shared" si="99"/>
        <v>0.15616340350854685</v>
      </c>
      <c r="S131" s="91">
        <v>275</v>
      </c>
      <c r="T131" s="15" t="s">
        <v>203</v>
      </c>
      <c r="U131" s="17"/>
      <c r="AC131" s="117"/>
      <c r="AD131" s="113"/>
      <c r="AK131" s="35"/>
      <c r="AP131" s="35"/>
    </row>
    <row r="132" spans="1:42">
      <c r="A132" s="143"/>
      <c r="B132" s="15" t="s">
        <v>245</v>
      </c>
      <c r="C132" s="15" t="s">
        <v>207</v>
      </c>
      <c r="D132" s="15" t="s">
        <v>246</v>
      </c>
      <c r="E132" s="119">
        <v>3.34</v>
      </c>
      <c r="F132" s="119">
        <v>18.100000000000001</v>
      </c>
      <c r="G132" s="120">
        <v>0.1116</v>
      </c>
      <c r="H132" s="121">
        <v>0.51221000000000005</v>
      </c>
      <c r="I132" s="121">
        <v>6.0000000000000002E-6</v>
      </c>
      <c r="J132" s="113">
        <f t="shared" si="93"/>
        <v>-8.348971398920435</v>
      </c>
      <c r="K132" s="114">
        <f t="shared" si="94"/>
        <v>0.11704165512438358</v>
      </c>
      <c r="L132" s="117">
        <f t="shared" si="95"/>
        <v>0.51201422492867743</v>
      </c>
      <c r="M132" s="114">
        <f t="shared" si="96"/>
        <v>1.420595385873622</v>
      </c>
      <c r="N132" s="90">
        <v>268</v>
      </c>
      <c r="O132" s="117">
        <f t="shared" si="97"/>
        <v>0.51229293766550932</v>
      </c>
      <c r="P132" s="113">
        <f t="shared" si="98"/>
        <v>-5.4404953951148194</v>
      </c>
      <c r="Q132" s="114">
        <f t="shared" si="99"/>
        <v>0.117120490228384</v>
      </c>
      <c r="S132" s="91">
        <v>268</v>
      </c>
      <c r="T132" s="15" t="s">
        <v>203</v>
      </c>
      <c r="U132" s="17"/>
      <c r="AC132" s="117"/>
      <c r="AD132" s="113"/>
      <c r="AK132" s="35"/>
      <c r="AP132" s="35"/>
    </row>
    <row r="133" spans="1:42">
      <c r="A133" s="143"/>
      <c r="E133" s="119"/>
      <c r="F133" s="119"/>
      <c r="G133" s="120"/>
      <c r="H133" s="121"/>
      <c r="I133" s="121"/>
      <c r="J133" s="113"/>
      <c r="K133" s="114"/>
      <c r="L133" s="117"/>
      <c r="M133" s="114"/>
      <c r="O133" s="117"/>
      <c r="P133" s="113"/>
      <c r="Q133" s="114"/>
      <c r="U133" s="17"/>
      <c r="AC133" s="117"/>
      <c r="AD133" s="113"/>
      <c r="AK133" s="35"/>
      <c r="AP133" s="35"/>
    </row>
    <row r="134" spans="1:42">
      <c r="A134" s="143"/>
      <c r="D134" s="118" t="s">
        <v>247</v>
      </c>
      <c r="E134" s="119"/>
      <c r="F134" s="119"/>
      <c r="G134" s="120"/>
      <c r="H134" s="121"/>
      <c r="I134" s="121"/>
      <c r="L134" s="117"/>
      <c r="M134" s="114"/>
      <c r="O134" s="117"/>
      <c r="Q134" s="114"/>
      <c r="U134" s="17"/>
      <c r="AC134" s="117"/>
      <c r="AD134" s="113"/>
    </row>
    <row r="135" spans="1:42">
      <c r="A135" s="143"/>
      <c r="B135" s="15" t="s">
        <v>248</v>
      </c>
      <c r="C135" s="15" t="s">
        <v>201</v>
      </c>
      <c r="D135" s="69" t="s">
        <v>249</v>
      </c>
      <c r="E135" s="119">
        <v>0.96</v>
      </c>
      <c r="F135" s="119">
        <v>5.1100000000000003</v>
      </c>
      <c r="G135" s="120">
        <v>0.1133</v>
      </c>
      <c r="H135" s="121">
        <v>0.51198699999999997</v>
      </c>
      <c r="I135" s="121"/>
      <c r="J135" s="113">
        <f t="shared" ref="J135:J144" si="100">((H135/0.512638)-1)*10000</f>
        <v>-12.699019581070559</v>
      </c>
      <c r="K135" s="114"/>
      <c r="L135" s="117">
        <f t="shared" ref="L135:L144" si="101">H135-(G135*(EXP(0.00000000000654*N135*1000000)-1))</f>
        <v>0.51168873332432729</v>
      </c>
      <c r="M135" s="114">
        <f t="shared" ref="M135:M144" si="102">IF(G135&gt;0.14,"N/A",LN((0.513163-H135)/(0.2137-G135)+1)*(1/0.00000000000654)/1000000000)</f>
        <v>1.7805931972266067</v>
      </c>
      <c r="N135" s="90">
        <v>402</v>
      </c>
      <c r="O135" s="117">
        <f t="shared" ref="O135:O144" si="103">0.512638-(0.1967*(EXP(0.00000000000654*N135*1000000)-1))</f>
        <v>0.51212017956659472</v>
      </c>
      <c r="P135" s="113">
        <f t="shared" ref="P135:P144" si="104">((L135/O135)-1)*10000</f>
        <v>-8.4247069239207217</v>
      </c>
      <c r="Q135" s="114"/>
      <c r="S135" s="91" t="s">
        <v>250</v>
      </c>
      <c r="T135" s="15" t="s">
        <v>251</v>
      </c>
      <c r="U135" s="17"/>
      <c r="V135" s="91">
        <v>419</v>
      </c>
      <c r="W135" s="117">
        <f t="shared" ref="W135:W144" si="105">H135-(G135*(EXP(0.00000000000654*V135*1000000)-1))</f>
        <v>0.51167610276691855</v>
      </c>
      <c r="X135" s="117">
        <f t="shared" ref="X135:X144" si="106">0.512638-(0.1967*(EXP(0.00000000000654*V135*1000000)-1))</f>
        <v>0.51209825167036971</v>
      </c>
      <c r="Y135" s="113">
        <f t="shared" ref="Y135:Y144" si="107">((W135/X135)-1)*10000</f>
        <v>-8.2435138584091572</v>
      </c>
      <c r="Z135" s="16"/>
      <c r="AA135" s="91">
        <v>385</v>
      </c>
      <c r="AB135" s="117">
        <f t="shared" ref="AB135:AB144" si="108">H135-(G135*(EXP(0.00000000000654*AA135*1000000)-1))</f>
        <v>0.5117013624775486</v>
      </c>
      <c r="AC135" s="117">
        <f t="shared" ref="AC135:AC144" si="109">0.512638-(0.1967*(EXP(0.00000000000654*AA135*1000000)-1))</f>
        <v>0.51214210502501167</v>
      </c>
      <c r="AD135" s="113">
        <f t="shared" ref="AD135:AD144" si="110">((AB135/AC135)-1)*10000</f>
        <v>-8.6058643321573758</v>
      </c>
      <c r="AE135" s="16"/>
      <c r="AG135" s="69"/>
      <c r="AK135" s="35"/>
      <c r="AP135" s="35"/>
    </row>
    <row r="136" spans="1:42">
      <c r="A136" s="143"/>
      <c r="B136" s="15" t="s">
        <v>252</v>
      </c>
      <c r="C136" s="15" t="s">
        <v>253</v>
      </c>
      <c r="D136" s="69" t="s">
        <v>249</v>
      </c>
      <c r="E136" s="119">
        <v>4.49</v>
      </c>
      <c r="F136" s="119">
        <v>22.51</v>
      </c>
      <c r="G136" s="120">
        <v>0.1205</v>
      </c>
      <c r="H136" s="121">
        <v>0.51188199999999995</v>
      </c>
      <c r="I136" s="121"/>
      <c r="J136" s="113">
        <f t="shared" si="100"/>
        <v>-14.747248545758929</v>
      </c>
      <c r="K136" s="114"/>
      <c r="L136" s="117">
        <f t="shared" si="101"/>
        <v>0.51156477904308417</v>
      </c>
      <c r="M136" s="114">
        <f t="shared" si="102"/>
        <v>2.0873141272453584</v>
      </c>
      <c r="N136" s="90">
        <v>402</v>
      </c>
      <c r="O136" s="117">
        <f t="shared" si="103"/>
        <v>0.51212017956659472</v>
      </c>
      <c r="P136" s="113">
        <f t="shared" si="104"/>
        <v>-10.845120846060263</v>
      </c>
      <c r="Q136" s="114"/>
      <c r="S136" s="91" t="s">
        <v>250</v>
      </c>
      <c r="T136" s="15" t="s">
        <v>251</v>
      </c>
      <c r="U136" s="17"/>
      <c r="V136" s="91">
        <v>419</v>
      </c>
      <c r="W136" s="117">
        <f t="shared" si="105"/>
        <v>0.51155134583772011</v>
      </c>
      <c r="X136" s="117">
        <f t="shared" si="106"/>
        <v>0.51209825167036971</v>
      </c>
      <c r="Y136" s="113">
        <f t="shared" si="107"/>
        <v>-10.679705132085049</v>
      </c>
      <c r="AA136" s="91">
        <v>385</v>
      </c>
      <c r="AB136" s="117">
        <f t="shared" si="108"/>
        <v>0.51157821075502741</v>
      </c>
      <c r="AC136" s="117">
        <f t="shared" si="109"/>
        <v>0.51214210502501167</v>
      </c>
      <c r="AD136" s="113">
        <f t="shared" si="110"/>
        <v>-11.010504007608057</v>
      </c>
      <c r="AG136" s="69"/>
      <c r="AK136" s="35"/>
      <c r="AP136" s="35"/>
    </row>
    <row r="137" spans="1:42">
      <c r="A137" s="143"/>
      <c r="B137" s="15" t="s">
        <v>254</v>
      </c>
      <c r="C137" s="15" t="s">
        <v>255</v>
      </c>
      <c r="D137" s="69" t="s">
        <v>256</v>
      </c>
      <c r="E137" s="119">
        <v>9.3000000000000007</v>
      </c>
      <c r="F137" s="119">
        <v>37.78</v>
      </c>
      <c r="G137" s="120">
        <v>0.1489</v>
      </c>
      <c r="H137" s="121">
        <v>0.51194700000000004</v>
      </c>
      <c r="I137" s="121"/>
      <c r="J137" s="113">
        <f t="shared" si="100"/>
        <v>-13.479297281903113</v>
      </c>
      <c r="K137" s="114"/>
      <c r="L137" s="117">
        <f t="shared" si="101"/>
        <v>0.51152669753059432</v>
      </c>
      <c r="M137" s="114" t="str">
        <f t="shared" si="102"/>
        <v>N/A</v>
      </c>
      <c r="N137" s="90">
        <v>431</v>
      </c>
      <c r="O137" s="117">
        <f t="shared" si="103"/>
        <v>0.51208277168749428</v>
      </c>
      <c r="P137" s="113">
        <f t="shared" si="104"/>
        <v>-10.859067862554195</v>
      </c>
      <c r="Q137" s="114"/>
      <c r="S137" s="91" t="s">
        <v>257</v>
      </c>
      <c r="T137" s="15" t="s">
        <v>251</v>
      </c>
      <c r="U137" s="17"/>
      <c r="V137" s="91">
        <v>443</v>
      </c>
      <c r="W137" s="117">
        <f t="shared" si="105"/>
        <v>0.51151497841340432</v>
      </c>
      <c r="X137" s="117">
        <f t="shared" si="106"/>
        <v>0.51206729048970201</v>
      </c>
      <c r="Y137" s="113">
        <f t="shared" si="107"/>
        <v>-10.785927680900809</v>
      </c>
      <c r="AA137" s="91">
        <v>419</v>
      </c>
      <c r="AB137" s="117">
        <f t="shared" si="108"/>
        <v>0.51153841572810399</v>
      </c>
      <c r="AC137" s="117">
        <f t="shared" si="109"/>
        <v>0.51209825167036971</v>
      </c>
      <c r="AD137" s="113">
        <f t="shared" si="110"/>
        <v>-10.932197882723704</v>
      </c>
      <c r="AG137" s="69"/>
      <c r="AK137" s="35"/>
      <c r="AP137" s="35"/>
    </row>
    <row r="138" spans="1:42">
      <c r="A138" s="143"/>
      <c r="B138" s="15" t="s">
        <v>258</v>
      </c>
      <c r="C138" s="15" t="s">
        <v>259</v>
      </c>
      <c r="D138" s="69" t="s">
        <v>256</v>
      </c>
      <c r="E138" s="119">
        <v>3.4</v>
      </c>
      <c r="F138" s="119">
        <v>16.57</v>
      </c>
      <c r="G138" s="120">
        <v>0.124</v>
      </c>
      <c r="H138" s="121">
        <v>0.51208699999999996</v>
      </c>
      <c r="I138" s="121"/>
      <c r="J138" s="113">
        <f t="shared" si="100"/>
        <v>-10.748325328986397</v>
      </c>
      <c r="K138" s="114"/>
      <c r="L138" s="117">
        <f t="shared" si="101"/>
        <v>0.51173698316852712</v>
      </c>
      <c r="M138" s="114">
        <f t="shared" si="102"/>
        <v>1.8232667314891087</v>
      </c>
      <c r="N138" s="90">
        <v>431</v>
      </c>
      <c r="O138" s="117">
        <f t="shared" si="103"/>
        <v>0.51208277168749428</v>
      </c>
      <c r="P138" s="113">
        <f t="shared" si="104"/>
        <v>-6.7525903640086593</v>
      </c>
      <c r="Q138" s="114"/>
      <c r="S138" s="91" t="s">
        <v>257</v>
      </c>
      <c r="T138" s="15" t="s">
        <v>251</v>
      </c>
      <c r="U138" s="17"/>
      <c r="V138" s="91">
        <v>443</v>
      </c>
      <c r="W138" s="117">
        <f t="shared" si="105"/>
        <v>0.51172722379625335</v>
      </c>
      <c r="X138" s="117">
        <f t="shared" si="106"/>
        <v>0.51206729048970201</v>
      </c>
      <c r="Y138" s="113">
        <f t="shared" si="107"/>
        <v>-6.6410547942530318</v>
      </c>
      <c r="AA138" s="91">
        <v>419</v>
      </c>
      <c r="AB138" s="117">
        <f t="shared" si="108"/>
        <v>0.5117467417749153</v>
      </c>
      <c r="AC138" s="117">
        <f t="shared" si="109"/>
        <v>0.51209825167036971</v>
      </c>
      <c r="AD138" s="113">
        <f t="shared" si="110"/>
        <v>-6.8641104379452145</v>
      </c>
      <c r="AG138" s="69"/>
      <c r="AK138" s="35"/>
      <c r="AP138" s="35"/>
    </row>
    <row r="139" spans="1:42">
      <c r="A139" s="143"/>
      <c r="B139" s="15" t="s">
        <v>260</v>
      </c>
      <c r="C139" s="15" t="s">
        <v>261</v>
      </c>
      <c r="D139" s="69" t="s">
        <v>256</v>
      </c>
      <c r="E139" s="119">
        <v>3.59</v>
      </c>
      <c r="F139" s="119">
        <v>17.61</v>
      </c>
      <c r="G139" s="120">
        <v>0.12330000000000001</v>
      </c>
      <c r="H139" s="121">
        <v>0.51175800000000005</v>
      </c>
      <c r="I139" s="121"/>
      <c r="J139" s="113">
        <f t="shared" si="100"/>
        <v>-17.166109418341733</v>
      </c>
      <c r="K139" s="114"/>
      <c r="L139" s="117">
        <f t="shared" si="101"/>
        <v>0.5114099590699952</v>
      </c>
      <c r="M139" s="114">
        <f t="shared" si="102"/>
        <v>2.3581796599418148</v>
      </c>
      <c r="N139" s="90">
        <v>431</v>
      </c>
      <c r="O139" s="117">
        <f t="shared" si="103"/>
        <v>0.51208277168749428</v>
      </c>
      <c r="P139" s="113">
        <f t="shared" si="104"/>
        <v>-13.13874738027021</v>
      </c>
      <c r="Q139" s="114"/>
      <c r="S139" s="91" t="s">
        <v>257</v>
      </c>
      <c r="T139" s="15" t="s">
        <v>251</v>
      </c>
      <c r="U139" s="17"/>
      <c r="V139" s="91">
        <v>443</v>
      </c>
      <c r="W139" s="117">
        <f t="shared" si="105"/>
        <v>0.51140025479095208</v>
      </c>
      <c r="X139" s="117">
        <f t="shared" si="106"/>
        <v>0.51206729048970201</v>
      </c>
      <c r="Y139" s="113">
        <f t="shared" si="107"/>
        <v>-13.026328983286595</v>
      </c>
      <c r="AA139" s="91">
        <v>419</v>
      </c>
      <c r="AB139" s="117">
        <f t="shared" si="108"/>
        <v>0.51141966258747629</v>
      </c>
      <c r="AC139" s="117">
        <f t="shared" si="109"/>
        <v>0.51209825167036971</v>
      </c>
      <c r="AD139" s="113">
        <f t="shared" si="110"/>
        <v>-13.251150158782865</v>
      </c>
      <c r="AG139" s="69"/>
      <c r="AK139" s="35"/>
      <c r="AP139" s="35"/>
    </row>
    <row r="140" spans="1:42">
      <c r="A140" s="143"/>
      <c r="B140" s="15" t="s">
        <v>262</v>
      </c>
      <c r="C140" s="15" t="s">
        <v>255</v>
      </c>
      <c r="D140" s="69" t="s">
        <v>256</v>
      </c>
      <c r="E140" s="119">
        <v>3.72</v>
      </c>
      <c r="F140" s="119">
        <v>21.86</v>
      </c>
      <c r="G140" s="120">
        <v>0.1028</v>
      </c>
      <c r="H140" s="121">
        <v>0.51138799999999995</v>
      </c>
      <c r="I140" s="121"/>
      <c r="J140" s="113">
        <f t="shared" si="100"/>
        <v>-24.383678151055356</v>
      </c>
      <c r="K140" s="114"/>
      <c r="L140" s="117">
        <f t="shared" si="101"/>
        <v>0.51109782475584342</v>
      </c>
      <c r="M140" s="114">
        <f t="shared" si="102"/>
        <v>2.4279318379803443</v>
      </c>
      <c r="N140" s="90">
        <v>431</v>
      </c>
      <c r="O140" s="117">
        <f t="shared" si="103"/>
        <v>0.51208277168749428</v>
      </c>
      <c r="P140" s="113">
        <f t="shared" si="104"/>
        <v>-19.234135302094167</v>
      </c>
      <c r="Q140" s="114"/>
      <c r="S140" s="91" t="s">
        <v>257</v>
      </c>
      <c r="T140" s="15" t="s">
        <v>251</v>
      </c>
      <c r="U140" s="17"/>
      <c r="V140" s="91">
        <v>443</v>
      </c>
      <c r="W140" s="117">
        <f t="shared" si="105"/>
        <v>0.51108973392140999</v>
      </c>
      <c r="X140" s="117">
        <f t="shared" si="106"/>
        <v>0.51206729048970201</v>
      </c>
      <c r="Y140" s="113">
        <f t="shared" si="107"/>
        <v>-19.090392736414998</v>
      </c>
      <c r="AA140" s="91">
        <v>419</v>
      </c>
      <c r="AB140" s="117">
        <f t="shared" si="108"/>
        <v>0.51110591495533297</v>
      </c>
      <c r="AC140" s="117">
        <f t="shared" si="109"/>
        <v>0.51209825167036971</v>
      </c>
      <c r="AD140" s="113">
        <f t="shared" si="110"/>
        <v>-19.377857897384665</v>
      </c>
      <c r="AG140" s="69"/>
      <c r="AK140" s="35"/>
      <c r="AP140" s="35"/>
    </row>
    <row r="141" spans="1:42">
      <c r="A141" s="143"/>
      <c r="B141" s="15" t="s">
        <v>263</v>
      </c>
      <c r="C141" s="15" t="s">
        <v>207</v>
      </c>
      <c r="D141" s="69" t="s">
        <v>264</v>
      </c>
      <c r="E141" s="119">
        <v>5.28</v>
      </c>
      <c r="F141" s="119">
        <v>30.98</v>
      </c>
      <c r="G141" s="120">
        <v>0.1031</v>
      </c>
      <c r="H141" s="121">
        <v>0.51174299999999995</v>
      </c>
      <c r="I141" s="121"/>
      <c r="J141" s="113">
        <f t="shared" si="100"/>
        <v>-17.458713556156582</v>
      </c>
      <c r="K141" s="114"/>
      <c r="L141" s="117">
        <f t="shared" si="101"/>
        <v>0.51145197794092856</v>
      </c>
      <c r="M141" s="114">
        <f t="shared" si="102"/>
        <v>1.9506632558796184</v>
      </c>
      <c r="N141" s="90">
        <v>431</v>
      </c>
      <c r="O141" s="117">
        <f t="shared" si="103"/>
        <v>0.51208277168749428</v>
      </c>
      <c r="P141" s="113">
        <f t="shared" si="104"/>
        <v>-12.318198960044047</v>
      </c>
      <c r="Q141" s="114"/>
      <c r="S141" s="91" t="s">
        <v>250</v>
      </c>
      <c r="T141" s="15" t="s">
        <v>251</v>
      </c>
      <c r="U141" s="17"/>
      <c r="V141" s="91">
        <v>419</v>
      </c>
      <c r="W141" s="117">
        <f t="shared" si="105"/>
        <v>0.51146009174994966</v>
      </c>
      <c r="X141" s="117">
        <f t="shared" si="106"/>
        <v>0.51209825167036971</v>
      </c>
      <c r="Y141" s="113">
        <f t="shared" si="107"/>
        <v>-12.461669578806012</v>
      </c>
      <c r="AA141" s="91">
        <v>385</v>
      </c>
      <c r="AB141" s="117">
        <f t="shared" si="108"/>
        <v>0.51148307741778698</v>
      </c>
      <c r="AC141" s="117">
        <f t="shared" si="109"/>
        <v>0.51214210502501167</v>
      </c>
      <c r="AD141" s="113">
        <f t="shared" si="110"/>
        <v>-12.868061437606437</v>
      </c>
      <c r="AG141" s="69"/>
      <c r="AK141" s="35"/>
      <c r="AP141" s="35"/>
    </row>
    <row r="142" spans="1:42">
      <c r="A142" s="143"/>
      <c r="B142" s="15" t="s">
        <v>265</v>
      </c>
      <c r="C142" s="15" t="s">
        <v>266</v>
      </c>
      <c r="D142" s="69" t="s">
        <v>267</v>
      </c>
      <c r="E142" s="119">
        <v>2.12</v>
      </c>
      <c r="F142" s="119">
        <v>11.85</v>
      </c>
      <c r="G142" s="120">
        <v>0.1082</v>
      </c>
      <c r="H142" s="121">
        <v>0.51149500000000003</v>
      </c>
      <c r="I142" s="121"/>
      <c r="J142" s="113">
        <f t="shared" si="100"/>
        <v>-22.296435301323303</v>
      </c>
      <c r="K142" s="114"/>
      <c r="L142" s="117">
        <f t="shared" si="101"/>
        <v>0.51114699620658388</v>
      </c>
      <c r="M142" s="114">
        <f t="shared" si="102"/>
        <v>2.3985846629469179</v>
      </c>
      <c r="N142" s="90">
        <v>491</v>
      </c>
      <c r="O142" s="117">
        <f t="shared" si="103"/>
        <v>0.5120053535474588</v>
      </c>
      <c r="P142" s="113">
        <f t="shared" si="104"/>
        <v>-16.764616520662521</v>
      </c>
      <c r="Q142" s="114"/>
      <c r="S142" s="91" t="s">
        <v>268</v>
      </c>
      <c r="T142" s="15" t="s">
        <v>405</v>
      </c>
      <c r="U142" s="17"/>
      <c r="V142" s="91">
        <v>497</v>
      </c>
      <c r="W142" s="117">
        <f t="shared" si="105"/>
        <v>0.51114273669934396</v>
      </c>
      <c r="X142" s="117">
        <f t="shared" si="106"/>
        <v>0.51199761006248579</v>
      </c>
      <c r="Y142" s="113">
        <f t="shared" si="107"/>
        <v>-16.696823312075672</v>
      </c>
      <c r="AA142" s="91">
        <v>485.4</v>
      </c>
      <c r="AB142" s="117">
        <f t="shared" si="108"/>
        <v>0.51115097159587697</v>
      </c>
      <c r="AC142" s="117">
        <f t="shared" si="109"/>
        <v>0.51201258052596121</v>
      </c>
      <c r="AD142" s="113">
        <f t="shared" si="110"/>
        <v>-16.827885932004794</v>
      </c>
      <c r="AG142" s="69"/>
      <c r="AK142" s="35"/>
      <c r="AP142" s="35"/>
    </row>
    <row r="143" spans="1:42">
      <c r="A143" s="143"/>
      <c r="B143" s="15" t="s">
        <v>269</v>
      </c>
      <c r="C143" s="15" t="s">
        <v>270</v>
      </c>
      <c r="D143" s="69" t="s">
        <v>249</v>
      </c>
      <c r="E143" s="119">
        <v>4.29</v>
      </c>
      <c r="F143" s="119">
        <v>29.62</v>
      </c>
      <c r="G143" s="120">
        <v>8.7499999999999994E-2</v>
      </c>
      <c r="H143" s="121">
        <v>0.51181900000000002</v>
      </c>
      <c r="I143" s="121"/>
      <c r="J143" s="113">
        <f t="shared" si="100"/>
        <v>-15.976185924571062</v>
      </c>
      <c r="K143" s="114"/>
      <c r="L143" s="117">
        <f t="shared" si="101"/>
        <v>0.51158865283211508</v>
      </c>
      <c r="M143" s="114">
        <f t="shared" si="102"/>
        <v>1.6197940363840235</v>
      </c>
      <c r="N143" s="90">
        <v>402</v>
      </c>
      <c r="O143" s="117">
        <f t="shared" si="103"/>
        <v>0.51212017956659472</v>
      </c>
      <c r="P143" s="113">
        <f t="shared" si="104"/>
        <v>-10.378945327432776</v>
      </c>
      <c r="Q143" s="114"/>
      <c r="S143" s="91" t="s">
        <v>250</v>
      </c>
      <c r="T143" s="15" t="s">
        <v>251</v>
      </c>
      <c r="U143" s="17"/>
      <c r="V143" s="91">
        <v>419</v>
      </c>
      <c r="W143" s="117">
        <f t="shared" si="105"/>
        <v>0.5115788984298798</v>
      </c>
      <c r="X143" s="117">
        <f t="shared" si="106"/>
        <v>0.51209825167036971</v>
      </c>
      <c r="Y143" s="113">
        <f t="shared" si="107"/>
        <v>-10.141671813873598</v>
      </c>
      <c r="AA143" s="91">
        <v>385</v>
      </c>
      <c r="AB143" s="117">
        <f t="shared" si="108"/>
        <v>0.51159840614991625</v>
      </c>
      <c r="AC143" s="117">
        <f t="shared" si="109"/>
        <v>0.51214210502501167</v>
      </c>
      <c r="AD143" s="113">
        <f t="shared" si="110"/>
        <v>-10.616172147550618</v>
      </c>
      <c r="AG143" s="69"/>
      <c r="AK143" s="35"/>
      <c r="AP143" s="35"/>
    </row>
    <row r="144" spans="1:42">
      <c r="A144" s="143"/>
      <c r="B144" s="15" t="s">
        <v>271</v>
      </c>
      <c r="C144" s="15" t="s">
        <v>205</v>
      </c>
      <c r="D144" s="69" t="s">
        <v>272</v>
      </c>
      <c r="E144" s="119">
        <v>4.28</v>
      </c>
      <c r="F144" s="119">
        <v>29.64</v>
      </c>
      <c r="G144" s="120">
        <v>8.7400000000000005E-2</v>
      </c>
      <c r="H144" s="121">
        <v>0.51174600000000003</v>
      </c>
      <c r="I144" s="121"/>
      <c r="J144" s="113">
        <f t="shared" si="100"/>
        <v>-17.400192728592721</v>
      </c>
      <c r="K144" s="114"/>
      <c r="L144" s="117">
        <f t="shared" si="101"/>
        <v>0.51151591608602121</v>
      </c>
      <c r="M144" s="114">
        <f t="shared" si="102"/>
        <v>1.7059402648835766</v>
      </c>
      <c r="N144" s="90">
        <v>402</v>
      </c>
      <c r="O144" s="117">
        <f t="shared" si="103"/>
        <v>0.51212017956659472</v>
      </c>
      <c r="P144" s="113">
        <f t="shared" si="104"/>
        <v>-11.799251517190523</v>
      </c>
      <c r="Q144" s="114"/>
      <c r="S144" s="91" t="s">
        <v>250</v>
      </c>
      <c r="T144" s="15" t="s">
        <v>251</v>
      </c>
      <c r="U144" s="17"/>
      <c r="V144" s="91">
        <v>419</v>
      </c>
      <c r="W144" s="117">
        <f t="shared" si="105"/>
        <v>0.51150617283167421</v>
      </c>
      <c r="X144" s="117">
        <f t="shared" si="106"/>
        <v>0.51209825167036971</v>
      </c>
      <c r="Y144" s="113">
        <f t="shared" si="107"/>
        <v>-11.561821130305905</v>
      </c>
      <c r="AA144" s="91">
        <v>385</v>
      </c>
      <c r="AB144" s="117">
        <f t="shared" si="108"/>
        <v>0.51152565825717344</v>
      </c>
      <c r="AC144" s="117">
        <f t="shared" si="109"/>
        <v>0.51214210502501167</v>
      </c>
      <c r="AD144" s="113">
        <f t="shared" si="110"/>
        <v>-12.036635179764055</v>
      </c>
      <c r="AG144" s="69"/>
      <c r="AK144" s="35"/>
      <c r="AP144" s="35"/>
    </row>
    <row r="145" spans="1:42">
      <c r="D145" s="69"/>
      <c r="E145" s="119"/>
      <c r="F145" s="119"/>
      <c r="G145" s="120"/>
      <c r="H145" s="121"/>
      <c r="I145" s="121"/>
      <c r="J145" s="113"/>
      <c r="K145" s="114"/>
      <c r="L145" s="117"/>
      <c r="M145" s="114"/>
      <c r="O145" s="117"/>
      <c r="P145" s="113"/>
      <c r="Q145" s="114"/>
      <c r="U145" s="17"/>
      <c r="V145" s="91"/>
      <c r="W145" s="117"/>
      <c r="X145" s="117"/>
      <c r="AA145" s="91"/>
      <c r="AB145" s="117"/>
      <c r="AC145" s="117"/>
      <c r="AD145" s="113"/>
      <c r="AG145" s="69"/>
      <c r="AK145" s="35"/>
      <c r="AP145" s="35"/>
    </row>
    <row r="146" spans="1:42">
      <c r="A146" s="143" t="s">
        <v>273</v>
      </c>
      <c r="D146" s="125" t="s">
        <v>199</v>
      </c>
      <c r="E146" s="119"/>
      <c r="F146" s="119"/>
      <c r="G146" s="120"/>
      <c r="H146" s="121"/>
      <c r="I146" s="121"/>
      <c r="J146" s="113"/>
      <c r="K146" s="114"/>
      <c r="L146" s="117"/>
      <c r="M146" s="114"/>
      <c r="O146" s="117"/>
      <c r="P146" s="113"/>
      <c r="Q146" s="114"/>
      <c r="U146" s="17"/>
      <c r="V146" s="91"/>
      <c r="W146" s="117"/>
      <c r="X146" s="117"/>
      <c r="AA146" s="91"/>
      <c r="AB146" s="117"/>
      <c r="AC146" s="117"/>
      <c r="AD146" s="113"/>
      <c r="AK146" s="35"/>
      <c r="AP146" s="35"/>
    </row>
    <row r="147" spans="1:42">
      <c r="A147" s="143"/>
      <c r="B147" s="15" t="s">
        <v>274</v>
      </c>
      <c r="C147" s="15" t="s">
        <v>205</v>
      </c>
      <c r="D147" s="15" t="s">
        <v>275</v>
      </c>
      <c r="E147" s="119">
        <v>5.16</v>
      </c>
      <c r="F147" s="119">
        <v>33.1</v>
      </c>
      <c r="G147" s="120">
        <v>9.4100000000000003E-2</v>
      </c>
      <c r="H147" s="121">
        <v>0.51122900000000004</v>
      </c>
      <c r="I147" s="121">
        <v>6.9999999999999999E-6</v>
      </c>
      <c r="J147" s="113">
        <f>((H147/0.512638)-1)*10000</f>
        <v>-27.485282011867618</v>
      </c>
      <c r="K147" s="114">
        <f>(((H147+I147)/0.512638)-1)*10000-J147</f>
        <v>0.13654859764567107</v>
      </c>
      <c r="L147" s="117">
        <f>H147-(G147*(EXP(0.00000000000654*N147*1000000)-1))</f>
        <v>0.5108713820505919</v>
      </c>
      <c r="M147" s="114">
        <f>IF(G147&gt;0.14,"N/A",LN((0.513163-H147)/(0.2137-G147)+1)*(1/0.00000000000654)/1000000000)</f>
        <v>2.4527855517428447</v>
      </c>
      <c r="N147" s="90">
        <v>580</v>
      </c>
      <c r="O147" s="117">
        <f>0.512638-(0.1967*(EXP(0.00000000000654*N147*1000000)-1))</f>
        <v>0.51189046067323518</v>
      </c>
      <c r="P147" s="113">
        <f>((L147/O147)-1)*10000</f>
        <v>-19.908138575253087</v>
      </c>
      <c r="Q147" s="114">
        <f>(((L147+I147)/O147)-1)*10000-P147</f>
        <v>0.13674800641516427</v>
      </c>
      <c r="S147" s="91">
        <v>580</v>
      </c>
      <c r="T147" s="15" t="s">
        <v>203</v>
      </c>
      <c r="U147" s="17"/>
      <c r="V147" s="91"/>
      <c r="W147" s="117"/>
      <c r="X147" s="117"/>
      <c r="AA147" s="91"/>
      <c r="AB147" s="117"/>
      <c r="AC147" s="117"/>
      <c r="AD147" s="113"/>
      <c r="AK147" s="35"/>
      <c r="AP147" s="35"/>
    </row>
    <row r="148" spans="1:42">
      <c r="A148" s="143"/>
      <c r="B148" s="15" t="s">
        <v>276</v>
      </c>
      <c r="C148" s="15" t="s">
        <v>201</v>
      </c>
      <c r="D148" s="15" t="s">
        <v>275</v>
      </c>
      <c r="E148" s="119">
        <v>3.33</v>
      </c>
      <c r="F148" s="119">
        <v>16.7</v>
      </c>
      <c r="G148" s="120">
        <v>0.1205</v>
      </c>
      <c r="H148" s="121">
        <v>0.51131599999999999</v>
      </c>
      <c r="I148" s="121">
        <v>6.0000000000000002E-6</v>
      </c>
      <c r="J148" s="113">
        <f>((H148/0.512638)-1)*10000</f>
        <v>-25.788178012555729</v>
      </c>
      <c r="K148" s="114">
        <f>(((H148+I148)/0.512638)-1)*10000-J148</f>
        <v>0.11704165512438536</v>
      </c>
      <c r="L148" s="117">
        <f>H148-(G148*(EXP(0.00000000000654*N148*1000000)-1))</f>
        <v>0.51085805140378659</v>
      </c>
      <c r="M148" s="114">
        <f>IF(G148&gt;0.14,"N/A",LN((0.513163-H148)/(0.2137-G148)+1)*(1/0.00000000000654)/1000000000)</f>
        <v>3.0005786558378253</v>
      </c>
      <c r="N148" s="90">
        <v>580</v>
      </c>
      <c r="O148" s="117">
        <f>0.512638-(0.1967*(EXP(0.00000000000654*N148*1000000)-1))</f>
        <v>0.51189046067323518</v>
      </c>
      <c r="P148" s="113">
        <f>((L148/O148)-1)*10000</f>
        <v>-20.168558485945674</v>
      </c>
      <c r="Q148" s="114">
        <f>(((L148+I148)/O148)-1)*10000-P148</f>
        <v>0.11721257692664722</v>
      </c>
      <c r="S148" s="91">
        <v>580</v>
      </c>
      <c r="T148" s="15" t="s">
        <v>203</v>
      </c>
      <c r="U148" s="17"/>
      <c r="V148" s="91"/>
      <c r="W148" s="117"/>
      <c r="X148" s="117"/>
      <c r="AA148" s="91"/>
      <c r="AB148" s="117"/>
      <c r="AC148" s="117"/>
      <c r="AD148" s="113"/>
      <c r="AK148" s="35"/>
      <c r="AP148" s="35"/>
    </row>
    <row r="149" spans="1:42">
      <c r="A149" s="143"/>
      <c r="B149" s="15" t="s">
        <v>277</v>
      </c>
      <c r="C149" s="15" t="s">
        <v>207</v>
      </c>
      <c r="D149" s="15" t="s">
        <v>275</v>
      </c>
      <c r="E149" s="119">
        <v>6.58</v>
      </c>
      <c r="F149" s="119">
        <v>37.200000000000003</v>
      </c>
      <c r="G149" s="120">
        <v>0.1069</v>
      </c>
      <c r="H149" s="121">
        <v>0.51138099999999997</v>
      </c>
      <c r="I149" s="121">
        <v>6.9999999999999999E-6</v>
      </c>
      <c r="J149" s="113">
        <f>((H149/0.512638)-1)*10000</f>
        <v>-24.520226748701024</v>
      </c>
      <c r="K149" s="114">
        <f>(((H149+I149)/0.512638)-1)*10000-J149</f>
        <v>0.13654859764566751</v>
      </c>
      <c r="L149" s="117">
        <f>H149-(G149*(EXP(0.00000000000654*N149*1000000)-1))</f>
        <v>0.51097824574593809</v>
      </c>
      <c r="M149" s="114">
        <f>IF(G149&gt;0.14,"N/A",LN((0.513163-H149)/(0.2137-G149)+1)*(1/0.00000000000654)/1000000000)</f>
        <v>2.5302326269151472</v>
      </c>
      <c r="N149" s="90">
        <v>575</v>
      </c>
      <c r="O149" s="117">
        <f>0.512638-(0.1967*(EXP(0.00000000000654*N149*1000000)-1))</f>
        <v>0.51189691710220797</v>
      </c>
      <c r="P149" s="113">
        <f>((L149/O149)-1)*10000</f>
        <v>-17.946413146427975</v>
      </c>
      <c r="Q149" s="114">
        <f>(((L149+I149)/O149)-1)*10000-P149</f>
        <v>0.13674628164595148</v>
      </c>
      <c r="S149" s="91">
        <v>575</v>
      </c>
      <c r="T149" s="15" t="s">
        <v>203</v>
      </c>
      <c r="U149" s="17"/>
      <c r="V149" s="91"/>
      <c r="W149" s="117"/>
      <c r="X149" s="117"/>
      <c r="AA149" s="91"/>
      <c r="AB149" s="117"/>
      <c r="AC149" s="117"/>
      <c r="AD149" s="113"/>
      <c r="AK149" s="35"/>
      <c r="AP149" s="35"/>
    </row>
    <row r="150" spans="1:42">
      <c r="A150" s="143"/>
      <c r="B150" s="15" t="s">
        <v>278</v>
      </c>
      <c r="C150" s="15" t="s">
        <v>201</v>
      </c>
      <c r="D150" s="15" t="s">
        <v>275</v>
      </c>
      <c r="E150" s="119">
        <v>1.1499999999999999</v>
      </c>
      <c r="F150" s="119">
        <v>6.33</v>
      </c>
      <c r="G150" s="120">
        <v>0.1094</v>
      </c>
      <c r="H150" s="121">
        <v>0.51141599999999998</v>
      </c>
      <c r="I150" s="121">
        <v>6.9999999999999999E-6</v>
      </c>
      <c r="J150" s="113">
        <f>((H150/0.512638)-1)*10000</f>
        <v>-23.837483760471567</v>
      </c>
      <c r="K150" s="114">
        <f>(((H150+I150)/0.512638)-1)*10000-J150</f>
        <v>0.13654859764566751</v>
      </c>
      <c r="L150" s="117">
        <f>H150-(G150*(EXP(0.00000000000654*N150*1000000)-1))</f>
        <v>0.51100382679705914</v>
      </c>
      <c r="M150" s="114">
        <f>IF(G150&gt;0.14,"N/A",LN((0.513163-H150)/(0.2137-G150)+1)*(1/0.00000000000654)/1000000000)</f>
        <v>2.5399128533175608</v>
      </c>
      <c r="N150" s="90">
        <v>575</v>
      </c>
      <c r="O150" s="117">
        <f>0.512638-(0.1967*(EXP(0.00000000000654*N150*1000000)-1))</f>
        <v>0.51189691710220797</v>
      </c>
      <c r="P150" s="113">
        <f>((L150/O150)-1)*10000</f>
        <v>-17.44668262908311</v>
      </c>
      <c r="Q150" s="114">
        <f>(((L150+I150)/O150)-1)*10000-P150</f>
        <v>0.13674628164595148</v>
      </c>
      <c r="S150" s="91">
        <v>575</v>
      </c>
      <c r="T150" s="15" t="s">
        <v>203</v>
      </c>
      <c r="U150" s="17"/>
      <c r="V150" s="91"/>
      <c r="W150" s="117"/>
      <c r="X150" s="117"/>
      <c r="AA150" s="91"/>
      <c r="AB150" s="117"/>
      <c r="AC150" s="117"/>
      <c r="AD150" s="113"/>
      <c r="AK150" s="35"/>
      <c r="AP150" s="35"/>
    </row>
    <row r="151" spans="1:42">
      <c r="A151" s="143"/>
      <c r="B151" s="15" t="s">
        <v>279</v>
      </c>
      <c r="C151" s="15" t="s">
        <v>207</v>
      </c>
      <c r="D151" s="15" t="s">
        <v>275</v>
      </c>
      <c r="E151" s="119">
        <v>4.47</v>
      </c>
      <c r="F151" s="119">
        <v>26.6</v>
      </c>
      <c r="G151" s="120">
        <v>0.1017</v>
      </c>
      <c r="H151" s="121">
        <v>0.51148000000000005</v>
      </c>
      <c r="I151" s="121">
        <v>6.0000000000000002E-6</v>
      </c>
      <c r="J151" s="113">
        <f>((H151/0.512638)-1)*10000</f>
        <v>-22.589039439135927</v>
      </c>
      <c r="K151" s="114">
        <f>(((H151+I151)/0.512638)-1)*10000-J151</f>
        <v>0.11704165512327336</v>
      </c>
      <c r="L151" s="117">
        <f>H151-(G151*(EXP(0.00000000000654*N151*1000000)-1))</f>
        <v>0.5111001752244535</v>
      </c>
      <c r="M151" s="114">
        <f>IF(G151&gt;0.14,"N/A",LN((0.513163-H151)/(0.2137-G151)+1)*(1/0.00000000000654)/1000000000)</f>
        <v>2.2805813473754601</v>
      </c>
      <c r="N151" s="90">
        <v>570</v>
      </c>
      <c r="O151" s="117">
        <f>0.512638-(0.1967*(EXP(0.00000000000654*N151*1000000)-1))</f>
        <v>0.51190337332005897</v>
      </c>
      <c r="P151" s="113">
        <f>((L151/O151)-1)*10000</f>
        <v>-15.690423964119793</v>
      </c>
      <c r="Q151" s="114">
        <f>(((L151+I151)/O151)-1)*10000-P151</f>
        <v>0.11720962026617876</v>
      </c>
      <c r="S151" s="91">
        <v>570</v>
      </c>
      <c r="T151" s="15" t="s">
        <v>203</v>
      </c>
      <c r="U151" s="17"/>
      <c r="V151" s="91"/>
      <c r="W151" s="117"/>
      <c r="X151" s="117"/>
      <c r="AA151" s="91"/>
      <c r="AB151" s="117"/>
      <c r="AC151" s="117"/>
      <c r="AD151" s="113"/>
      <c r="AK151" s="35"/>
      <c r="AP151" s="35"/>
    </row>
    <row r="152" spans="1:42">
      <c r="E152" s="119"/>
      <c r="F152" s="119"/>
      <c r="G152" s="120"/>
      <c r="H152" s="121"/>
      <c r="I152" s="121"/>
      <c r="J152" s="113"/>
      <c r="K152" s="114"/>
      <c r="L152" s="117"/>
      <c r="M152" s="114"/>
      <c r="O152" s="117"/>
      <c r="P152" s="113"/>
      <c r="Q152" s="114"/>
      <c r="U152" s="17"/>
      <c r="V152" s="91"/>
      <c r="W152" s="117"/>
      <c r="X152" s="117"/>
      <c r="AA152" s="91"/>
      <c r="AB152" s="117"/>
      <c r="AC152" s="117"/>
      <c r="AD152" s="113"/>
      <c r="AK152" s="35"/>
      <c r="AP152" s="35"/>
    </row>
    <row r="153" spans="1:42">
      <c r="A153" s="143" t="s">
        <v>280</v>
      </c>
      <c r="B153" s="118"/>
      <c r="D153" s="125" t="s">
        <v>281</v>
      </c>
      <c r="E153" s="119"/>
      <c r="F153" s="119"/>
      <c r="G153" s="120"/>
      <c r="H153" s="121"/>
      <c r="I153" s="121"/>
      <c r="J153" s="113"/>
      <c r="K153" s="114"/>
      <c r="L153" s="117"/>
      <c r="M153" s="114"/>
      <c r="O153" s="117"/>
      <c r="P153" s="113"/>
      <c r="Q153" s="114"/>
      <c r="U153" s="17"/>
      <c r="V153" s="91"/>
      <c r="W153" s="117"/>
      <c r="X153" s="117"/>
      <c r="AA153" s="91"/>
      <c r="AB153" s="117"/>
      <c r="AC153" s="117"/>
      <c r="AD153" s="113"/>
      <c r="AK153" s="35"/>
      <c r="AP153" s="35"/>
    </row>
    <row r="154" spans="1:42">
      <c r="A154" s="143"/>
      <c r="B154" s="15" t="s">
        <v>282</v>
      </c>
      <c r="C154" s="15" t="s">
        <v>16</v>
      </c>
      <c r="D154" s="15" t="s">
        <v>283</v>
      </c>
      <c r="E154" s="119">
        <v>5</v>
      </c>
      <c r="F154" s="119">
        <v>25.24</v>
      </c>
      <c r="G154" s="120">
        <v>0.1198</v>
      </c>
      <c r="H154" s="121">
        <v>0.51196900000000001</v>
      </c>
      <c r="I154" s="121"/>
      <c r="J154" s="113">
        <f>((H154/0.512638)-1)*10000</f>
        <v>-13.05014454644482</v>
      </c>
      <c r="K154" s="114"/>
      <c r="L154" s="117">
        <f t="shared" ref="L154:L157" si="111">H154-(G154*(EXP(0.00000000000654*N154*1000000)-1))</f>
        <v>0.51129329845336446</v>
      </c>
      <c r="M154" s="114">
        <f t="shared" ref="M154:M157" si="112">IF(G154&gt;0.14,"N/A",LN((0.513163-H154)/(0.2137-G154)+1)*(1/0.00000000000654)/1000000000)</f>
        <v>1.9320320893159961</v>
      </c>
      <c r="N154" s="90">
        <v>860</v>
      </c>
      <c r="O154" s="117">
        <f>0.512638-(0.1967*(EXP(0.00000000000654*N154*1000000)-1))</f>
        <v>0.51152856348728548</v>
      </c>
      <c r="P154" s="113">
        <f t="shared" ref="P154:P157" si="113">((L154/O154)-1)*10000</f>
        <v>-4.5992550702766977</v>
      </c>
      <c r="Q154" s="114"/>
      <c r="S154" s="91" t="s">
        <v>284</v>
      </c>
      <c r="T154" s="126" t="s">
        <v>285</v>
      </c>
      <c r="U154" s="17"/>
      <c r="V154" s="91">
        <v>1000</v>
      </c>
      <c r="W154" s="117">
        <f t="shared" ref="W154:W157" si="114">H154-(G154*(EXP(0.00000000000654*V154*1000000)-1))</f>
        <v>0.51118294038681522</v>
      </c>
      <c r="X154" s="117">
        <f t="shared" ref="X154:X157" si="115">0.512638-(0.1967*(EXP(0.00000000000654*V154*1000000)-1))</f>
        <v>0.51134736622776755</v>
      </c>
      <c r="Y154" s="113">
        <f t="shared" ref="Y154:Y157" si="116">((W154/X154)-1)*10000</f>
        <v>-3.2155409768763743</v>
      </c>
      <c r="AA154" s="91">
        <v>720</v>
      </c>
      <c r="AB154" s="117">
        <f t="shared" ref="AB154:AB157" si="117">H154-(G154*(EXP(0.00000000000654*AA154*1000000)-1))</f>
        <v>0.51140355552231187</v>
      </c>
      <c r="AC154" s="117">
        <f t="shared" ref="AC154:AC157" si="118">0.512638-(0.1967*(EXP(0.00000000000654*AA154*1000000)-1))</f>
        <v>0.51170959491852042</v>
      </c>
      <c r="AD154" s="113">
        <f t="shared" ref="AD154:AD157" si="119">((AB154/AC154)-1)*10000</f>
        <v>-5.9807242085674339</v>
      </c>
      <c r="AK154" s="35"/>
      <c r="AP154" s="35"/>
    </row>
    <row r="155" spans="1:42">
      <c r="A155" s="143"/>
      <c r="B155" s="15" t="s">
        <v>286</v>
      </c>
      <c r="C155" s="15" t="s">
        <v>287</v>
      </c>
      <c r="D155" s="15" t="s">
        <v>288</v>
      </c>
      <c r="E155" s="119">
        <v>5.8</v>
      </c>
      <c r="F155" s="119">
        <v>27.44</v>
      </c>
      <c r="G155" s="120">
        <v>0.12770000000000001</v>
      </c>
      <c r="H155" s="121">
        <v>0.51211300000000004</v>
      </c>
      <c r="I155" s="121"/>
      <c r="J155" s="113">
        <f t="shared" ref="J155:J157" si="120">((H155/0.512638)-1)*10000</f>
        <v>-10.24114482344296</v>
      </c>
      <c r="K155" s="114"/>
      <c r="L155" s="117">
        <f t="shared" si="111"/>
        <v>0.51139274050496364</v>
      </c>
      <c r="M155" s="114">
        <f t="shared" si="112"/>
        <v>1.8555611560688521</v>
      </c>
      <c r="N155" s="90">
        <v>860</v>
      </c>
      <c r="O155" s="117">
        <f>0.512638-(0.1967*(EXP(0.00000000000654*N155*1000000)-1))</f>
        <v>0.51152856348728548</v>
      </c>
      <c r="P155" s="113">
        <f t="shared" si="113"/>
        <v>-2.6552374982913296</v>
      </c>
      <c r="Q155" s="114"/>
      <c r="S155" s="91" t="s">
        <v>284</v>
      </c>
      <c r="T155" s="126" t="s">
        <v>285</v>
      </c>
      <c r="U155" s="17"/>
      <c r="V155" s="91">
        <v>1000</v>
      </c>
      <c r="W155" s="117">
        <f t="shared" si="114"/>
        <v>0.511275105070086</v>
      </c>
      <c r="X155" s="117">
        <f t="shared" si="115"/>
        <v>0.51134736622776755</v>
      </c>
      <c r="Y155" s="113">
        <f t="shared" si="116"/>
        <v>-1.4131520460269886</v>
      </c>
      <c r="AA155" s="91">
        <v>720</v>
      </c>
      <c r="AB155" s="117">
        <f t="shared" si="117"/>
        <v>0.51151026828213042</v>
      </c>
      <c r="AC155" s="117">
        <f t="shared" si="118"/>
        <v>0.51170959491852042</v>
      </c>
      <c r="AD155" s="113">
        <f t="shared" si="119"/>
        <v>-3.8953077755310428</v>
      </c>
      <c r="AK155" s="35"/>
      <c r="AP155" s="35"/>
    </row>
    <row r="156" spans="1:42">
      <c r="A156" s="143"/>
      <c r="B156" s="15" t="s">
        <v>289</v>
      </c>
      <c r="C156" s="15" t="s">
        <v>259</v>
      </c>
      <c r="D156" s="15" t="s">
        <v>290</v>
      </c>
      <c r="E156" s="119">
        <v>14.52</v>
      </c>
      <c r="F156" s="119">
        <v>75.19</v>
      </c>
      <c r="G156" s="120">
        <v>0.1168</v>
      </c>
      <c r="H156" s="121">
        <v>0.51195500000000005</v>
      </c>
      <c r="I156" s="121"/>
      <c r="J156" s="113">
        <f t="shared" si="120"/>
        <v>-13.323241741736158</v>
      </c>
      <c r="K156" s="114"/>
      <c r="L156" s="117">
        <f t="shared" si="111"/>
        <v>0.51129621919326362</v>
      </c>
      <c r="M156" s="114">
        <f t="shared" si="112"/>
        <v>1.8944027200259341</v>
      </c>
      <c r="N156" s="90">
        <v>860</v>
      </c>
      <c r="O156" s="117">
        <f>0.512638-(0.1967*(EXP(0.00000000000654*N156*1000000)-1))</f>
        <v>0.51152856348728548</v>
      </c>
      <c r="P156" s="113">
        <f t="shared" si="113"/>
        <v>-4.5421567944881058</v>
      </c>
      <c r="Q156" s="114"/>
      <c r="S156" s="91" t="s">
        <v>284</v>
      </c>
      <c r="T156" s="126" t="s">
        <v>285</v>
      </c>
      <c r="U156" s="17"/>
      <c r="V156" s="91">
        <v>1000</v>
      </c>
      <c r="W156" s="117">
        <f t="shared" si="114"/>
        <v>0.51118862468430737</v>
      </c>
      <c r="X156" s="117">
        <f t="shared" si="115"/>
        <v>0.51134736622776755</v>
      </c>
      <c r="Y156" s="113">
        <f t="shared" si="116"/>
        <v>-3.1043778445805081</v>
      </c>
      <c r="AA156" s="91">
        <v>720</v>
      </c>
      <c r="AB156" s="117">
        <f t="shared" si="117"/>
        <v>0.51140371523377315</v>
      </c>
      <c r="AC156" s="117">
        <f t="shared" si="118"/>
        <v>0.51170959491852042</v>
      </c>
      <c r="AD156" s="113">
        <f t="shared" si="119"/>
        <v>-5.9776030737901387</v>
      </c>
      <c r="AK156" s="35"/>
      <c r="AP156" s="35"/>
    </row>
    <row r="157" spans="1:42">
      <c r="A157" s="143"/>
      <c r="B157" s="15" t="s">
        <v>291</v>
      </c>
      <c r="C157" s="15" t="s">
        <v>287</v>
      </c>
      <c r="D157" s="15" t="s">
        <v>292</v>
      </c>
      <c r="E157" s="119">
        <v>7.59</v>
      </c>
      <c r="F157" s="119">
        <v>41.8</v>
      </c>
      <c r="G157" s="120">
        <v>0.10970000000000001</v>
      </c>
      <c r="H157" s="121">
        <v>0.51195400000000002</v>
      </c>
      <c r="I157" s="121"/>
      <c r="J157" s="113">
        <f t="shared" si="120"/>
        <v>-13.342748684257444</v>
      </c>
      <c r="K157" s="114"/>
      <c r="L157" s="117">
        <f t="shared" si="111"/>
        <v>0.51133526494435799</v>
      </c>
      <c r="M157" s="114">
        <f t="shared" si="112"/>
        <v>1.7672704638729544</v>
      </c>
      <c r="N157" s="90">
        <v>860</v>
      </c>
      <c r="O157" s="117">
        <f>0.512638-(0.1967*(EXP(0.00000000000654*N157*1000000)-1))</f>
        <v>0.51152856348728548</v>
      </c>
      <c r="P157" s="113">
        <f t="shared" si="113"/>
        <v>-3.7788416273321079</v>
      </c>
      <c r="Q157" s="114"/>
      <c r="S157" s="91" t="s">
        <v>284</v>
      </c>
      <c r="T157" s="126" t="s">
        <v>285</v>
      </c>
      <c r="U157" s="17"/>
      <c r="V157" s="91">
        <v>1000</v>
      </c>
      <c r="W157" s="117">
        <f t="shared" si="114"/>
        <v>0.51123421085503862</v>
      </c>
      <c r="X157" s="117">
        <f t="shared" si="115"/>
        <v>0.51134736622776755</v>
      </c>
      <c r="Y157" s="113">
        <f t="shared" si="116"/>
        <v>-2.2128865855652879</v>
      </c>
      <c r="AA157" s="91">
        <v>720</v>
      </c>
      <c r="AB157" s="117">
        <f t="shared" si="117"/>
        <v>0.51143622655089827</v>
      </c>
      <c r="AC157" s="117">
        <f t="shared" si="118"/>
        <v>0.51170959491852042</v>
      </c>
      <c r="AD157" s="113">
        <f t="shared" si="119"/>
        <v>-5.3422560439908562</v>
      </c>
      <c r="AK157" s="35"/>
      <c r="AP157" s="35"/>
    </row>
    <row r="158" spans="1:42">
      <c r="E158" s="119"/>
      <c r="F158" s="119"/>
      <c r="G158" s="120"/>
      <c r="H158" s="121"/>
      <c r="I158" s="121"/>
      <c r="L158" s="117"/>
      <c r="M158" s="114"/>
      <c r="O158" s="117"/>
      <c r="U158" s="17"/>
      <c r="V158" s="91"/>
      <c r="AB158" s="117"/>
      <c r="AC158" s="117"/>
    </row>
    <row r="159" spans="1:42">
      <c r="A159" s="143" t="s">
        <v>293</v>
      </c>
      <c r="D159" s="118" t="s">
        <v>247</v>
      </c>
      <c r="E159" s="119"/>
      <c r="F159" s="119"/>
      <c r="G159" s="120"/>
      <c r="H159" s="121"/>
      <c r="I159" s="121"/>
      <c r="J159" s="113"/>
      <c r="K159" s="114"/>
      <c r="L159" s="117"/>
      <c r="M159" s="114"/>
      <c r="O159" s="117"/>
      <c r="P159" s="113"/>
      <c r="Q159" s="114"/>
      <c r="U159" s="17"/>
      <c r="V159" s="91"/>
      <c r="AB159" s="117"/>
      <c r="AC159" s="117"/>
      <c r="AD159" s="113"/>
    </row>
    <row r="160" spans="1:42">
      <c r="A160" s="143"/>
      <c r="B160" s="15" t="s">
        <v>294</v>
      </c>
      <c r="C160" s="15" t="s">
        <v>295</v>
      </c>
      <c r="D160" s="15" t="s">
        <v>296</v>
      </c>
      <c r="E160" s="119">
        <v>6.88</v>
      </c>
      <c r="F160" s="119">
        <v>36.26</v>
      </c>
      <c r="G160" s="120">
        <v>0.1147</v>
      </c>
      <c r="H160" s="121">
        <v>0.51158300000000001</v>
      </c>
      <c r="I160" s="121">
        <v>1.2E-5</v>
      </c>
      <c r="J160" s="113">
        <f t="shared" ref="J160:J173" si="121">((H160/0.512638)-1)*10000</f>
        <v>-20.579824359490129</v>
      </c>
      <c r="K160" s="114">
        <f t="shared" ref="K160:K173" si="122">(((H160+I160)/0.512638)-1)*10000-J160</f>
        <v>0.23408331024987561</v>
      </c>
      <c r="L160" s="117">
        <f t="shared" ref="L160:L173" si="123">H160-(G160*(EXP(0.00000000000654*N160*1000000)-1))</f>
        <v>0.51038026776557877</v>
      </c>
      <c r="M160" s="114">
        <f t="shared" ref="M160:M173" si="124">IF(G160&gt;0.14,"N/A",LN((0.513163-H160)/(0.2137-G160)+1)*(1/0.00000000000654)/1000000000)</f>
        <v>2.421036790401986</v>
      </c>
      <c r="N160" s="90">
        <v>1595</v>
      </c>
      <c r="O160" s="117">
        <f t="shared" ref="O160:O173" si="125">0.512638-(0.1967*(EXP(0.00000000000654*N160*1000000)-1))</f>
        <v>0.51057542431987213</v>
      </c>
      <c r="P160" s="113">
        <f t="shared" ref="P160:P173" si="126">((L160/O160)-1)*10000</f>
        <v>-3.8222864830073089</v>
      </c>
      <c r="Q160" s="114">
        <f t="shared" ref="Q160:Q173" si="127">(((L160+I160)/O160)-1)*10000-P160</f>
        <v>0.23502893849558504</v>
      </c>
      <c r="S160" s="91">
        <v>1595</v>
      </c>
      <c r="T160" s="15" t="s">
        <v>297</v>
      </c>
      <c r="U160" s="17"/>
      <c r="V160" s="91"/>
      <c r="AB160" s="117"/>
      <c r="AC160" s="117"/>
      <c r="AD160" s="113"/>
    </row>
    <row r="161" spans="1:30">
      <c r="A161" s="143"/>
      <c r="B161" s="15" t="s">
        <v>298</v>
      </c>
      <c r="C161" s="15" t="s">
        <v>295</v>
      </c>
      <c r="D161" s="15" t="s">
        <v>296</v>
      </c>
      <c r="E161" s="119">
        <v>2.81</v>
      </c>
      <c r="F161" s="119">
        <v>13.51</v>
      </c>
      <c r="G161" s="120">
        <v>0.1255</v>
      </c>
      <c r="H161" s="121">
        <v>0.51150700000000004</v>
      </c>
      <c r="I161" s="121">
        <v>7.9999999999999996E-6</v>
      </c>
      <c r="J161" s="113">
        <f t="shared" si="121"/>
        <v>-22.062351991073427</v>
      </c>
      <c r="K161" s="114">
        <f t="shared" si="122"/>
        <v>0.15605554016695677</v>
      </c>
      <c r="L161" s="117">
        <f t="shared" si="123"/>
        <v>0.51019102009224182</v>
      </c>
      <c r="M161" s="114">
        <f t="shared" si="124"/>
        <v>2.8442547324993304</v>
      </c>
      <c r="N161" s="90">
        <v>1595</v>
      </c>
      <c r="O161" s="117">
        <f t="shared" si="125"/>
        <v>0.51057542431987213</v>
      </c>
      <c r="P161" s="113">
        <f t="shared" si="126"/>
        <v>-7.5288431311082427</v>
      </c>
      <c r="Q161" s="114">
        <f t="shared" si="127"/>
        <v>0.15668595899742677</v>
      </c>
      <c r="S161" s="91">
        <v>1595</v>
      </c>
      <c r="T161" s="15" t="s">
        <v>297</v>
      </c>
      <c r="U161" s="17"/>
      <c r="V161" s="91"/>
      <c r="AB161" s="117"/>
      <c r="AC161" s="117"/>
      <c r="AD161" s="113"/>
    </row>
    <row r="162" spans="1:30">
      <c r="A162" s="143"/>
      <c r="B162" s="15" t="s">
        <v>299</v>
      </c>
      <c r="C162" s="15" t="s">
        <v>295</v>
      </c>
      <c r="D162" s="15" t="s">
        <v>296</v>
      </c>
      <c r="E162" s="119">
        <v>3.04</v>
      </c>
      <c r="F162" s="119">
        <v>13.95</v>
      </c>
      <c r="G162" s="120">
        <v>0.13170000000000001</v>
      </c>
      <c r="H162" s="121">
        <v>0.51184099999999999</v>
      </c>
      <c r="I162" s="121">
        <v>1.1E-5</v>
      </c>
      <c r="J162" s="113">
        <f t="shared" si="121"/>
        <v>-15.547033189112769</v>
      </c>
      <c r="K162" s="114">
        <f t="shared" si="122"/>
        <v>0.21457636772859168</v>
      </c>
      <c r="L162" s="117">
        <f t="shared" si="123"/>
        <v>0.51046000753902976</v>
      </c>
      <c r="M162" s="114">
        <f t="shared" si="124"/>
        <v>2.4454698289060577</v>
      </c>
      <c r="N162" s="90">
        <v>1595</v>
      </c>
      <c r="O162" s="117">
        <f t="shared" si="125"/>
        <v>0.51057542431987213</v>
      </c>
      <c r="P162" s="113">
        <f t="shared" si="126"/>
        <v>-2.2605236238326665</v>
      </c>
      <c r="Q162" s="114">
        <f t="shared" si="127"/>
        <v>0.21544319362076791</v>
      </c>
      <c r="S162" s="91">
        <v>1595</v>
      </c>
      <c r="T162" s="15" t="s">
        <v>297</v>
      </c>
      <c r="U162" s="17"/>
      <c r="AB162" s="117"/>
      <c r="AC162" s="117"/>
      <c r="AD162" s="113"/>
    </row>
    <row r="163" spans="1:30">
      <c r="A163" s="143"/>
      <c r="B163" s="15" t="s">
        <v>300</v>
      </c>
      <c r="C163" s="15" t="s">
        <v>295</v>
      </c>
      <c r="D163" s="15" t="s">
        <v>296</v>
      </c>
      <c r="E163" s="119">
        <v>6.76</v>
      </c>
      <c r="F163" s="119">
        <v>32.85</v>
      </c>
      <c r="G163" s="120">
        <v>0.1245</v>
      </c>
      <c r="H163" s="121">
        <v>0.51141899999999996</v>
      </c>
      <c r="I163" s="121">
        <v>7.9999999999999996E-6</v>
      </c>
      <c r="J163" s="113">
        <f t="shared" si="121"/>
        <v>-23.778962932909931</v>
      </c>
      <c r="K163" s="114">
        <f t="shared" si="122"/>
        <v>0.15605554016695677</v>
      </c>
      <c r="L163" s="117">
        <f t="shared" si="123"/>
        <v>0.51011350598792105</v>
      </c>
      <c r="M163" s="114">
        <f t="shared" si="124"/>
        <v>2.9606869860355816</v>
      </c>
      <c r="N163" s="90">
        <v>1595</v>
      </c>
      <c r="O163" s="117">
        <f t="shared" si="125"/>
        <v>0.51057542431987213</v>
      </c>
      <c r="P163" s="113">
        <f t="shared" si="126"/>
        <v>-9.0470146025223297</v>
      </c>
      <c r="Q163" s="114">
        <f t="shared" si="127"/>
        <v>0.15668595899742677</v>
      </c>
      <c r="S163" s="91">
        <v>1595</v>
      </c>
      <c r="T163" s="15" t="s">
        <v>297</v>
      </c>
      <c r="U163" s="17"/>
      <c r="AB163" s="117"/>
      <c r="AC163" s="117"/>
      <c r="AD163" s="113"/>
    </row>
    <row r="164" spans="1:30">
      <c r="A164" s="143"/>
      <c r="B164" s="15" t="s">
        <v>301</v>
      </c>
      <c r="C164" s="15" t="s">
        <v>295</v>
      </c>
      <c r="D164" s="15" t="s">
        <v>296</v>
      </c>
      <c r="E164" s="119">
        <v>6.44</v>
      </c>
      <c r="F164" s="119">
        <v>38.65</v>
      </c>
      <c r="G164" s="120">
        <v>0.1008</v>
      </c>
      <c r="H164" s="121">
        <v>0.511405</v>
      </c>
      <c r="I164" s="121">
        <v>7.9999999999999996E-6</v>
      </c>
      <c r="J164" s="113">
        <f t="shared" si="121"/>
        <v>-24.052060128200161</v>
      </c>
      <c r="K164" s="114">
        <f t="shared" si="122"/>
        <v>0.15605554016695677</v>
      </c>
      <c r="L164" s="117">
        <f t="shared" si="123"/>
        <v>0.51034802171552163</v>
      </c>
      <c r="M164" s="114">
        <f t="shared" si="124"/>
        <v>2.3625861311783343</v>
      </c>
      <c r="N164" s="90">
        <v>1595</v>
      </c>
      <c r="O164" s="117">
        <f t="shared" si="125"/>
        <v>0.51057542431987213</v>
      </c>
      <c r="P164" s="113">
        <f t="shared" si="126"/>
        <v>-4.4538493926415956</v>
      </c>
      <c r="Q164" s="114">
        <f t="shared" si="127"/>
        <v>0.15668595899742677</v>
      </c>
      <c r="S164" s="91">
        <v>1595</v>
      </c>
      <c r="T164" s="15" t="s">
        <v>297</v>
      </c>
      <c r="U164" s="17"/>
      <c r="AB164" s="117"/>
      <c r="AC164" s="117"/>
      <c r="AD164" s="113"/>
    </row>
    <row r="165" spans="1:30">
      <c r="A165" s="143"/>
      <c r="B165" s="15" t="s">
        <v>302</v>
      </c>
      <c r="C165" s="15" t="s">
        <v>303</v>
      </c>
      <c r="D165" s="15" t="s">
        <v>296</v>
      </c>
      <c r="E165" s="119">
        <v>8.08</v>
      </c>
      <c r="F165" s="119">
        <v>45.83</v>
      </c>
      <c r="G165" s="120">
        <v>0.1066</v>
      </c>
      <c r="H165" s="121">
        <v>0.51143099999999997</v>
      </c>
      <c r="I165" s="121">
        <v>7.9999999999999996E-6</v>
      </c>
      <c r="J165" s="113">
        <f t="shared" si="121"/>
        <v>-23.544879622658943</v>
      </c>
      <c r="K165" s="114">
        <f t="shared" si="122"/>
        <v>0.15605554016695677</v>
      </c>
      <c r="L165" s="117">
        <f t="shared" si="123"/>
        <v>0.51023215849268677</v>
      </c>
      <c r="M165" s="114">
        <f t="shared" si="124"/>
        <v>2.4529711576578825</v>
      </c>
      <c r="N165" s="90">
        <v>1710</v>
      </c>
      <c r="O165" s="117">
        <f t="shared" si="125"/>
        <v>0.51042587875714351</v>
      </c>
      <c r="P165" s="113">
        <f t="shared" si="126"/>
        <v>-3.7952672957808353</v>
      </c>
      <c r="Q165" s="114">
        <f t="shared" si="127"/>
        <v>0.15673186515297033</v>
      </c>
      <c r="S165" s="91">
        <v>1710</v>
      </c>
      <c r="T165" s="15" t="s">
        <v>297</v>
      </c>
      <c r="U165" s="17"/>
      <c r="AB165" s="117"/>
      <c r="AC165" s="117"/>
      <c r="AD165" s="113"/>
    </row>
    <row r="166" spans="1:30">
      <c r="A166" s="143"/>
      <c r="B166" s="15" t="s">
        <v>304</v>
      </c>
      <c r="C166" s="15" t="s">
        <v>303</v>
      </c>
      <c r="D166" s="15" t="s">
        <v>296</v>
      </c>
      <c r="E166" s="119">
        <v>9.14</v>
      </c>
      <c r="F166" s="119">
        <v>49.91</v>
      </c>
      <c r="G166" s="120">
        <v>0.11070000000000001</v>
      </c>
      <c r="H166" s="121">
        <v>0.51137200000000005</v>
      </c>
      <c r="I166" s="121">
        <v>1.5E-5</v>
      </c>
      <c r="J166" s="113">
        <f t="shared" si="121"/>
        <v>-24.695789231387046</v>
      </c>
      <c r="K166" s="114">
        <f t="shared" si="122"/>
        <v>0.29260413781262429</v>
      </c>
      <c r="L166" s="117">
        <f t="shared" si="123"/>
        <v>0.51012704920394403</v>
      </c>
      <c r="M166" s="114">
        <f t="shared" si="124"/>
        <v>2.6359177533632647</v>
      </c>
      <c r="N166" s="90">
        <v>1710</v>
      </c>
      <c r="O166" s="117">
        <f t="shared" si="125"/>
        <v>0.51042587875714351</v>
      </c>
      <c r="P166" s="113">
        <f t="shared" si="126"/>
        <v>-5.8545141544763535</v>
      </c>
      <c r="Q166" s="114">
        <f t="shared" si="127"/>
        <v>0.29387224716126426</v>
      </c>
      <c r="S166" s="91">
        <v>1710</v>
      </c>
      <c r="T166" s="15" t="s">
        <v>297</v>
      </c>
      <c r="U166" s="17"/>
      <c r="AB166" s="117"/>
      <c r="AC166" s="117"/>
      <c r="AD166" s="113"/>
    </row>
    <row r="167" spans="1:30">
      <c r="A167" s="143"/>
      <c r="B167" s="15" t="s">
        <v>305</v>
      </c>
      <c r="C167" s="15" t="s">
        <v>306</v>
      </c>
      <c r="D167" s="15" t="s">
        <v>296</v>
      </c>
      <c r="E167" s="119">
        <v>7.77</v>
      </c>
      <c r="F167" s="119">
        <v>51.06</v>
      </c>
      <c r="G167" s="120">
        <v>9.1999999999999998E-2</v>
      </c>
      <c r="H167" s="121">
        <v>0.51133200000000001</v>
      </c>
      <c r="I167" s="121">
        <v>7.9999999999999996E-6</v>
      </c>
      <c r="J167" s="113">
        <f t="shared" si="121"/>
        <v>-25.476066932221819</v>
      </c>
      <c r="K167" s="114">
        <f t="shared" si="122"/>
        <v>0.15605554016695322</v>
      </c>
      <c r="L167" s="117">
        <f t="shared" si="123"/>
        <v>0.51029735254528319</v>
      </c>
      <c r="M167" s="114">
        <f t="shared" si="124"/>
        <v>2.2833542388412678</v>
      </c>
      <c r="N167" s="90">
        <v>1710</v>
      </c>
      <c r="O167" s="117">
        <f t="shared" si="125"/>
        <v>0.51042587875714351</v>
      </c>
      <c r="P167" s="113">
        <f t="shared" si="126"/>
        <v>-2.5180191132412322</v>
      </c>
      <c r="Q167" s="114">
        <f t="shared" si="127"/>
        <v>0.15673186515408055</v>
      </c>
      <c r="S167" s="91">
        <v>1710</v>
      </c>
      <c r="T167" s="15" t="s">
        <v>297</v>
      </c>
      <c r="U167" s="17"/>
      <c r="AB167" s="117"/>
      <c r="AC167" s="117"/>
      <c r="AD167" s="113"/>
    </row>
    <row r="168" spans="1:30">
      <c r="A168" s="143"/>
      <c r="B168" s="15" t="s">
        <v>307</v>
      </c>
      <c r="C168" s="15" t="s">
        <v>308</v>
      </c>
      <c r="D168" s="15" t="s">
        <v>296</v>
      </c>
      <c r="E168" s="119">
        <v>2.69</v>
      </c>
      <c r="F168" s="119">
        <v>15.5</v>
      </c>
      <c r="G168" s="120">
        <v>0.10489999999999999</v>
      </c>
      <c r="H168" s="121">
        <v>0.51139199999999996</v>
      </c>
      <c r="I168" s="121">
        <v>7.9999999999999996E-6</v>
      </c>
      <c r="J168" s="113">
        <f t="shared" si="121"/>
        <v>-24.30565038097243</v>
      </c>
      <c r="K168" s="114">
        <f t="shared" si="122"/>
        <v>0.15605554016695322</v>
      </c>
      <c r="L168" s="117">
        <f t="shared" si="123"/>
        <v>0.5102122769782631</v>
      </c>
      <c r="M168" s="114">
        <f t="shared" si="124"/>
        <v>2.4688859535272862</v>
      </c>
      <c r="N168" s="90">
        <v>1710</v>
      </c>
      <c r="O168" s="117">
        <f t="shared" si="125"/>
        <v>0.51042587875714351</v>
      </c>
      <c r="P168" s="113">
        <f t="shared" si="126"/>
        <v>-4.184775650492023</v>
      </c>
      <c r="Q168" s="114">
        <f t="shared" si="127"/>
        <v>0.15673186515297033</v>
      </c>
      <c r="S168" s="91">
        <v>1710</v>
      </c>
      <c r="T168" s="15" t="s">
        <v>297</v>
      </c>
      <c r="U168" s="17"/>
      <c r="AB168" s="117"/>
      <c r="AC168" s="117"/>
      <c r="AD168" s="113"/>
    </row>
    <row r="169" spans="1:30">
      <c r="A169" s="143"/>
      <c r="B169" s="15" t="s">
        <v>309</v>
      </c>
      <c r="C169" s="15" t="s">
        <v>306</v>
      </c>
      <c r="D169" s="15" t="s">
        <v>296</v>
      </c>
      <c r="E169" s="119">
        <v>2.16</v>
      </c>
      <c r="F169" s="119">
        <v>7.44</v>
      </c>
      <c r="G169" s="120">
        <v>0.17560000000000001</v>
      </c>
      <c r="H169" s="121">
        <v>0.5121</v>
      </c>
      <c r="I169" s="121">
        <v>1.2999999999999999E-5</v>
      </c>
      <c r="J169" s="113">
        <f t="shared" si="121"/>
        <v>-10.494735076214123</v>
      </c>
      <c r="K169" s="114">
        <f t="shared" si="122"/>
        <v>0.25359025277116309</v>
      </c>
      <c r="L169" s="117">
        <f t="shared" si="123"/>
        <v>0.51012517290164927</v>
      </c>
      <c r="M169" s="114" t="str">
        <f t="shared" si="124"/>
        <v>N/A</v>
      </c>
      <c r="N169" s="90">
        <v>1710</v>
      </c>
      <c r="O169" s="117">
        <f t="shared" si="125"/>
        <v>0.51042587875714351</v>
      </c>
      <c r="P169" s="113">
        <f t="shared" si="126"/>
        <v>-5.891273699257793</v>
      </c>
      <c r="Q169" s="114">
        <f t="shared" si="127"/>
        <v>0.2546892808741319</v>
      </c>
      <c r="S169" s="91">
        <v>1710</v>
      </c>
      <c r="T169" s="15" t="s">
        <v>297</v>
      </c>
      <c r="U169" s="17"/>
      <c r="AB169" s="117"/>
      <c r="AC169" s="117"/>
      <c r="AD169" s="113"/>
    </row>
    <row r="170" spans="1:30">
      <c r="A170" s="143"/>
      <c r="B170" s="15" t="s">
        <v>310</v>
      </c>
      <c r="C170" s="15" t="s">
        <v>306</v>
      </c>
      <c r="D170" s="15" t="s">
        <v>296</v>
      </c>
      <c r="E170" s="119">
        <v>2.4</v>
      </c>
      <c r="F170" s="119">
        <v>9.84</v>
      </c>
      <c r="G170" s="120">
        <v>0.14729999999999999</v>
      </c>
      <c r="H170" s="121">
        <v>0.51169100000000001</v>
      </c>
      <c r="I170" s="121">
        <v>9.0000000000000002E-6</v>
      </c>
      <c r="J170" s="113">
        <f t="shared" si="121"/>
        <v>-18.47307456723901</v>
      </c>
      <c r="K170" s="114">
        <f t="shared" si="122"/>
        <v>0.17556248268823893</v>
      </c>
      <c r="L170" s="117">
        <f t="shared" si="123"/>
        <v>0.51003443945565452</v>
      </c>
      <c r="M170" s="114" t="str">
        <f t="shared" si="124"/>
        <v>N/A</v>
      </c>
      <c r="N170" s="90">
        <v>1710</v>
      </c>
      <c r="O170" s="117">
        <f t="shared" si="125"/>
        <v>0.51042587875714351</v>
      </c>
      <c r="P170" s="113">
        <f t="shared" si="126"/>
        <v>-7.6688764770727058</v>
      </c>
      <c r="Q170" s="114">
        <f t="shared" si="127"/>
        <v>0.17632334829764673</v>
      </c>
      <c r="S170" s="91">
        <v>1710</v>
      </c>
      <c r="T170" s="15" t="s">
        <v>297</v>
      </c>
      <c r="U170" s="17"/>
      <c r="AB170" s="117"/>
      <c r="AC170" s="117"/>
      <c r="AD170" s="113"/>
    </row>
    <row r="171" spans="1:30">
      <c r="A171" s="143"/>
      <c r="B171" s="15" t="s">
        <v>311</v>
      </c>
      <c r="C171" s="15" t="s">
        <v>306</v>
      </c>
      <c r="D171" s="15" t="s">
        <v>296</v>
      </c>
      <c r="E171" s="119">
        <v>5.92</v>
      </c>
      <c r="F171" s="119">
        <v>29.74</v>
      </c>
      <c r="G171" s="120">
        <v>0.12039999999999999</v>
      </c>
      <c r="H171" s="121">
        <v>0.51150799999999996</v>
      </c>
      <c r="I171" s="121">
        <v>2.0999999999999999E-5</v>
      </c>
      <c r="J171" s="113">
        <f t="shared" si="121"/>
        <v>-22.042845048554362</v>
      </c>
      <c r="K171" s="114">
        <f t="shared" si="122"/>
        <v>0.40964579293923009</v>
      </c>
      <c r="L171" s="117">
        <f t="shared" si="123"/>
        <v>0.51015396137447921</v>
      </c>
      <c r="M171" s="114">
        <f t="shared" si="124"/>
        <v>2.6885301701698943</v>
      </c>
      <c r="N171" s="90">
        <v>1710</v>
      </c>
      <c r="O171" s="117">
        <f t="shared" si="125"/>
        <v>0.51042587875714351</v>
      </c>
      <c r="P171" s="113">
        <f t="shared" si="126"/>
        <v>-5.3272648190649807</v>
      </c>
      <c r="Q171" s="114">
        <f t="shared" si="127"/>
        <v>0.41142114602821245</v>
      </c>
      <c r="S171" s="91">
        <v>1710</v>
      </c>
      <c r="T171" s="15" t="s">
        <v>297</v>
      </c>
      <c r="U171" s="17"/>
      <c r="AB171" s="117"/>
      <c r="AC171" s="117"/>
      <c r="AD171" s="113"/>
    </row>
    <row r="172" spans="1:30">
      <c r="A172" s="143"/>
      <c r="B172" s="15" t="s">
        <v>312</v>
      </c>
      <c r="C172" s="15" t="s">
        <v>306</v>
      </c>
      <c r="D172" s="15" t="s">
        <v>296</v>
      </c>
      <c r="E172" s="119">
        <v>2.39</v>
      </c>
      <c r="F172" s="119">
        <v>11.7</v>
      </c>
      <c r="G172" s="120">
        <v>0.1236</v>
      </c>
      <c r="H172" s="121">
        <v>0.51169100000000001</v>
      </c>
      <c r="I172" s="121">
        <v>9.0000000000000002E-6</v>
      </c>
      <c r="J172" s="113">
        <f t="shared" si="121"/>
        <v>-18.47307456723901</v>
      </c>
      <c r="K172" s="114">
        <f t="shared" si="122"/>
        <v>0.17556248268823893</v>
      </c>
      <c r="L172" s="117">
        <f t="shared" si="123"/>
        <v>0.51030097363692395</v>
      </c>
      <c r="M172" s="114">
        <f t="shared" si="124"/>
        <v>2.4778873824471703</v>
      </c>
      <c r="N172" s="90">
        <v>1710</v>
      </c>
      <c r="O172" s="117">
        <f t="shared" si="125"/>
        <v>0.51042587875714351</v>
      </c>
      <c r="P172" s="113">
        <f t="shared" si="126"/>
        <v>-2.4470765573980646</v>
      </c>
      <c r="Q172" s="114">
        <f t="shared" si="127"/>
        <v>0.17632334829875695</v>
      </c>
      <c r="S172" s="91">
        <v>1710</v>
      </c>
      <c r="T172" s="15" t="s">
        <v>297</v>
      </c>
      <c r="U172" s="17"/>
      <c r="AC172" s="117"/>
      <c r="AD172" s="113"/>
    </row>
    <row r="173" spans="1:30">
      <c r="A173" s="143"/>
      <c r="B173" s="15" t="s">
        <v>313</v>
      </c>
      <c r="C173" s="15" t="s">
        <v>306</v>
      </c>
      <c r="D173" s="15" t="s">
        <v>296</v>
      </c>
      <c r="E173" s="119">
        <v>4.2</v>
      </c>
      <c r="F173" s="119">
        <v>24.25</v>
      </c>
      <c r="G173" s="120">
        <v>0.10489999999999999</v>
      </c>
      <c r="H173" s="121">
        <v>0.511347</v>
      </c>
      <c r="I173" s="121">
        <v>1.2E-5</v>
      </c>
      <c r="J173" s="113">
        <f t="shared" si="121"/>
        <v>-25.183462794409195</v>
      </c>
      <c r="K173" s="114">
        <f t="shared" si="122"/>
        <v>0.23408331024987916</v>
      </c>
      <c r="L173" s="117">
        <f t="shared" si="123"/>
        <v>0.51016727697826314</v>
      </c>
      <c r="M173" s="114">
        <f t="shared" si="124"/>
        <v>2.5311023951796554</v>
      </c>
      <c r="N173" s="90">
        <v>1710</v>
      </c>
      <c r="O173" s="117">
        <f t="shared" si="125"/>
        <v>0.51042587875714351</v>
      </c>
      <c r="P173" s="113">
        <f t="shared" si="126"/>
        <v>-5.0663923919780363</v>
      </c>
      <c r="Q173" s="114">
        <f t="shared" si="127"/>
        <v>0.23509779773056572</v>
      </c>
      <c r="S173" s="91">
        <v>1710</v>
      </c>
      <c r="T173" s="15" t="s">
        <v>297</v>
      </c>
      <c r="U173" s="17"/>
      <c r="AC173" s="117"/>
      <c r="AD173" s="113"/>
    </row>
    <row r="174" spans="1:30">
      <c r="E174" s="91"/>
      <c r="F174" s="91"/>
      <c r="G174" s="91"/>
      <c r="H174" s="91"/>
      <c r="I174" s="91"/>
      <c r="J174" s="113"/>
      <c r="K174" s="114"/>
      <c r="L174" s="115"/>
      <c r="M174" s="116"/>
      <c r="O174" s="117"/>
      <c r="P174" s="113"/>
      <c r="Q174" s="114"/>
      <c r="AC174" s="117"/>
      <c r="AD174" s="113"/>
    </row>
    <row r="175" spans="1:30">
      <c r="Q175" s="114"/>
      <c r="AC175" s="117"/>
      <c r="AD175" s="113"/>
    </row>
    <row r="178" spans="1:1">
      <c r="A178" s="129"/>
    </row>
  </sheetData>
  <mergeCells count="12">
    <mergeCell ref="A159:A173"/>
    <mergeCell ref="V6:AD6"/>
    <mergeCell ref="V7:AD7"/>
    <mergeCell ref="A11:A22"/>
    <mergeCell ref="A24:A49"/>
    <mergeCell ref="A51:A99"/>
    <mergeCell ref="V101:AD101"/>
    <mergeCell ref="A103:A144"/>
    <mergeCell ref="A146:A151"/>
    <mergeCell ref="A153:A157"/>
    <mergeCell ref="A7:T7"/>
    <mergeCell ref="A101:T10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A9D6B-791A-F64A-81B6-D1A6F1EB15D8}">
  <dimension ref="A1:A39"/>
  <sheetViews>
    <sheetView workbookViewId="0"/>
  </sheetViews>
  <sheetFormatPr defaultColWidth="11" defaultRowHeight="15.75"/>
  <sheetData>
    <row r="1" spans="1:1" ht="18.75">
      <c r="A1" s="138" t="s">
        <v>387</v>
      </c>
    </row>
    <row r="3" spans="1:1">
      <c r="A3" s="136" t="s">
        <v>394</v>
      </c>
    </row>
    <row r="4" spans="1:1">
      <c r="A4" s="136"/>
    </row>
    <row r="5" spans="1:1">
      <c r="A5" s="137" t="s">
        <v>402</v>
      </c>
    </row>
    <row r="6" spans="1:1">
      <c r="A6" s="137"/>
    </row>
    <row r="7" spans="1:1">
      <c r="A7" s="136" t="s">
        <v>398</v>
      </c>
    </row>
    <row r="8" spans="1:1">
      <c r="A8" s="136"/>
    </row>
    <row r="9" spans="1:1">
      <c r="A9" s="136" t="s">
        <v>393</v>
      </c>
    </row>
    <row r="10" spans="1:1">
      <c r="A10" s="136"/>
    </row>
    <row r="11" spans="1:1">
      <c r="A11" s="136" t="s">
        <v>396</v>
      </c>
    </row>
    <row r="12" spans="1:1">
      <c r="A12" s="136"/>
    </row>
    <row r="13" spans="1:1">
      <c r="A13" s="136" t="s">
        <v>397</v>
      </c>
    </row>
    <row r="14" spans="1:1">
      <c r="A14" s="136"/>
    </row>
    <row r="15" spans="1:1">
      <c r="A15" s="137" t="s">
        <v>401</v>
      </c>
    </row>
    <row r="16" spans="1:1">
      <c r="A16" s="137"/>
    </row>
    <row r="17" spans="1:1">
      <c r="A17" s="128" t="s">
        <v>315</v>
      </c>
    </row>
    <row r="18" spans="1:1">
      <c r="A18" s="128"/>
    </row>
    <row r="19" spans="1:1">
      <c r="A19" s="139" t="s">
        <v>408</v>
      </c>
    </row>
    <row r="20" spans="1:1">
      <c r="A20" s="139"/>
    </row>
    <row r="21" spans="1:1">
      <c r="A21" s="128" t="s">
        <v>316</v>
      </c>
    </row>
    <row r="22" spans="1:1">
      <c r="A22" s="128"/>
    </row>
    <row r="23" spans="1:1">
      <c r="A23" s="136" t="s">
        <v>388</v>
      </c>
    </row>
    <row r="24" spans="1:1">
      <c r="A24" s="136"/>
    </row>
    <row r="25" spans="1:1">
      <c r="A25" s="137" t="s">
        <v>395</v>
      </c>
    </row>
    <row r="26" spans="1:1">
      <c r="A26" s="137"/>
    </row>
    <row r="27" spans="1:1">
      <c r="A27" s="136" t="s">
        <v>399</v>
      </c>
    </row>
    <row r="28" spans="1:1">
      <c r="A28" s="136"/>
    </row>
    <row r="29" spans="1:1">
      <c r="A29" s="136" t="s">
        <v>389</v>
      </c>
    </row>
    <row r="30" spans="1:1">
      <c r="A30" s="136"/>
    </row>
    <row r="31" spans="1:1">
      <c r="A31" s="137" t="s">
        <v>403</v>
      </c>
    </row>
    <row r="32" spans="1:1">
      <c r="A32" s="137"/>
    </row>
    <row r="33" spans="1:1">
      <c r="A33" s="136" t="s">
        <v>392</v>
      </c>
    </row>
    <row r="34" spans="1:1">
      <c r="A34" s="136"/>
    </row>
    <row r="35" spans="1:1">
      <c r="A35" s="136" t="s">
        <v>400</v>
      </c>
    </row>
    <row r="36" spans="1:1">
      <c r="A36" s="136"/>
    </row>
    <row r="37" spans="1:1">
      <c r="A37" s="15" t="s">
        <v>390</v>
      </c>
    </row>
    <row r="38" spans="1:1">
      <c r="A38" s="15"/>
    </row>
    <row r="39" spans="1:1">
      <c r="A39" s="136" t="s">
        <v>391</v>
      </c>
    </row>
  </sheetData>
  <sortState xmlns:xlrd2="http://schemas.microsoft.com/office/spreadsheetml/2017/richdata2" ref="A3:A57">
    <sortCondition ref="A3:A5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8FC81-B684-4FC3-A1D0-0E459A12A0E2}">
  <dimension ref="A1"/>
  <sheetViews>
    <sheetView workbookViewId="0">
      <selection activeCell="A2" sqref="A2"/>
    </sheetView>
  </sheetViews>
  <sheetFormatPr defaultRowHeight="15.75"/>
  <sheetData>
    <row r="1" spans="1:1">
      <c r="A1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This study</vt:lpstr>
      <vt:lpstr>Literature</vt:lpstr>
      <vt:lpstr>References</vt:lpstr>
      <vt:lpstr>G49801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Olivarez</cp:lastModifiedBy>
  <dcterms:created xsi:type="dcterms:W3CDTF">2021-06-26T21:00:47Z</dcterms:created>
  <dcterms:modified xsi:type="dcterms:W3CDTF">2022-03-22T20:44:45Z</dcterms:modified>
</cp:coreProperties>
</file>