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ology\Editorial\March-2021\G49354-aBorisova\1-Data Repo\"/>
    </mc:Choice>
  </mc:AlternateContent>
  <xr:revisionPtr revIDLastSave="0" documentId="13_ncr:1_{3B9EDEEE-66C5-4596-BCD1-E9BBE40371FA}" xr6:coauthVersionLast="47" xr6:coauthVersionMax="47" xr10:uidLastSave="{00000000-0000-0000-0000-000000000000}"/>
  <bookViews>
    <workbookView xWindow="-120" yWindow="-120" windowWidth="20730" windowHeight="10215" xr2:uid="{00000000-000D-0000-FFFF-FFFF00000000}"/>
  </bookViews>
  <sheets>
    <sheet name="Table S1" sheetId="2" r:id="rId1"/>
    <sheet name="Table S2" sheetId="3" r:id="rId2"/>
    <sheet name="Table S3" sheetId="6" r:id="rId3"/>
    <sheet name="Table S4" sheetId="7" r:id="rId4"/>
    <sheet name="Table S5" sheetId="10" r:id="rId5"/>
    <sheet name="G49354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36" i="3" l="1"/>
  <c r="BI36" i="3"/>
  <c r="BD36" i="3"/>
  <c r="BC36" i="3"/>
  <c r="BB36" i="3"/>
  <c r="BA36" i="3"/>
  <c r="AZ36" i="3"/>
  <c r="AY36" i="3"/>
  <c r="BN36" i="3"/>
  <c r="BM36" i="3"/>
  <c r="BL36" i="3"/>
  <c r="BK36" i="3"/>
  <c r="AX36" i="3"/>
  <c r="BQ36" i="3" l="1"/>
  <c r="BR36" i="3"/>
  <c r="BP36" i="3"/>
  <c r="BO36" i="3"/>
  <c r="AW15" i="3" l="1"/>
  <c r="AW14" i="3"/>
  <c r="AW20" i="3"/>
  <c r="AW19" i="3"/>
  <c r="AW34" i="3"/>
  <c r="AW33" i="3"/>
  <c r="BN32" i="3" l="1"/>
  <c r="BN31" i="3"/>
  <c r="BN30" i="3"/>
  <c r="BN29" i="3"/>
  <c r="BN28" i="3"/>
  <c r="BN27" i="3"/>
  <c r="BN26" i="3"/>
  <c r="BN25" i="3"/>
  <c r="BN24" i="3"/>
  <c r="BN22" i="3"/>
  <c r="BN18" i="3"/>
  <c r="BN17" i="3"/>
  <c r="BN13" i="3"/>
  <c r="BN12" i="3"/>
  <c r="BN11" i="3"/>
  <c r="BN10" i="3"/>
  <c r="BN9" i="3"/>
  <c r="BN8" i="3"/>
  <c r="BN7" i="3"/>
  <c r="BN6" i="3"/>
  <c r="BN4" i="3"/>
  <c r="BM32" i="3"/>
  <c r="BM31" i="3"/>
  <c r="BM30" i="3"/>
  <c r="BM29" i="3"/>
  <c r="BM28" i="3"/>
  <c r="BM27" i="3"/>
  <c r="BM26" i="3"/>
  <c r="BM25" i="3"/>
  <c r="BM24" i="3"/>
  <c r="BM22" i="3"/>
  <c r="BM18" i="3"/>
  <c r="BM17" i="3"/>
  <c r="BM13" i="3"/>
  <c r="BM12" i="3"/>
  <c r="BM11" i="3"/>
  <c r="BM10" i="3"/>
  <c r="BM9" i="3"/>
  <c r="BM8" i="3"/>
  <c r="BM7" i="3"/>
  <c r="BM6" i="3"/>
  <c r="BM4" i="3"/>
  <c r="BL32" i="3"/>
  <c r="BL31" i="3"/>
  <c r="BL30" i="3"/>
  <c r="BL29" i="3"/>
  <c r="BL28" i="3"/>
  <c r="BL27" i="3"/>
  <c r="BL26" i="3"/>
  <c r="BL25" i="3"/>
  <c r="BL24" i="3"/>
  <c r="BL22" i="3"/>
  <c r="BL18" i="3"/>
  <c r="BL17" i="3"/>
  <c r="BL13" i="3"/>
  <c r="BL12" i="3"/>
  <c r="BL11" i="3"/>
  <c r="BL10" i="3"/>
  <c r="BL9" i="3"/>
  <c r="BL8" i="3"/>
  <c r="BL7" i="3"/>
  <c r="BL6" i="3"/>
  <c r="BL4" i="3"/>
  <c r="BK32" i="3"/>
  <c r="BK31" i="3"/>
  <c r="BK30" i="3"/>
  <c r="BK29" i="3"/>
  <c r="BK28" i="3"/>
  <c r="BK27" i="3"/>
  <c r="BK26" i="3"/>
  <c r="BK25" i="3"/>
  <c r="BK24" i="3"/>
  <c r="BK22" i="3"/>
  <c r="BK18" i="3"/>
  <c r="BK17" i="3"/>
  <c r="BK13" i="3"/>
  <c r="BK12" i="3"/>
  <c r="BK11" i="3"/>
  <c r="BK10" i="3"/>
  <c r="BK9" i="3"/>
  <c r="BK8" i="3"/>
  <c r="BK7" i="3"/>
  <c r="BK6" i="3"/>
  <c r="BK4" i="3"/>
  <c r="BJ32" i="3"/>
  <c r="BJ31" i="3"/>
  <c r="BJ30" i="3"/>
  <c r="BJ29" i="3"/>
  <c r="BJ28" i="3"/>
  <c r="BJ27" i="3"/>
  <c r="BJ26" i="3"/>
  <c r="BJ25" i="3"/>
  <c r="BJ24" i="3"/>
  <c r="BJ22" i="3"/>
  <c r="BJ18" i="3"/>
  <c r="BJ17" i="3"/>
  <c r="BJ13" i="3"/>
  <c r="BJ12" i="3"/>
  <c r="BJ11" i="3"/>
  <c r="BJ10" i="3"/>
  <c r="BJ9" i="3"/>
  <c r="BJ8" i="3"/>
  <c r="BJ7" i="3"/>
  <c r="BJ6" i="3"/>
  <c r="BJ4" i="3"/>
  <c r="BI32" i="3"/>
  <c r="BI31" i="3"/>
  <c r="BI30" i="3"/>
  <c r="BI29" i="3"/>
  <c r="BI28" i="3"/>
  <c r="BI27" i="3"/>
  <c r="BI26" i="3"/>
  <c r="BI25" i="3"/>
  <c r="BI24" i="3"/>
  <c r="BI22" i="3"/>
  <c r="BI18" i="3"/>
  <c r="BI17" i="3"/>
  <c r="BI13" i="3"/>
  <c r="BI12" i="3"/>
  <c r="BI11" i="3"/>
  <c r="BI10" i="3"/>
  <c r="BI9" i="3"/>
  <c r="BI8" i="3"/>
  <c r="BI7" i="3"/>
  <c r="BI6" i="3"/>
  <c r="BI4" i="3"/>
  <c r="BH32" i="3"/>
  <c r="BH31" i="3"/>
  <c r="BH30" i="3"/>
  <c r="BH29" i="3"/>
  <c r="BH28" i="3"/>
  <c r="BH27" i="3"/>
  <c r="BH26" i="3"/>
  <c r="BH25" i="3"/>
  <c r="BH24" i="3"/>
  <c r="BH22" i="3"/>
  <c r="BH18" i="3"/>
  <c r="BH17" i="3"/>
  <c r="BH13" i="3"/>
  <c r="BH12" i="3"/>
  <c r="BH11" i="3"/>
  <c r="BH10" i="3"/>
  <c r="BH9" i="3"/>
  <c r="BH8" i="3"/>
  <c r="BH7" i="3"/>
  <c r="BH6" i="3"/>
  <c r="BH4" i="3"/>
  <c r="BG32" i="3"/>
  <c r="BG31" i="3"/>
  <c r="BG30" i="3"/>
  <c r="BG29" i="3"/>
  <c r="BG28" i="3"/>
  <c r="BG27" i="3"/>
  <c r="BG26" i="3"/>
  <c r="BG25" i="3"/>
  <c r="BG24" i="3"/>
  <c r="BG22" i="3"/>
  <c r="BG18" i="3"/>
  <c r="BG17" i="3"/>
  <c r="BG13" i="3"/>
  <c r="BG12" i="3"/>
  <c r="BG11" i="3"/>
  <c r="BG10" i="3"/>
  <c r="BG9" i="3"/>
  <c r="BG8" i="3"/>
  <c r="BG7" i="3"/>
  <c r="BG6" i="3"/>
  <c r="BG4" i="3"/>
  <c r="BF32" i="3"/>
  <c r="BF31" i="3"/>
  <c r="BF30" i="3"/>
  <c r="BF29" i="3"/>
  <c r="BF28" i="3"/>
  <c r="BF27" i="3"/>
  <c r="BF26" i="3"/>
  <c r="BF25" i="3"/>
  <c r="BF24" i="3"/>
  <c r="BF22" i="3"/>
  <c r="BF18" i="3"/>
  <c r="BF17" i="3"/>
  <c r="BF13" i="3"/>
  <c r="BF12" i="3"/>
  <c r="BF11" i="3"/>
  <c r="BF10" i="3"/>
  <c r="BF9" i="3"/>
  <c r="BF8" i="3"/>
  <c r="BF7" i="3"/>
  <c r="BF6" i="3"/>
  <c r="BF4" i="3"/>
  <c r="BE32" i="3"/>
  <c r="BE31" i="3"/>
  <c r="BE30" i="3"/>
  <c r="BE29" i="3"/>
  <c r="BE28" i="3"/>
  <c r="BE27" i="3"/>
  <c r="BE26" i="3"/>
  <c r="BE25" i="3"/>
  <c r="BE24" i="3"/>
  <c r="BE22" i="3"/>
  <c r="BE18" i="3"/>
  <c r="BE17" i="3"/>
  <c r="BE13" i="3"/>
  <c r="BE12" i="3"/>
  <c r="BE11" i="3"/>
  <c r="BE10" i="3"/>
  <c r="BE9" i="3"/>
  <c r="BE8" i="3"/>
  <c r="BE7" i="3"/>
  <c r="BE6" i="3"/>
  <c r="BE4" i="3"/>
  <c r="BD32" i="3"/>
  <c r="BD31" i="3"/>
  <c r="BD30" i="3"/>
  <c r="BD29" i="3"/>
  <c r="BD28" i="3"/>
  <c r="BD27" i="3"/>
  <c r="BD26" i="3"/>
  <c r="BD25" i="3"/>
  <c r="BD24" i="3"/>
  <c r="BD22" i="3"/>
  <c r="BD18" i="3"/>
  <c r="BD17" i="3"/>
  <c r="BD13" i="3"/>
  <c r="BD12" i="3"/>
  <c r="BD11" i="3"/>
  <c r="BD10" i="3"/>
  <c r="BD9" i="3"/>
  <c r="BD8" i="3"/>
  <c r="BD7" i="3"/>
  <c r="BD6" i="3"/>
  <c r="BD4" i="3"/>
  <c r="BC32" i="3"/>
  <c r="BC31" i="3"/>
  <c r="BC30" i="3"/>
  <c r="BC29" i="3"/>
  <c r="BC28" i="3"/>
  <c r="BC27" i="3"/>
  <c r="BC26" i="3"/>
  <c r="BC25" i="3"/>
  <c r="BC24" i="3"/>
  <c r="BC22" i="3"/>
  <c r="BC18" i="3"/>
  <c r="BC17" i="3"/>
  <c r="BC13" i="3"/>
  <c r="BC12" i="3"/>
  <c r="BC11" i="3"/>
  <c r="BC10" i="3"/>
  <c r="BC9" i="3"/>
  <c r="BC8" i="3"/>
  <c r="BC7" i="3"/>
  <c r="BC6" i="3"/>
  <c r="BC4" i="3"/>
  <c r="BB32" i="3"/>
  <c r="BB31" i="3"/>
  <c r="BB30" i="3"/>
  <c r="BB29" i="3"/>
  <c r="BB28" i="3"/>
  <c r="BB27" i="3"/>
  <c r="BB26" i="3"/>
  <c r="BB25" i="3"/>
  <c r="BB24" i="3"/>
  <c r="BB22" i="3"/>
  <c r="BB18" i="3"/>
  <c r="BB17" i="3"/>
  <c r="BB13" i="3"/>
  <c r="BB12" i="3"/>
  <c r="BB11" i="3"/>
  <c r="BB10" i="3"/>
  <c r="BB9" i="3"/>
  <c r="BB8" i="3"/>
  <c r="BB7" i="3"/>
  <c r="BB6" i="3"/>
  <c r="BB4" i="3"/>
  <c r="BA32" i="3"/>
  <c r="BA31" i="3"/>
  <c r="BA30" i="3"/>
  <c r="BA29" i="3"/>
  <c r="BA28" i="3"/>
  <c r="BA27" i="3"/>
  <c r="BA26" i="3"/>
  <c r="BA25" i="3"/>
  <c r="BA24" i="3"/>
  <c r="BA22" i="3"/>
  <c r="BA18" i="3"/>
  <c r="BA17" i="3"/>
  <c r="BA13" i="3"/>
  <c r="BA12" i="3"/>
  <c r="BA11" i="3"/>
  <c r="BA10" i="3"/>
  <c r="BA9" i="3"/>
  <c r="BA8" i="3"/>
  <c r="BA7" i="3"/>
  <c r="BA6" i="3"/>
  <c r="BA4" i="3"/>
  <c r="AX32" i="3"/>
  <c r="AX31" i="3"/>
  <c r="AX30" i="3"/>
  <c r="AX29" i="3"/>
  <c r="AX28" i="3"/>
  <c r="AX27" i="3"/>
  <c r="AX26" i="3"/>
  <c r="AX25" i="3"/>
  <c r="AX24" i="3"/>
  <c r="AX22" i="3"/>
  <c r="AX18" i="3"/>
  <c r="AX17" i="3"/>
  <c r="AX13" i="3"/>
  <c r="AX12" i="3"/>
  <c r="AX11" i="3"/>
  <c r="AX10" i="3"/>
  <c r="AX9" i="3"/>
  <c r="AX8" i="3"/>
  <c r="AX7" i="3"/>
  <c r="AX6" i="3"/>
  <c r="AX4" i="3"/>
  <c r="AX34" i="3" l="1"/>
  <c r="AX33" i="3"/>
  <c r="BR32" i="3"/>
  <c r="BR31" i="3"/>
  <c r="BR30" i="3"/>
  <c r="BR29" i="3"/>
  <c r="BR28" i="3"/>
  <c r="BR27" i="3"/>
  <c r="BR26" i="3"/>
  <c r="BR25" i="3"/>
  <c r="BR24" i="3"/>
  <c r="BR22" i="3"/>
  <c r="BR18" i="3"/>
  <c r="BR17" i="3"/>
  <c r="BR13" i="3"/>
  <c r="BR12" i="3"/>
  <c r="BR11" i="3"/>
  <c r="BR10" i="3"/>
  <c r="BR9" i="3"/>
  <c r="BR8" i="3"/>
  <c r="BR7" i="3"/>
  <c r="BR6" i="3"/>
  <c r="BR4" i="3"/>
  <c r="BP32" i="3"/>
  <c r="BP31" i="3"/>
  <c r="BP30" i="3"/>
  <c r="BP29" i="3"/>
  <c r="BP28" i="3"/>
  <c r="BP27" i="3"/>
  <c r="BP26" i="3"/>
  <c r="BP25" i="3"/>
  <c r="BP24" i="3"/>
  <c r="BP22" i="3"/>
  <c r="BP17" i="3"/>
  <c r="BP13" i="3"/>
  <c r="BP12" i="3"/>
  <c r="BP11" i="3"/>
  <c r="BP10" i="3"/>
  <c r="BP9" i="3"/>
  <c r="BP8" i="3"/>
  <c r="BP7" i="3"/>
  <c r="BP6" i="3"/>
  <c r="BP4" i="3"/>
  <c r="F6" i="10" l="1"/>
  <c r="E6" i="10"/>
  <c r="F5" i="10"/>
  <c r="E5" i="10"/>
  <c r="L24" i="2"/>
  <c r="L23" i="2"/>
  <c r="L22" i="2"/>
  <c r="L21" i="2"/>
  <c r="L20" i="2"/>
  <c r="L17" i="2"/>
  <c r="L16" i="2"/>
  <c r="L15" i="2"/>
  <c r="L14" i="2"/>
  <c r="L13" i="2"/>
  <c r="L12" i="2"/>
  <c r="L11" i="2"/>
  <c r="L10" i="2"/>
  <c r="L9" i="2"/>
  <c r="AZ32" i="3" l="1"/>
  <c r="AZ31" i="3"/>
  <c r="AZ30" i="3"/>
  <c r="AZ29" i="3"/>
  <c r="AZ28" i="3"/>
  <c r="AZ27" i="3"/>
  <c r="AZ26" i="3"/>
  <c r="AZ25" i="3"/>
  <c r="AZ24" i="3"/>
  <c r="AZ22" i="3"/>
  <c r="AZ18" i="3"/>
  <c r="AZ17" i="3"/>
  <c r="AZ13" i="3"/>
  <c r="AZ12" i="3"/>
  <c r="AZ11" i="3"/>
  <c r="AZ10" i="3"/>
  <c r="AZ9" i="3"/>
  <c r="AZ8" i="3"/>
  <c r="AZ7" i="3"/>
  <c r="AZ6" i="3"/>
  <c r="AZ4" i="3"/>
  <c r="AY32" i="3"/>
  <c r="AY31" i="3"/>
  <c r="AY30" i="3"/>
  <c r="AY29" i="3"/>
  <c r="AY28" i="3"/>
  <c r="AY27" i="3"/>
  <c r="AY26" i="3"/>
  <c r="AY25" i="3"/>
  <c r="AY24" i="3"/>
  <c r="AY22" i="3"/>
  <c r="AY18" i="3"/>
  <c r="AY17" i="3"/>
  <c r="AY13" i="3"/>
  <c r="AY12" i="3"/>
  <c r="AY11" i="3"/>
  <c r="AY10" i="3"/>
  <c r="AY9" i="3"/>
  <c r="AY8" i="3"/>
  <c r="AY7" i="3"/>
  <c r="AY6" i="3"/>
  <c r="AY4" i="3"/>
  <c r="BO32" i="3"/>
  <c r="BO29" i="3"/>
  <c r="BO28" i="3"/>
  <c r="BO26" i="3"/>
  <c r="BO25" i="3"/>
  <c r="BO24" i="3"/>
  <c r="BO17" i="3"/>
  <c r="BO13" i="3"/>
  <c r="BO11" i="3"/>
  <c r="BO10" i="3"/>
  <c r="BO9" i="3"/>
  <c r="BO6" i="3"/>
  <c r="BO4" i="3"/>
  <c r="BQ32" i="3"/>
  <c r="BQ29" i="3"/>
  <c r="BQ26" i="3"/>
  <c r="BQ25" i="3"/>
  <c r="BQ24" i="3"/>
  <c r="BQ17" i="3"/>
  <c r="BQ11" i="3"/>
  <c r="BQ10" i="3"/>
  <c r="BQ9" i="3"/>
  <c r="BQ6" i="3"/>
  <c r="R32" i="3"/>
  <c r="R31" i="3"/>
  <c r="R30" i="3"/>
  <c r="R29" i="3"/>
  <c r="R28" i="3"/>
  <c r="R27" i="3"/>
  <c r="R26" i="3"/>
  <c r="R25" i="3"/>
  <c r="R24" i="3"/>
  <c r="R22" i="3"/>
  <c r="R18" i="3"/>
  <c r="R17" i="3"/>
  <c r="R13" i="3"/>
  <c r="R12" i="3"/>
  <c r="R11" i="3"/>
  <c r="R10" i="3"/>
  <c r="R9" i="3"/>
  <c r="R8" i="3"/>
  <c r="R7" i="3"/>
  <c r="R6" i="3"/>
  <c r="R4" i="3"/>
  <c r="BQ7" i="3" l="1"/>
  <c r="BQ18" i="3"/>
  <c r="BQ30" i="3"/>
  <c r="BO7" i="3"/>
  <c r="BO18" i="3"/>
  <c r="BO30" i="3"/>
  <c r="BQ4" i="3"/>
  <c r="BQ13" i="3"/>
  <c r="BQ28" i="3"/>
  <c r="BO8" i="3"/>
  <c r="BO22" i="3"/>
  <c r="BO31" i="3"/>
  <c r="BQ8" i="3"/>
  <c r="BQ22" i="3"/>
  <c r="BQ31" i="3"/>
  <c r="BO12" i="3"/>
  <c r="BO27" i="3"/>
  <c r="BQ12" i="3"/>
  <c r="BQ27" i="3"/>
  <c r="BJ20" i="3"/>
  <c r="BM20" i="3"/>
  <c r="BC20" i="3"/>
  <c r="BN20" i="3"/>
  <c r="BK19" i="3"/>
  <c r="BF20" i="3"/>
  <c r="AX19" i="3"/>
  <c r="BI19" i="3"/>
  <c r="AZ20" i="3"/>
  <c r="BC19" i="3"/>
  <c r="BJ34" i="3"/>
  <c r="BI20" i="3"/>
  <c r="BE20" i="3"/>
  <c r="BA14" i="3"/>
  <c r="BA19" i="3"/>
  <c r="BD20" i="3"/>
  <c r="AY34" i="3"/>
  <c r="R39" i="3"/>
  <c r="BC34" i="3"/>
  <c r="BE15" i="3"/>
  <c r="BE19" i="3"/>
  <c r="BH15" i="3"/>
  <c r="BH20" i="3"/>
  <c r="BI33" i="3"/>
  <c r="R15" i="3"/>
  <c r="AX15" i="3"/>
  <c r="AZ15" i="3"/>
  <c r="BD15" i="3"/>
  <c r="BE34" i="3"/>
  <c r="BF34" i="3"/>
  <c r="BF19" i="3"/>
  <c r="BL15" i="3"/>
  <c r="BL20" i="3"/>
  <c r="BL33" i="3"/>
  <c r="AX20" i="3"/>
  <c r="BK34" i="3"/>
  <c r="BA34" i="3"/>
  <c r="BB34" i="3"/>
  <c r="BI34" i="3"/>
  <c r="BA15" i="3"/>
  <c r="BC14" i="3"/>
  <c r="BE33" i="3"/>
  <c r="BG14" i="3"/>
  <c r="BH34" i="3"/>
  <c r="BJ15" i="3"/>
  <c r="AY14" i="3"/>
  <c r="AZ34" i="3"/>
  <c r="BA20" i="3"/>
  <c r="BC15" i="3"/>
  <c r="BD34" i="3"/>
  <c r="BG15" i="3"/>
  <c r="BG20" i="3"/>
  <c r="R33" i="3"/>
  <c r="R34" i="3"/>
  <c r="AY15" i="3"/>
  <c r="AY20" i="3"/>
  <c r="AZ14" i="3"/>
  <c r="BD33" i="3"/>
  <c r="BD19" i="3"/>
  <c r="BF15" i="3"/>
  <c r="BI15" i="3"/>
  <c r="BK15" i="3"/>
  <c r="BK20" i="3"/>
  <c r="BB15" i="3"/>
  <c r="BB20" i="3"/>
  <c r="BC33" i="3"/>
  <c r="BG34" i="3"/>
  <c r="BH14" i="3"/>
  <c r="BG33" i="3"/>
  <c r="BL34" i="3"/>
  <c r="BM34" i="3"/>
  <c r="BK14" i="3"/>
  <c r="BB33" i="3"/>
  <c r="BF14" i="3"/>
  <c r="BJ14" i="3"/>
  <c r="R38" i="3"/>
  <c r="BN15" i="3"/>
  <c r="AX14" i="3"/>
  <c r="AY19" i="3"/>
  <c r="BA33" i="3"/>
  <c r="BE14" i="3"/>
  <c r="BG19" i="3"/>
  <c r="BI14" i="3"/>
  <c r="BL14" i="3"/>
  <c r="AZ33" i="3"/>
  <c r="BB19" i="3"/>
  <c r="BD14" i="3"/>
  <c r="BH33" i="3"/>
  <c r="BJ19" i="3"/>
  <c r="R14" i="3"/>
  <c r="BM15" i="3"/>
  <c r="AY33" i="3"/>
  <c r="BN34" i="3"/>
  <c r="BK33" i="3"/>
  <c r="AZ19" i="3"/>
  <c r="BB14" i="3"/>
  <c r="BF33" i="3"/>
  <c r="BH19" i="3"/>
  <c r="BJ33" i="3"/>
  <c r="BN19" i="3"/>
  <c r="BN14" i="3"/>
  <c r="BN33" i="3"/>
  <c r="BM14" i="3"/>
  <c r="BM33" i="3"/>
  <c r="BM19" i="3"/>
  <c r="BL19" i="3"/>
  <c r="BP15" i="3" l="1"/>
  <c r="BP14" i="3"/>
  <c r="BQ15" i="3"/>
  <c r="BQ14" i="3"/>
  <c r="R20" i="3"/>
  <c r="R19" i="3"/>
  <c r="Q32" i="3"/>
  <c r="Q31" i="3"/>
  <c r="Q30" i="3"/>
  <c r="Q29" i="3"/>
  <c r="Q28" i="3"/>
  <c r="Q27" i="3"/>
  <c r="Q26" i="3"/>
  <c r="Q25" i="3"/>
  <c r="Q24" i="3"/>
  <c r="Q22" i="3"/>
  <c r="Q18" i="3"/>
  <c r="Q17" i="3"/>
  <c r="Q13" i="3"/>
  <c r="Q12" i="3"/>
  <c r="Q11" i="3"/>
  <c r="Q10" i="3"/>
  <c r="Q9" i="3"/>
  <c r="Q8" i="3"/>
  <c r="Q7" i="3"/>
  <c r="Q6" i="3"/>
  <c r="Q4" i="3"/>
  <c r="P34" i="3"/>
  <c r="P33" i="3"/>
  <c r="P15" i="3"/>
  <c r="P14" i="3"/>
  <c r="Q39" i="3" l="1"/>
  <c r="Q14" i="3"/>
  <c r="Q15" i="3"/>
  <c r="Q34" i="3"/>
  <c r="Q38" i="3"/>
  <c r="Q33" i="3"/>
  <c r="P20" i="3"/>
  <c r="P19" i="3"/>
  <c r="Q19" i="3" l="1"/>
  <c r="Q20" i="3"/>
  <c r="D18" i="10" l="1"/>
  <c r="D17" i="10"/>
  <c r="D16" i="10"/>
  <c r="D15" i="10"/>
  <c r="D14" i="10"/>
  <c r="D13" i="10"/>
  <c r="M24" i="2"/>
  <c r="M23" i="2"/>
  <c r="M22" i="2"/>
  <c r="M21" i="2"/>
  <c r="M20" i="2"/>
  <c r="M17" i="2"/>
  <c r="M16" i="2"/>
  <c r="M15" i="2"/>
  <c r="M14" i="2"/>
  <c r="M13" i="2"/>
  <c r="M12" i="2"/>
  <c r="M11" i="2"/>
  <c r="M10" i="2"/>
  <c r="M9" i="2"/>
  <c r="AV4" i="3"/>
  <c r="AV6" i="3"/>
  <c r="AV7" i="3"/>
  <c r="AV8" i="3"/>
  <c r="AV9" i="3"/>
  <c r="AV10" i="3"/>
  <c r="AV11" i="3"/>
  <c r="AV12" i="3"/>
  <c r="AV13" i="3"/>
  <c r="AV17" i="3"/>
  <c r="AV18" i="3"/>
  <c r="AV22" i="3"/>
  <c r="AV24" i="3"/>
  <c r="AV25" i="3"/>
  <c r="AV26" i="3"/>
  <c r="AV27" i="3"/>
  <c r="AV28" i="3"/>
  <c r="AV29" i="3"/>
  <c r="AV30" i="3"/>
  <c r="AV31" i="3"/>
  <c r="AV32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P39" i="3"/>
  <c r="O22" i="3"/>
  <c r="O24" i="3"/>
  <c r="O25" i="3"/>
  <c r="O26" i="3"/>
  <c r="O27" i="3"/>
  <c r="O28" i="3"/>
  <c r="O29" i="3"/>
  <c r="O30" i="3"/>
  <c r="O31" i="3"/>
  <c r="O32" i="3"/>
  <c r="P38" i="3"/>
  <c r="M4" i="3"/>
  <c r="M7" i="3"/>
  <c r="M8" i="3"/>
  <c r="M9" i="3"/>
  <c r="M10" i="3"/>
  <c r="M11" i="3"/>
  <c r="M12" i="3"/>
  <c r="M13" i="3"/>
  <c r="M17" i="3"/>
  <c r="M18" i="3"/>
  <c r="M22" i="3"/>
  <c r="M24" i="3"/>
  <c r="M25" i="3"/>
  <c r="M26" i="3"/>
  <c r="M27" i="3"/>
  <c r="M28" i="3"/>
  <c r="M29" i="3"/>
  <c r="M30" i="3"/>
  <c r="M31" i="3"/>
  <c r="M32" i="3"/>
  <c r="L39" i="3"/>
  <c r="K39" i="3"/>
  <c r="J39" i="3"/>
  <c r="I39" i="3"/>
  <c r="H39" i="3"/>
  <c r="G39" i="3"/>
  <c r="F39" i="3"/>
  <c r="E39" i="3"/>
  <c r="D39" i="3"/>
  <c r="L38" i="3"/>
  <c r="K38" i="3"/>
  <c r="J38" i="3"/>
  <c r="I38" i="3"/>
  <c r="H38" i="3"/>
  <c r="G38" i="3"/>
  <c r="F38" i="3"/>
  <c r="E38" i="3"/>
  <c r="D38" i="3"/>
  <c r="C39" i="3"/>
  <c r="C38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N34" i="3"/>
  <c r="L34" i="3"/>
  <c r="K34" i="3"/>
  <c r="J34" i="3"/>
  <c r="I34" i="3"/>
  <c r="H34" i="3"/>
  <c r="G34" i="3"/>
  <c r="F34" i="3"/>
  <c r="E34" i="3"/>
  <c r="D34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N33" i="3"/>
  <c r="L33" i="3"/>
  <c r="K33" i="3"/>
  <c r="J33" i="3"/>
  <c r="I33" i="3"/>
  <c r="H33" i="3"/>
  <c r="G33" i="3"/>
  <c r="F33" i="3"/>
  <c r="E33" i="3"/>
  <c r="D33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O20" i="3"/>
  <c r="N20" i="3"/>
  <c r="L20" i="3"/>
  <c r="K20" i="3"/>
  <c r="J20" i="3"/>
  <c r="I20" i="3"/>
  <c r="H20" i="3"/>
  <c r="G20" i="3"/>
  <c r="F20" i="3"/>
  <c r="E20" i="3"/>
  <c r="D20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O19" i="3"/>
  <c r="N19" i="3"/>
  <c r="L19" i="3"/>
  <c r="K19" i="3"/>
  <c r="J19" i="3"/>
  <c r="I19" i="3"/>
  <c r="H19" i="3"/>
  <c r="G19" i="3"/>
  <c r="F19" i="3"/>
  <c r="E19" i="3"/>
  <c r="D19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O15" i="3"/>
  <c r="N15" i="3"/>
  <c r="L15" i="3"/>
  <c r="K15" i="3"/>
  <c r="J15" i="3"/>
  <c r="I15" i="3"/>
  <c r="H15" i="3"/>
  <c r="G15" i="3"/>
  <c r="F15" i="3"/>
  <c r="E15" i="3"/>
  <c r="D15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O14" i="3"/>
  <c r="N14" i="3"/>
  <c r="L14" i="3"/>
  <c r="K14" i="3"/>
  <c r="J14" i="3"/>
  <c r="I14" i="3"/>
  <c r="H14" i="3"/>
  <c r="G14" i="3"/>
  <c r="F14" i="3"/>
  <c r="E14" i="3"/>
  <c r="D14" i="3"/>
  <c r="C34" i="3"/>
  <c r="C33" i="3"/>
  <c r="C20" i="3"/>
  <c r="C19" i="3"/>
  <c r="C15" i="3"/>
  <c r="C14" i="3"/>
  <c r="G13" i="7"/>
  <c r="H13" i="7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I14" i="10" l="1"/>
  <c r="H14" i="10"/>
  <c r="E14" i="10"/>
  <c r="F14" i="10" s="1"/>
  <c r="H16" i="10"/>
  <c r="I16" i="10" s="1"/>
  <c r="E16" i="10"/>
  <c r="I18" i="10"/>
  <c r="H18" i="10"/>
  <c r="E18" i="10"/>
  <c r="F18" i="10" s="1"/>
  <c r="H13" i="10"/>
  <c r="I13" i="10" s="1"/>
  <c r="E13" i="10"/>
  <c r="I15" i="10"/>
  <c r="H15" i="10"/>
  <c r="E15" i="10"/>
  <c r="F15" i="10" s="1"/>
  <c r="H17" i="10"/>
  <c r="I17" i="10" s="1"/>
  <c r="E17" i="10"/>
  <c r="F17" i="10"/>
  <c r="F16" i="10"/>
  <c r="F13" i="10"/>
  <c r="M20" i="3"/>
  <c r="AV15" i="3"/>
  <c r="M14" i="3"/>
  <c r="AV34" i="3"/>
  <c r="M15" i="3"/>
  <c r="BP19" i="3"/>
  <c r="O38" i="3"/>
  <c r="BO19" i="3"/>
  <c r="AV19" i="3"/>
  <c r="O39" i="3"/>
  <c r="AV14" i="3"/>
  <c r="AV20" i="3"/>
  <c r="M33" i="3"/>
  <c r="M39" i="3"/>
  <c r="O33" i="3"/>
  <c r="O34" i="3"/>
  <c r="M34" i="3"/>
  <c r="AV38" i="3"/>
  <c r="M19" i="3"/>
  <c r="AV33" i="3"/>
  <c r="AV39" i="3"/>
  <c r="M38" i="3"/>
  <c r="BR20" i="3" l="1"/>
  <c r="BR19" i="3"/>
  <c r="BR14" i="3"/>
  <c r="BR34" i="3"/>
  <c r="BR33" i="3"/>
  <c r="BR15" i="3"/>
  <c r="BQ33" i="3"/>
  <c r="BQ34" i="3"/>
  <c r="BQ19" i="3"/>
  <c r="BO33" i="3"/>
  <c r="BP34" i="3"/>
  <c r="BO15" i="3"/>
  <c r="BO14" i="3"/>
  <c r="BP33" i="3"/>
  <c r="BO34" i="3"/>
</calcChain>
</file>

<file path=xl/sharedStrings.xml><?xml version="1.0" encoding="utf-8"?>
<sst xmlns="http://schemas.openxmlformats.org/spreadsheetml/2006/main" count="420" uniqueCount="277">
  <si>
    <t>Sample</t>
  </si>
  <si>
    <t>Basalt*</t>
  </si>
  <si>
    <t>TiO2</t>
  </si>
  <si>
    <t>FeO</t>
  </si>
  <si>
    <t>-</t>
  </si>
  <si>
    <t>MnO</t>
  </si>
  <si>
    <t>MgO</t>
  </si>
  <si>
    <t>CaO</t>
  </si>
  <si>
    <t>K2O</t>
  </si>
  <si>
    <t>P2O5</t>
  </si>
  <si>
    <t>Ba</t>
  </si>
  <si>
    <t>Ce</t>
  </si>
  <si>
    <t>Cr</t>
  </si>
  <si>
    <t>Dy</t>
  </si>
  <si>
    <t>Er</t>
  </si>
  <si>
    <t>Eu</t>
  </si>
  <si>
    <t>Gd</t>
  </si>
  <si>
    <t>Hf</t>
  </si>
  <si>
    <t>Ho</t>
  </si>
  <si>
    <t>La</t>
  </si>
  <si>
    <t>Lu</t>
  </si>
  <si>
    <t>Nb</t>
  </si>
  <si>
    <t>Nd</t>
  </si>
  <si>
    <t>Ni</t>
  </si>
  <si>
    <t>Pb</t>
  </si>
  <si>
    <t>Pr</t>
  </si>
  <si>
    <t>Rb</t>
  </si>
  <si>
    <t>Sm</t>
  </si>
  <si>
    <t>Sr</t>
  </si>
  <si>
    <t>Ta</t>
  </si>
  <si>
    <t>Tb</t>
  </si>
  <si>
    <t>Th</t>
  </si>
  <si>
    <t>Tm</t>
  </si>
  <si>
    <t>U</t>
  </si>
  <si>
    <t>Y</t>
  </si>
  <si>
    <t>Yb</t>
  </si>
  <si>
    <t>Zr</t>
  </si>
  <si>
    <t>№</t>
  </si>
  <si>
    <t xml:space="preserve">Time </t>
  </si>
  <si>
    <t>Percentage of the starting components (wt%)</t>
  </si>
  <si>
    <t>QFM (+2.4)</t>
  </si>
  <si>
    <t>P37</t>
  </si>
  <si>
    <t>P32</t>
  </si>
  <si>
    <t>P35</t>
  </si>
  <si>
    <t>QFM (+1.8)</t>
  </si>
  <si>
    <t>P33</t>
  </si>
  <si>
    <t>Mgt - magnetite; F - aqueous fluid bubble(s).</t>
  </si>
  <si>
    <t>Bracketed N number is the number of olivine-glass pairs.</t>
  </si>
  <si>
    <t>P</t>
  </si>
  <si>
    <t>SiO2</t>
  </si>
  <si>
    <t>Interval of values</t>
  </si>
  <si>
    <t>start</t>
  </si>
  <si>
    <t xml:space="preserve">end </t>
  </si>
  <si>
    <t>°C</t>
  </si>
  <si>
    <t>GPa</t>
  </si>
  <si>
    <t>log units relative to QFM</t>
  </si>
  <si>
    <t>Orthopyroxene</t>
  </si>
  <si>
    <t>wt%</t>
  </si>
  <si>
    <t>Clinopyroxene</t>
  </si>
  <si>
    <t>diopside</t>
  </si>
  <si>
    <t>hedenbergite</t>
  </si>
  <si>
    <t>alumino-buffo</t>
  </si>
  <si>
    <t>buffonite</t>
  </si>
  <si>
    <t>essenite</t>
  </si>
  <si>
    <t>jadeite</t>
  </si>
  <si>
    <t xml:space="preserve">Spinel </t>
  </si>
  <si>
    <t>chromite</t>
  </si>
  <si>
    <t>hercynite</t>
  </si>
  <si>
    <t>magnetite</t>
  </si>
  <si>
    <t>spinel</t>
  </si>
  <si>
    <t>ulvospinel</t>
  </si>
  <si>
    <t>Amphibole</t>
  </si>
  <si>
    <t>cummingtonite</t>
  </si>
  <si>
    <t>grunerite</t>
  </si>
  <si>
    <t>tremolite</t>
  </si>
  <si>
    <t>albite</t>
  </si>
  <si>
    <t>anorthite</t>
  </si>
  <si>
    <t>sanidine</t>
  </si>
  <si>
    <t>Apatite</t>
  </si>
  <si>
    <t>Biotite</t>
  </si>
  <si>
    <t>annite</t>
  </si>
  <si>
    <t>phlogopite</t>
  </si>
  <si>
    <t>Quartz</t>
  </si>
  <si>
    <t>geikielite</t>
  </si>
  <si>
    <t>hematite</t>
  </si>
  <si>
    <t>ilmenite</t>
  </si>
  <si>
    <t>pyrophanite</t>
  </si>
  <si>
    <t>corundum</t>
  </si>
  <si>
    <t>Water</t>
  </si>
  <si>
    <t>T,°C</t>
  </si>
  <si>
    <t>C sat, ppm*</t>
  </si>
  <si>
    <t>M=1.9</t>
  </si>
  <si>
    <t>M=2.4</t>
  </si>
  <si>
    <t>M=2.9</t>
  </si>
  <si>
    <t>M=3.4</t>
  </si>
  <si>
    <t>M(T)$</t>
  </si>
  <si>
    <t>* C sat is calculated according to eqn. 1 and values of M from 1.4 to 3.4.</t>
  </si>
  <si>
    <t>$ C sat is calculated according to eqn. 1 and values M(T) from eqn. 2, where M and M(T) are M factors.</t>
  </si>
  <si>
    <t>Li</t>
  </si>
  <si>
    <t>B</t>
  </si>
  <si>
    <t>(wt%)</t>
  </si>
  <si>
    <t>(ppm)</t>
  </si>
  <si>
    <t>P42</t>
  </si>
  <si>
    <t xml:space="preserve">Mg# </t>
  </si>
  <si>
    <t>* C sat is calculated according to eqn. 3 and values of M from 1.4 to 3.4.</t>
  </si>
  <si>
    <t>M(T)</t>
  </si>
  <si>
    <t>T, °C</t>
  </si>
  <si>
    <t>clinoenstatite</t>
  </si>
  <si>
    <t>Resulting experimental phases</t>
  </si>
  <si>
    <t>L bas + L int + Ol + Opx + Chr + ChrMgt + Amph + F</t>
  </si>
  <si>
    <t>L bas (72.8) + L int (0.4) + Ol (17.0) + Opx (6.8) + Cpx + ChrMgt (0.0) + F (3.0)</t>
  </si>
  <si>
    <t>(hours)</t>
  </si>
  <si>
    <t>(°C)</t>
  </si>
  <si>
    <t>Temperature</t>
  </si>
  <si>
    <t>(GPa)</t>
  </si>
  <si>
    <t>Pressure</t>
  </si>
  <si>
    <t>L bas (~58) + L int (~27.8) + Ol (12.8) + ChrMgt (0.0) + F (1.4)**</t>
  </si>
  <si>
    <t>L bas (57.1) + L int (15.4) + Ol (13.1) + Opx* (0.0) + Chr (6.0) + Amph (6.6) + F (1.7)</t>
  </si>
  <si>
    <t>SB1</t>
  </si>
  <si>
    <t>SB4</t>
  </si>
  <si>
    <t>SB7</t>
  </si>
  <si>
    <t>SBbis3</t>
  </si>
  <si>
    <t>SBbis1</t>
  </si>
  <si>
    <t>SBbis2</t>
  </si>
  <si>
    <t>SBter1</t>
  </si>
  <si>
    <t>SBter2</t>
  </si>
  <si>
    <t>SBter3</t>
  </si>
  <si>
    <t>QFM (+2.8)</t>
  </si>
  <si>
    <t>QFM (+4.4)</t>
  </si>
  <si>
    <t>L bas + F</t>
  </si>
  <si>
    <t>L bas (72.7)+ L int (8.7) + Ol (10) + Opx (7) + Chr (0.0) + F (1.6)</t>
  </si>
  <si>
    <t>M=1.4**</t>
  </si>
  <si>
    <r>
      <t>Ol + Cpx + Chr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+ F</t>
    </r>
  </si>
  <si>
    <t>Ol + L bas + F</t>
  </si>
  <si>
    <t>R</t>
  </si>
  <si>
    <t>melt-to-rock ratio</t>
  </si>
  <si>
    <r>
      <t>Ol (57.5) + Chr (6.0)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(35.0) + F (6.5)</t>
    </r>
  </si>
  <si>
    <r>
      <t>Ol (59.4) + Chr (6.0)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(33.4) + F (6.1)</t>
    </r>
  </si>
  <si>
    <r>
      <t>Ol (59.2) + Chr (6.5)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(33.5) + F (5.9)</t>
    </r>
  </si>
  <si>
    <r>
      <t>Ol (39.6) + Cpx (22.3) + Chr (6.8)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(34.0) + F (3.3)</t>
    </r>
  </si>
  <si>
    <r>
      <t>Ol (37.9) + Cpx (19.3) + Chr (6.7)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(39.9) + F (2.1)</t>
    </r>
  </si>
  <si>
    <r>
      <t>Ol (36.0) + Cpx (22.0) + Chr (7.1) + L</t>
    </r>
    <r>
      <rPr>
        <vertAlign val="subscript"/>
        <sz val="10"/>
        <color theme="1"/>
        <rFont val="Times New Roman"/>
        <family val="1"/>
      </rPr>
      <t>int</t>
    </r>
    <r>
      <rPr>
        <sz val="10"/>
        <color theme="1"/>
        <rFont val="Times New Roman"/>
        <family val="1"/>
      </rPr>
      <t xml:space="preserve"> (38.9) + F (2.1)</t>
    </r>
  </si>
  <si>
    <r>
      <t>Resulting oxygen fugacity QFM</t>
    </r>
    <r>
      <rPr>
        <b/>
        <vertAlign val="superscript"/>
        <sz val="10"/>
        <color theme="1"/>
        <rFont val="Times New Roman"/>
        <family val="1"/>
      </rPr>
      <t>$</t>
    </r>
  </si>
  <si>
    <t>QFM (+2.5)</t>
  </si>
  <si>
    <t>Al2O3</t>
  </si>
  <si>
    <t>2.5</t>
  </si>
  <si>
    <t>0.5</t>
  </si>
  <si>
    <t>SB bis2</t>
  </si>
  <si>
    <t>SB ter3</t>
  </si>
  <si>
    <t xml:space="preserve">Cr2O3 </t>
  </si>
  <si>
    <r>
      <t>P42-up-14</t>
    </r>
    <r>
      <rPr>
        <b/>
        <vertAlign val="superscript"/>
        <sz val="10"/>
        <color theme="1"/>
        <rFont val="Times New Roman"/>
        <family val="1"/>
      </rPr>
      <t>$</t>
    </r>
  </si>
  <si>
    <t>100 Mg/(Mg+Fe)</t>
  </si>
  <si>
    <t>**see Supplementary Material for more details on the calculation and references.</t>
  </si>
  <si>
    <t>Ol - olivine</t>
  </si>
  <si>
    <r>
      <t xml:space="preserve">[X Fe III] XANES – molar fraction of Fe </t>
    </r>
    <r>
      <rPr>
        <b/>
        <vertAlign val="superscript"/>
        <sz val="10"/>
        <color theme="1"/>
        <rFont val="Times New Roman"/>
        <family val="1"/>
      </rPr>
      <t>III</t>
    </r>
    <r>
      <rPr>
        <b/>
        <sz val="10"/>
        <color theme="1"/>
        <rFont val="Times New Roman"/>
        <family val="1"/>
      </rPr>
      <t xml:space="preserve"> compared to the bulk Fe in the sample measured by XANES. </t>
    </r>
  </si>
  <si>
    <r>
      <t>[X Fe</t>
    </r>
    <r>
      <rPr>
        <b/>
        <vertAlign val="superscript"/>
        <sz val="10"/>
        <color theme="1"/>
        <rFont val="Times New Roman"/>
        <family val="1"/>
      </rPr>
      <t>III</t>
    </r>
    <r>
      <rPr>
        <b/>
        <sz val="10"/>
        <color theme="1"/>
        <rFont val="Times New Roman"/>
        <family val="1"/>
      </rPr>
      <t xml:space="preserve"> XANES]</t>
    </r>
  </si>
  <si>
    <t xml:space="preserve">Conditions and resulting phases are temperature of crystallization, mass, composition (mole fraction of endmember components or indexes Mg#=100Mg/(Mg+FeII), Cr#=100Cr/(Cr+Al). </t>
  </si>
  <si>
    <t>Table S4a. Modeling of zircon crystallization in the 0.2 GPa felsic melts</t>
  </si>
  <si>
    <t>Table S4b. Modeling of zircon crystallization in the 0.2 GPa felsic melts</t>
  </si>
  <si>
    <r>
      <rPr>
        <b/>
        <vertAlign val="superscript"/>
        <sz val="10"/>
        <color theme="1"/>
        <rFont val="Times New Roman"/>
        <family val="1"/>
      </rPr>
      <t>$</t>
    </r>
    <r>
      <rPr>
        <b/>
        <sz val="10"/>
        <color theme="1"/>
        <rFont val="Times New Roman"/>
        <family val="1"/>
      </rPr>
      <t xml:space="preserve"> QFM = oxygen fugacity expressed in log units compared to the quartz-fayalite magnetite (QFM) mineral redox buffer as well as based on the X Fe</t>
    </r>
    <r>
      <rPr>
        <b/>
        <vertAlign val="superscript"/>
        <sz val="10"/>
        <color theme="1"/>
        <rFont val="Times New Roman"/>
        <family val="1"/>
      </rPr>
      <t>III</t>
    </r>
    <r>
      <rPr>
        <b/>
        <sz val="10"/>
        <color theme="1"/>
        <rFont val="Times New Roman"/>
        <family val="1"/>
      </rPr>
      <t xml:space="preserve"> XANES data.</t>
    </r>
  </si>
  <si>
    <r>
      <t>Serpentinite</t>
    </r>
    <r>
      <rPr>
        <b/>
        <vertAlign val="superscript"/>
        <sz val="10"/>
        <color theme="1"/>
        <rFont val="Times New Roman"/>
        <family val="1"/>
      </rPr>
      <t>$$</t>
    </r>
  </si>
  <si>
    <r>
      <t xml:space="preserve">9,65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0,38</t>
    </r>
  </si>
  <si>
    <t>Run*</t>
  </si>
  <si>
    <t>Oxide/Reference:</t>
  </si>
  <si>
    <t>Units/Partitioning:</t>
  </si>
  <si>
    <r>
      <t>Th/U</t>
    </r>
    <r>
      <rPr>
        <b/>
        <vertAlign val="superscript"/>
        <sz val="10"/>
        <color theme="1"/>
        <rFont val="Times New Roman"/>
        <family val="1"/>
      </rPr>
      <t>Zrc</t>
    </r>
  </si>
  <si>
    <t>QFM+2</t>
  </si>
  <si>
    <r>
      <rPr>
        <b/>
        <vertAlign val="superscript"/>
        <sz val="10"/>
        <color theme="1"/>
        <rFont val="Times New Roman"/>
        <family val="1"/>
      </rPr>
      <t>$</t>
    </r>
    <r>
      <rPr>
        <b/>
        <sz val="10"/>
        <color theme="1"/>
        <rFont val="Times New Roman"/>
        <family val="1"/>
      </rPr>
      <t xml:space="preserve"> Fo – forsterite molecule in olivine. T – temperature; P – pressure; f</t>
    </r>
    <r>
      <rPr>
        <b/>
        <vertAlign val="subscript"/>
        <sz val="10"/>
        <color theme="1"/>
        <rFont val="Times New Roman"/>
        <family val="1"/>
      </rPr>
      <t>O2</t>
    </r>
    <r>
      <rPr>
        <b/>
        <sz val="10"/>
        <color theme="1"/>
        <rFont val="Times New Roman"/>
        <family val="1"/>
      </rPr>
      <t xml:space="preserve"> – oxygen fugacity; QFM+2 – two logarithmic units above quartz-fayalite-magnetite mineral buffer.</t>
    </r>
  </si>
  <si>
    <t>Average composition*</t>
  </si>
  <si>
    <t>‰</t>
  </si>
  <si>
    <t>Table S1. Experimental run conditions and the resulting phases with the phase proportions after Borisova et al. (2021) and the bulk-rock oxygen isotope composition</t>
  </si>
  <si>
    <t>Mixed runs on serpentinite-basalt reaction</t>
  </si>
  <si>
    <t>Hybrid runs on serpentinite-basalt reaction</t>
  </si>
  <si>
    <r>
      <rPr>
        <b/>
        <vertAlign val="superscript"/>
        <sz val="10"/>
        <color theme="1"/>
        <rFont val="Times New Roman"/>
        <family val="1"/>
      </rPr>
      <t>$$</t>
    </r>
    <r>
      <rPr>
        <b/>
        <sz val="10"/>
        <color theme="1"/>
        <rFont val="Times New Roman"/>
        <family val="1"/>
      </rPr>
      <t xml:space="preserve"> The bulk-rock serpentinite δ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VSMOW</t>
    </r>
    <r>
      <rPr>
        <b/>
        <sz val="10"/>
        <color theme="1"/>
        <rFont val="Times New Roman"/>
        <family val="1"/>
      </rPr>
      <t xml:space="preserve"> with 1 sigma error compared to the mean value (3 bulk-rock analyses of the starting serpentinite have been performed by laser fluorination) in University of Oregon (USA).</t>
    </r>
  </si>
  <si>
    <t>*The SIMS analyses have been performed in CRPG, Nancy (France); see Supplementary Material for more details on the calculation and references.</t>
  </si>
  <si>
    <t>Total*</t>
  </si>
  <si>
    <t>P33 average</t>
  </si>
  <si>
    <t>P33 STD</t>
  </si>
  <si>
    <t>P42 average</t>
  </si>
  <si>
    <t>P42 STD</t>
  </si>
  <si>
    <t>SB ter3 average</t>
  </si>
  <si>
    <t>SB ter3 STD</t>
  </si>
  <si>
    <t>Equilibrium crystallization</t>
  </si>
  <si>
    <t>Muscovite**</t>
  </si>
  <si>
    <t>K-feldspar**</t>
  </si>
  <si>
    <t>Phase proportion in wt%</t>
  </si>
  <si>
    <t>ASI</t>
  </si>
  <si>
    <t>index</t>
  </si>
  <si>
    <t>Zrn - zircon</t>
  </si>
  <si>
    <t>Zrn-Ol calculator</t>
  </si>
  <si>
    <t>Average composition</t>
  </si>
  <si>
    <r>
      <t>δ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VSMOW</t>
    </r>
    <r>
      <rPr>
        <b/>
        <sz val="10"/>
        <color theme="1"/>
        <rFont val="Times New Roman"/>
        <family val="1"/>
      </rPr>
      <t xml:space="preserve"> expected bulk </t>
    </r>
    <r>
      <rPr>
        <b/>
        <vertAlign val="superscript"/>
        <sz val="10"/>
        <color theme="1"/>
        <rFont val="Times New Roman"/>
        <family val="1"/>
      </rPr>
      <t>$$</t>
    </r>
  </si>
  <si>
    <t>model zircon</t>
  </si>
  <si>
    <t>T (°C)</t>
  </si>
  <si>
    <t>Rock 1</t>
  </si>
  <si>
    <t>Rock 2</t>
  </si>
  <si>
    <t xml:space="preserve">Table S5a. Computation of oxygen isotopic composition of zircon in equilibrium with experimental olivine </t>
  </si>
  <si>
    <t>Average STD</t>
  </si>
  <si>
    <r>
      <t>δ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VSMOW</t>
    </r>
    <r>
      <rPr>
        <b/>
        <sz val="10"/>
        <color theme="1"/>
        <rFont val="Times New Roman"/>
        <family val="1"/>
      </rPr>
      <t xml:space="preserve"> model zircon at 700 - 750°C </t>
    </r>
    <r>
      <rPr>
        <b/>
        <vertAlign val="superscript"/>
        <sz val="10"/>
        <color theme="1"/>
        <rFont val="Times New Roman"/>
        <family val="1"/>
      </rPr>
      <t>$$</t>
    </r>
  </si>
  <si>
    <r>
      <t>δ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VSMOW STD</t>
    </r>
  </si>
  <si>
    <r>
      <t>D</t>
    </r>
    <r>
      <rPr>
        <b/>
        <vertAlign val="subscript"/>
        <sz val="10"/>
        <rFont val="Times New Roman"/>
        <family val="1"/>
      </rPr>
      <t xml:space="preserve">min-H2O </t>
    </r>
    <r>
      <rPr>
        <b/>
        <sz val="10"/>
        <rFont val="Times New Roman"/>
        <family val="1"/>
      </rPr>
      <t>$</t>
    </r>
  </si>
  <si>
    <r>
      <t>Substance-H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(Oxygen)</t>
    </r>
  </si>
  <si>
    <r>
      <t xml:space="preserve">∆ 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VSMOW</t>
    </r>
    <r>
      <rPr>
        <b/>
        <sz val="10"/>
        <rFont val="Times New Roman"/>
        <family val="1"/>
      </rPr>
      <t xml:space="preserve"> Zrn-Ol*</t>
    </r>
  </si>
  <si>
    <r>
      <t>P32 δ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VSMOW</t>
    </r>
  </si>
  <si>
    <r>
      <t>P33 δ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VSMOW</t>
    </r>
  </si>
  <si>
    <r>
      <t>Serpentine: Mg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Si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(OH)</t>
    </r>
    <r>
      <rPr>
        <b/>
        <vertAlign val="subscript"/>
        <sz val="10"/>
        <rFont val="Times New Roman"/>
        <family val="1"/>
      </rPr>
      <t>4</t>
    </r>
  </si>
  <si>
    <t>Rock 3</t>
  </si>
  <si>
    <t>Table S2. Major and trace element composition of the interstitial glasses from the 0.2 GPa serpentinite-basalt reaction experiments (LA-ICP-MS data) and the calculated model zircon composition</t>
  </si>
  <si>
    <t>P32-4-3$</t>
  </si>
  <si>
    <t>P33-down-1$</t>
  </si>
  <si>
    <t>P33-down-2$</t>
  </si>
  <si>
    <t>P33-up-up-2$</t>
  </si>
  <si>
    <t>P33-down-5$</t>
  </si>
  <si>
    <t>P33-down-7$</t>
  </si>
  <si>
    <t>P33-down-8$</t>
  </si>
  <si>
    <t>P33-up-6$</t>
  </si>
  <si>
    <t>P33-up-up-3$</t>
  </si>
  <si>
    <t>P42-up-18$</t>
  </si>
  <si>
    <t>SB-bis2-unten-1-4$</t>
  </si>
  <si>
    <t>SB-ter3-oben-1-1$</t>
  </si>
  <si>
    <t>SB-ter3-oben-1-2$</t>
  </si>
  <si>
    <t>SB-ter3-oben-1-6$</t>
  </si>
  <si>
    <t>SB-ter3-oben-1-9$</t>
  </si>
  <si>
    <t>SB-ter3-unten-1-3$</t>
  </si>
  <si>
    <t>SB-ter3-unten-1-6$</t>
  </si>
  <si>
    <t>SB-ter3-unten-1-10$</t>
  </si>
  <si>
    <t>SB-ter3-oben-3-1$</t>
  </si>
  <si>
    <t>SB-ter3-oben-3-10$</t>
  </si>
  <si>
    <t>$ LA-ICP-MS data are after Borisova et al. (2021). The data are recalculated to the anhydrous basis (99 wt%).</t>
  </si>
  <si>
    <t>Plagioclase</t>
  </si>
  <si>
    <t>$ Calculated after Savin &amp; Lee (1988). See Supplementary Material for more details.</t>
  </si>
  <si>
    <r>
      <t>δ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VSMOW </t>
    </r>
    <r>
      <rPr>
        <b/>
        <sz val="10"/>
        <rFont val="Times New Roman"/>
        <family val="1"/>
      </rPr>
      <t>Zrn at 750°C</t>
    </r>
  </si>
  <si>
    <t xml:space="preserve">* Average composition of the felsic liquid is given in Supplementary Table S2; wt% is mass in grams per 100 g of the initial mass according to the rhyolite-MELTS 1.2.0 modeling. </t>
  </si>
  <si>
    <t>Table S3. Resulting phases after rhyolite-MELTS modelling of the 0.2 GPa felsic melt crystallization</t>
  </si>
  <si>
    <r>
      <t xml:space="preserve">Nb/Yb </t>
    </r>
    <r>
      <rPr>
        <b/>
        <vertAlign val="superscript"/>
        <sz val="10"/>
        <color theme="1"/>
        <rFont val="Times New Roman"/>
        <family val="1"/>
      </rPr>
      <t>Zrc</t>
    </r>
  </si>
  <si>
    <r>
      <t>U/Yb</t>
    </r>
    <r>
      <rPr>
        <b/>
        <vertAlign val="superscript"/>
        <sz val="10"/>
        <color theme="1"/>
        <rFont val="Times New Roman"/>
        <family val="1"/>
      </rPr>
      <t>Zrc</t>
    </r>
  </si>
  <si>
    <t>Zr/Hf</t>
  </si>
  <si>
    <r>
      <t xml:space="preserve">Lu </t>
    </r>
    <r>
      <rPr>
        <b/>
        <vertAlign val="superscript"/>
        <sz val="10"/>
        <color theme="1"/>
        <rFont val="Times New Roman"/>
        <family val="1"/>
      </rPr>
      <t>Zrc*</t>
    </r>
  </si>
  <si>
    <r>
      <t>Y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</si>
  <si>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Gd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</si>
  <si>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Eu </t>
    </r>
    <r>
      <rPr>
        <b/>
        <vertAlign val="superscript"/>
        <sz val="10"/>
        <color theme="1"/>
        <rFont val="Times New Roman"/>
        <family val="1"/>
      </rPr>
      <t>Zrc*</t>
    </r>
  </si>
  <si>
    <r>
      <t>Hf</t>
    </r>
    <r>
      <rPr>
        <b/>
        <vertAlign val="superscript"/>
        <sz val="10"/>
        <color theme="1"/>
        <rFont val="Times New Roman"/>
        <family val="1"/>
      </rPr>
      <t xml:space="preserve"> Zrc*</t>
    </r>
  </si>
  <si>
    <r>
      <t xml:space="preserve">Th </t>
    </r>
    <r>
      <rPr>
        <b/>
        <vertAlign val="superscript"/>
        <sz val="10"/>
        <color theme="1"/>
        <rFont val="Times New Roman"/>
        <family val="1"/>
      </rPr>
      <t>Zrc*</t>
    </r>
  </si>
  <si>
    <r>
      <t>Gd/Yb</t>
    </r>
    <r>
      <rPr>
        <b/>
        <vertAlign val="superscript"/>
        <sz val="10"/>
        <color theme="1"/>
        <rFont val="Times New Roman"/>
        <family val="1"/>
      </rPr>
      <t>Zrc</t>
    </r>
  </si>
  <si>
    <t>Ti</t>
  </si>
  <si>
    <t>C2018</t>
  </si>
  <si>
    <r>
      <t xml:space="preserve">Nb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</si>
  <si>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Ce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</si>
  <si>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Nd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</si>
  <si>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Sm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</si>
  <si>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Tb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</si>
  <si>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Yb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</si>
  <si>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U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</si>
  <si>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Dy </t>
    </r>
    <r>
      <rPr>
        <b/>
        <vertAlign val="superscript"/>
        <sz val="10"/>
        <color theme="1"/>
        <rFont val="Times New Roman"/>
        <family val="1"/>
      </rPr>
      <t>Zrc*</t>
    </r>
  </si>
  <si>
    <r>
      <t>Ho</t>
    </r>
    <r>
      <rPr>
        <b/>
        <vertAlign val="superscript"/>
        <sz val="10"/>
        <color theme="1"/>
        <rFont val="Times New Roman"/>
        <family val="1"/>
      </rPr>
      <t xml:space="preserve"> Zrc*</t>
    </r>
  </si>
  <si>
    <r>
      <t xml:space="preserve">Er </t>
    </r>
    <r>
      <rPr>
        <b/>
        <vertAlign val="superscript"/>
        <sz val="10"/>
        <color theme="1"/>
        <rFont val="Times New Roman"/>
        <family val="1"/>
      </rPr>
      <t>Zrc*</t>
    </r>
  </si>
  <si>
    <r>
      <t xml:space="preserve">Tm </t>
    </r>
    <r>
      <rPr>
        <b/>
        <vertAlign val="superscript"/>
        <sz val="10"/>
        <color theme="1"/>
        <rFont val="Times New Roman"/>
        <family val="1"/>
      </rPr>
      <t>Zrc*</t>
    </r>
  </si>
  <si>
    <t>BAS</t>
  </si>
  <si>
    <t>SERP</t>
  </si>
  <si>
    <r>
      <t>δ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VSMOW</t>
    </r>
    <r>
      <rPr>
        <b/>
        <sz val="10"/>
        <color theme="1"/>
        <rFont val="Times New Roman"/>
        <family val="1"/>
      </rPr>
      <t xml:space="preserve"> bulk-rock </t>
    </r>
    <r>
      <rPr>
        <b/>
        <vertAlign val="superscript"/>
        <sz val="10"/>
        <color theme="1"/>
        <rFont val="Times New Roman"/>
        <family val="1"/>
      </rPr>
      <t>$$</t>
    </r>
  </si>
  <si>
    <r>
      <t xml:space="preserve">5,8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0,02</t>
    </r>
  </si>
  <si>
    <r>
      <t xml:space="preserve">* SERP - starting serpentinite; BAS - starting basalt; L </t>
    </r>
    <r>
      <rPr>
        <b/>
        <vertAlign val="subscript"/>
        <sz val="10"/>
        <color theme="1"/>
        <rFont val="Times New Roman"/>
        <family val="1"/>
      </rPr>
      <t>int</t>
    </r>
    <r>
      <rPr>
        <b/>
        <sz val="10"/>
        <color theme="1"/>
        <rFont val="Times New Roman"/>
        <family val="1"/>
      </rPr>
      <t xml:space="preserve"> - interstitial felsic glass; L </t>
    </r>
    <r>
      <rPr>
        <b/>
        <vertAlign val="subscript"/>
        <sz val="10"/>
        <color theme="1"/>
        <rFont val="Times New Roman"/>
        <family val="1"/>
      </rPr>
      <t>bas</t>
    </r>
    <r>
      <rPr>
        <b/>
        <sz val="10"/>
        <color theme="1"/>
        <rFont val="Times New Roman"/>
        <family val="1"/>
      </rPr>
      <t xml:space="preserve"> - hydrous basaltic glass; Serp – serpentine minerals; Ol - olivine; Opx - orthopyroxene; Opx* - ferrosilite; Cpx- diopside; Amph - amphibole; Chr - chromite; ChrMgt - chromiferous magnetite; All experimental data are after Borisova et al. (2021).</t>
    </r>
  </si>
  <si>
    <t>in situ analysis of olivine*</t>
  </si>
  <si>
    <r>
      <t>Na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</si>
  <si>
    <r>
      <t>Ti</t>
    </r>
    <r>
      <rPr>
        <b/>
        <vertAlign val="superscript"/>
        <sz val="10"/>
        <color theme="1"/>
        <rFont val="Times New Roman"/>
        <family val="1"/>
      </rPr>
      <t>zrc*</t>
    </r>
  </si>
  <si>
    <t>at 700°C</t>
  </si>
  <si>
    <t>FW2007</t>
  </si>
  <si>
    <t>Rhm-oxide***</t>
  </si>
  <si>
    <r>
      <t>*** Ilmenite crystallization suggests high a</t>
    </r>
    <r>
      <rPr>
        <b/>
        <vertAlign val="subscript"/>
        <sz val="10"/>
        <color theme="1"/>
        <rFont val="Times New Roman"/>
        <family val="1"/>
      </rPr>
      <t>TiO2</t>
    </r>
    <r>
      <rPr>
        <b/>
        <sz val="10"/>
        <color theme="1"/>
        <rFont val="Times New Roman"/>
        <family val="1"/>
      </rPr>
      <t xml:space="preserve"> above 0.5 into the system (Harrison et al., 2017).</t>
    </r>
  </si>
  <si>
    <t>6,56 ± 0,94</t>
  </si>
  <si>
    <t>6,23 ± 1,44</t>
  </si>
  <si>
    <t>Table S5b. Model of oxygen isotopic composition of zircon produced due to serpentinite protolith melting</t>
  </si>
  <si>
    <t>Model KREEP 10%*</t>
  </si>
  <si>
    <t>* - according to KREEP basalt 15386 after Neal &amp; Kramer (2006) and starting basalt of Borisova et al. (2021).</t>
  </si>
  <si>
    <t>$$To calculate zircon composition, we applied Ti in zircon contents after Ferry and Watson (2007) at 700°C (FW2007) and trace element partitioning after Claiborne et al. (2018) (C2018).</t>
  </si>
  <si>
    <t>** uniquely during fractional crystallization at 0.2 GPa and QFM+2 using rhyolite-MELTS 1.0.2. (among the fractionated solid phases). Among the fractionated solids are: Amph (19 wt%), Bi (0.56 wt%), Plag (76 wt%), Qtz (56 wt%), Spl (3 wt%), Ilm (3.5 wt%) and Apt (0.9 wt%).</t>
  </si>
  <si>
    <t>Borisova, A.Y., et al., 2021, Hadean zircon formed due to hydrated ultramafic protocrust melting: Geology, https://doi.org/10.1130/G49354.1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</si>
</sst>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-* #,##0.00\ _€_-;\-* #,##0.00\ _€_-;_-* &quot;-&quot;??\ _€_-;_-@_-"/>
    <numFmt numFmtId="166" formatCode="0.0"/>
    <numFmt numFmtId="167" formatCode="#,##0.000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9C6500"/>
      <name val="Calibri"/>
      <family val="2"/>
      <scheme val="minor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sz val="10"/>
      <name val="Symbol"/>
      <family val="1"/>
      <charset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43" fontId="2" fillId="0" borderId="0" xfId="1" applyFont="1" applyBorder="1"/>
    <xf numFmtId="164" fontId="2" fillId="0" borderId="0" xfId="1" applyNumberFormat="1" applyFont="1" applyBorder="1"/>
    <xf numFmtId="43" fontId="3" fillId="0" borderId="0" xfId="1" applyFont="1" applyBorder="1"/>
    <xf numFmtId="43" fontId="3" fillId="0" borderId="1" xfId="1" applyFont="1" applyBorder="1"/>
    <xf numFmtId="43" fontId="2" fillId="0" borderId="0" xfId="0" applyNumberFormat="1" applyFont="1"/>
    <xf numFmtId="43" fontId="2" fillId="0" borderId="0" xfId="1" applyFont="1"/>
    <xf numFmtId="41" fontId="2" fillId="0" borderId="0" xfId="1" applyNumberFormat="1" applyFont="1"/>
    <xf numFmtId="41" fontId="2" fillId="0" borderId="0" xfId="1" applyNumberFormat="1" applyFont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43" fontId="2" fillId="0" borderId="0" xfId="1" applyFont="1" applyFill="1"/>
    <xf numFmtId="0" fontId="3" fillId="0" borderId="0" xfId="0" applyFont="1" applyFill="1" applyBorder="1"/>
    <xf numFmtId="0" fontId="6" fillId="0" borderId="0" xfId="0" applyFont="1" applyFill="1"/>
    <xf numFmtId="43" fontId="3" fillId="0" borderId="0" xfId="1" applyFont="1" applyFill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9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1" applyFont="1" applyBorder="1"/>
    <xf numFmtId="43" fontId="8" fillId="0" borderId="0" xfId="1" applyFont="1"/>
    <xf numFmtId="43" fontId="3" fillId="0" borderId="0" xfId="1" applyFont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2" fontId="2" fillId="0" borderId="0" xfId="0" applyNumberFormat="1" applyFont="1" applyBorder="1"/>
    <xf numFmtId="2" fontId="2" fillId="0" borderId="0" xfId="1" applyNumberFormat="1" applyFont="1" applyBorder="1"/>
    <xf numFmtId="0" fontId="3" fillId="0" borderId="2" xfId="0" applyFont="1" applyBorder="1"/>
    <xf numFmtId="0" fontId="12" fillId="0" borderId="0" xfId="0" applyFont="1" applyFill="1" applyBorder="1"/>
    <xf numFmtId="43" fontId="12" fillId="0" borderId="0" xfId="1" applyFont="1" applyBorder="1"/>
    <xf numFmtId="43" fontId="13" fillId="0" borderId="0" xfId="1" applyFont="1" applyBorder="1"/>
    <xf numFmtId="0" fontId="13" fillId="0" borderId="0" xfId="0" applyFont="1" applyBorder="1"/>
    <xf numFmtId="166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horizontal="right" vertical="center"/>
    </xf>
    <xf numFmtId="0" fontId="14" fillId="0" borderId="0" xfId="0" applyFont="1"/>
    <xf numFmtId="0" fontId="8" fillId="0" borderId="0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43" fontId="8" fillId="0" borderId="0" xfId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justify" vertical="center"/>
    </xf>
    <xf numFmtId="0" fontId="18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6" xfId="2" applyFont="1" applyFill="1" applyBorder="1"/>
    <xf numFmtId="0" fontId="9" fillId="0" borderId="2" xfId="2" applyFont="1" applyFill="1" applyBorder="1" applyAlignment="1">
      <alignment horizontal="right"/>
    </xf>
    <xf numFmtId="0" fontId="9" fillId="0" borderId="2" xfId="2" applyFont="1" applyFill="1" applyBorder="1"/>
    <xf numFmtId="0" fontId="8" fillId="0" borderId="2" xfId="0" applyFont="1" applyBorder="1"/>
    <xf numFmtId="0" fontId="8" fillId="0" borderId="6" xfId="2" applyFont="1" applyFill="1" applyBorder="1" applyAlignment="1">
      <alignment horizontal="right"/>
    </xf>
    <xf numFmtId="0" fontId="8" fillId="0" borderId="2" xfId="2" applyFont="1" applyFill="1" applyBorder="1" applyAlignment="1">
      <alignment horizontal="right"/>
    </xf>
    <xf numFmtId="0" fontId="19" fillId="0" borderId="2" xfId="2" applyFont="1" applyFill="1" applyBorder="1" applyAlignment="1">
      <alignment horizontal="right"/>
    </xf>
    <xf numFmtId="0" fontId="8" fillId="0" borderId="7" xfId="2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19" fillId="0" borderId="0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8" fillId="0" borderId="0" xfId="2" applyFont="1" applyFill="1" applyBorder="1"/>
    <xf numFmtId="0" fontId="8" fillId="0" borderId="4" xfId="2" applyFont="1" applyFill="1" applyBorder="1" applyAlignment="1">
      <alignment horizontal="right"/>
    </xf>
    <xf numFmtId="0" fontId="8" fillId="0" borderId="1" xfId="2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justify" vertical="center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3" fillId="0" borderId="0" xfId="1" applyNumberFormat="1" applyFont="1"/>
    <xf numFmtId="166" fontId="3" fillId="0" borderId="0" xfId="0" applyNumberFormat="1" applyFont="1"/>
    <xf numFmtId="166" fontId="3" fillId="0" borderId="1" xfId="0" applyNumberFormat="1" applyFont="1" applyBorder="1"/>
    <xf numFmtId="166" fontId="2" fillId="0" borderId="0" xfId="1" applyNumberFormat="1" applyFont="1"/>
    <xf numFmtId="166" fontId="2" fillId="0" borderId="0" xfId="0" applyNumberFormat="1" applyFont="1"/>
    <xf numFmtId="2" fontId="3" fillId="0" borderId="2" xfId="0" applyNumberFormat="1" applyFont="1" applyBorder="1"/>
    <xf numFmtId="2" fontId="2" fillId="0" borderId="0" xfId="0" applyNumberFormat="1" applyFont="1" applyFill="1" applyBorder="1"/>
    <xf numFmtId="167" fontId="2" fillId="0" borderId="0" xfId="1" applyNumberFormat="1" applyFont="1" applyBorder="1"/>
    <xf numFmtId="43" fontId="13" fillId="0" borderId="0" xfId="0" applyNumberFormat="1" applyFont="1"/>
    <xf numFmtId="168" fontId="2" fillId="0" borderId="0" xfId="0" applyNumberFormat="1" applyFont="1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Normal="100" workbookViewId="0"/>
  </sheetViews>
  <sheetFormatPr defaultColWidth="11.42578125" defaultRowHeight="12.75" x14ac:dyDescent="0.2"/>
  <cols>
    <col min="1" max="2" width="11.42578125" style="1"/>
    <col min="3" max="4" width="15.42578125" style="6" customWidth="1"/>
    <col min="5" max="5" width="11.42578125" style="6"/>
    <col min="6" max="7" width="20.42578125" style="6" customWidth="1"/>
    <col min="8" max="8" width="15" style="6" customWidth="1"/>
    <col min="9" max="9" width="62.140625" style="6" customWidth="1"/>
    <col min="10" max="10" width="25.85546875" style="6" customWidth="1"/>
    <col min="11" max="11" width="26.85546875" style="6" customWidth="1"/>
    <col min="12" max="12" width="21.85546875" style="85" customWidth="1"/>
    <col min="13" max="13" width="30.5703125" style="86" customWidth="1"/>
    <col min="14" max="16384" width="11.42578125" style="6"/>
  </cols>
  <sheetData>
    <row r="1" spans="1:14" s="1" customFormat="1" ht="15.75" x14ac:dyDescent="0.25">
      <c r="A1" s="27" t="s">
        <v>170</v>
      </c>
      <c r="B1" s="2"/>
      <c r="C1" s="3"/>
      <c r="D1" s="3"/>
      <c r="E1" s="3"/>
      <c r="F1" s="3"/>
      <c r="G1" s="3"/>
      <c r="H1" s="3"/>
      <c r="I1" s="3"/>
      <c r="J1" s="3"/>
      <c r="K1" s="3"/>
      <c r="L1" s="82"/>
      <c r="M1" s="83"/>
    </row>
    <row r="2" spans="1:14" s="1" customFormat="1" ht="15.75" x14ac:dyDescent="0.2">
      <c r="A2" s="3" t="s">
        <v>37</v>
      </c>
      <c r="B2" s="2" t="s">
        <v>162</v>
      </c>
      <c r="C2" s="3" t="s">
        <v>115</v>
      </c>
      <c r="D2" s="3" t="s">
        <v>113</v>
      </c>
      <c r="E2" s="3" t="s">
        <v>38</v>
      </c>
      <c r="F2" s="3" t="s">
        <v>39</v>
      </c>
      <c r="G2" s="3"/>
      <c r="H2" s="3" t="s">
        <v>134</v>
      </c>
      <c r="I2" s="3" t="s">
        <v>108</v>
      </c>
      <c r="J2" s="3" t="s">
        <v>142</v>
      </c>
      <c r="K2" s="3"/>
      <c r="L2" s="82"/>
      <c r="M2" s="83"/>
    </row>
    <row r="3" spans="1:14" s="1" customFormat="1" ht="16.5" x14ac:dyDescent="0.25">
      <c r="A3" s="5"/>
      <c r="B3" s="4"/>
      <c r="C3" s="5" t="s">
        <v>114</v>
      </c>
      <c r="D3" s="5" t="s">
        <v>112</v>
      </c>
      <c r="E3" s="5" t="s">
        <v>111</v>
      </c>
      <c r="F3" s="5" t="s">
        <v>160</v>
      </c>
      <c r="G3" s="5" t="s">
        <v>1</v>
      </c>
      <c r="H3" s="5" t="s">
        <v>135</v>
      </c>
      <c r="I3" s="5" t="s">
        <v>185</v>
      </c>
      <c r="J3" s="5" t="s">
        <v>155</v>
      </c>
      <c r="K3" s="5" t="s">
        <v>259</v>
      </c>
      <c r="L3" s="84" t="s">
        <v>191</v>
      </c>
      <c r="M3" s="84" t="s">
        <v>198</v>
      </c>
      <c r="N3" s="5"/>
    </row>
    <row r="4" spans="1:14" s="1" customFormat="1" x14ac:dyDescent="0.2">
      <c r="A4" s="3"/>
      <c r="B4" s="2"/>
      <c r="L4" s="82"/>
      <c r="M4" s="83"/>
    </row>
    <row r="5" spans="1:14" s="1" customFormat="1" x14ac:dyDescent="0.2">
      <c r="A5" s="3"/>
      <c r="B5" s="2" t="s">
        <v>258</v>
      </c>
      <c r="K5" s="6" t="s">
        <v>161</v>
      </c>
      <c r="L5" s="82"/>
      <c r="M5" s="83"/>
    </row>
    <row r="6" spans="1:14" s="1" customFormat="1" x14ac:dyDescent="0.2">
      <c r="A6" s="3"/>
      <c r="B6" s="2" t="s">
        <v>257</v>
      </c>
      <c r="K6" s="6" t="s">
        <v>260</v>
      </c>
      <c r="L6" s="82"/>
      <c r="M6" s="83"/>
    </row>
    <row r="7" spans="1:14" s="1" customFormat="1" x14ac:dyDescent="0.2">
      <c r="A7" s="3"/>
      <c r="B7" s="2"/>
      <c r="L7" s="82"/>
      <c r="M7" s="83"/>
    </row>
    <row r="8" spans="1:14" x14ac:dyDescent="0.2">
      <c r="A8" s="3" t="s">
        <v>171</v>
      </c>
      <c r="B8" s="2"/>
    </row>
    <row r="9" spans="1:14" ht="14.25" x14ac:dyDescent="0.25">
      <c r="A9" s="3">
        <v>1</v>
      </c>
      <c r="B9" s="2" t="s">
        <v>118</v>
      </c>
      <c r="C9" s="6">
        <v>0.2</v>
      </c>
      <c r="D9" s="6">
        <v>1250</v>
      </c>
      <c r="E9" s="6">
        <v>2</v>
      </c>
      <c r="F9" s="6">
        <v>19.95</v>
      </c>
      <c r="G9" s="6">
        <v>80.05</v>
      </c>
      <c r="H9" s="6">
        <v>4</v>
      </c>
      <c r="I9" s="6" t="s">
        <v>139</v>
      </c>
      <c r="J9" s="6" t="s">
        <v>127</v>
      </c>
      <c r="L9" s="85">
        <f>(5.8*G9+9.65*F9)/100</f>
        <v>6.5680750000000003</v>
      </c>
      <c r="M9" s="86">
        <f>L9+1</f>
        <v>7.5680750000000003</v>
      </c>
    </row>
    <row r="10" spans="1:14" ht="14.25" x14ac:dyDescent="0.25">
      <c r="A10" s="3">
        <v>2</v>
      </c>
      <c r="B10" s="2" t="s">
        <v>119</v>
      </c>
      <c r="C10" s="6">
        <v>0.2</v>
      </c>
      <c r="D10" s="6">
        <v>1250</v>
      </c>
      <c r="E10" s="6">
        <v>2</v>
      </c>
      <c r="F10" s="6">
        <v>49.89</v>
      </c>
      <c r="G10" s="6">
        <v>50.11</v>
      </c>
      <c r="H10" s="6">
        <v>1</v>
      </c>
      <c r="I10" s="6" t="s">
        <v>132</v>
      </c>
      <c r="J10" s="6" t="s">
        <v>4</v>
      </c>
      <c r="L10" s="85">
        <f t="shared" ref="L10:L17" si="0">(5.8*G10+9.65*F10)/100</f>
        <v>7.7207650000000001</v>
      </c>
      <c r="M10" s="86">
        <f t="shared" ref="M10:M24" si="1">L10+1</f>
        <v>8.7207650000000001</v>
      </c>
    </row>
    <row r="11" spans="1:14" ht="14.25" x14ac:dyDescent="0.25">
      <c r="A11" s="3">
        <v>3</v>
      </c>
      <c r="B11" s="2" t="s">
        <v>120</v>
      </c>
      <c r="C11" s="6">
        <v>0.2</v>
      </c>
      <c r="D11" s="6">
        <v>1250</v>
      </c>
      <c r="E11" s="6">
        <v>2</v>
      </c>
      <c r="F11" s="6">
        <v>80.010000000000005</v>
      </c>
      <c r="G11" s="6">
        <v>19.989999999999998</v>
      </c>
      <c r="H11" s="6">
        <v>0.25</v>
      </c>
      <c r="I11" s="6" t="s">
        <v>138</v>
      </c>
      <c r="J11" s="6" t="s">
        <v>128</v>
      </c>
      <c r="L11" s="85">
        <f t="shared" si="0"/>
        <v>8.8803850000000004</v>
      </c>
      <c r="M11" s="86">
        <f t="shared" si="1"/>
        <v>9.8803850000000004</v>
      </c>
    </row>
    <row r="12" spans="1:14" x14ac:dyDescent="0.2">
      <c r="A12" s="3">
        <v>4</v>
      </c>
      <c r="B12" s="2" t="s">
        <v>121</v>
      </c>
      <c r="C12" s="6">
        <v>0.2</v>
      </c>
      <c r="D12" s="6">
        <v>1250</v>
      </c>
      <c r="E12" s="6">
        <v>5</v>
      </c>
      <c r="F12" s="6">
        <v>19.95</v>
      </c>
      <c r="G12" s="6">
        <v>80.05</v>
      </c>
      <c r="H12" s="6">
        <v>4</v>
      </c>
      <c r="I12" s="7" t="s">
        <v>133</v>
      </c>
      <c r="J12" s="6" t="s">
        <v>4</v>
      </c>
      <c r="L12" s="85">
        <f t="shared" si="0"/>
        <v>6.5680750000000003</v>
      </c>
      <c r="M12" s="86">
        <f t="shared" si="1"/>
        <v>7.5680750000000003</v>
      </c>
    </row>
    <row r="13" spans="1:14" ht="14.25" x14ac:dyDescent="0.25">
      <c r="A13" s="3">
        <v>5</v>
      </c>
      <c r="B13" s="2" t="s">
        <v>122</v>
      </c>
      <c r="C13" s="6">
        <v>0.2</v>
      </c>
      <c r="D13" s="6">
        <v>1250</v>
      </c>
      <c r="E13" s="6">
        <v>5</v>
      </c>
      <c r="F13" s="6">
        <v>49.89</v>
      </c>
      <c r="G13" s="6">
        <v>50.11</v>
      </c>
      <c r="H13" s="6">
        <v>1</v>
      </c>
      <c r="I13" s="6" t="s">
        <v>140</v>
      </c>
      <c r="J13" s="6" t="s">
        <v>143</v>
      </c>
      <c r="L13" s="85">
        <f t="shared" si="0"/>
        <v>7.7207650000000001</v>
      </c>
      <c r="M13" s="86">
        <f t="shared" si="1"/>
        <v>8.7207650000000001</v>
      </c>
    </row>
    <row r="14" spans="1:14" ht="14.25" x14ac:dyDescent="0.25">
      <c r="A14" s="3">
        <v>6</v>
      </c>
      <c r="B14" s="2" t="s">
        <v>123</v>
      </c>
      <c r="C14" s="6">
        <v>0.2</v>
      </c>
      <c r="D14" s="6">
        <v>1250</v>
      </c>
      <c r="E14" s="6">
        <v>5</v>
      </c>
      <c r="F14" s="6">
        <v>80.010000000000005</v>
      </c>
      <c r="G14" s="6">
        <v>19.989999999999998</v>
      </c>
      <c r="H14" s="6">
        <v>0.25</v>
      </c>
      <c r="I14" s="6" t="s">
        <v>137</v>
      </c>
      <c r="J14" s="6" t="s">
        <v>127</v>
      </c>
      <c r="L14" s="85">
        <f t="shared" si="0"/>
        <v>8.8803850000000004</v>
      </c>
      <c r="M14" s="86">
        <f t="shared" si="1"/>
        <v>9.8803850000000004</v>
      </c>
    </row>
    <row r="15" spans="1:14" x14ac:dyDescent="0.2">
      <c r="A15" s="3">
        <v>7</v>
      </c>
      <c r="B15" s="2" t="s">
        <v>124</v>
      </c>
      <c r="C15" s="6">
        <v>0.2</v>
      </c>
      <c r="D15" s="6">
        <v>1250</v>
      </c>
      <c r="E15" s="6">
        <v>48</v>
      </c>
      <c r="F15" s="6">
        <v>19.95</v>
      </c>
      <c r="G15" s="6">
        <v>80.05</v>
      </c>
      <c r="H15" s="6">
        <v>4</v>
      </c>
      <c r="I15" s="7" t="s">
        <v>129</v>
      </c>
      <c r="J15" s="6" t="s">
        <v>4</v>
      </c>
      <c r="L15" s="85">
        <f t="shared" si="0"/>
        <v>6.5680750000000003</v>
      </c>
      <c r="M15" s="86">
        <f t="shared" si="1"/>
        <v>7.5680750000000003</v>
      </c>
    </row>
    <row r="16" spans="1:14" ht="14.25" x14ac:dyDescent="0.25">
      <c r="A16" s="3">
        <v>8</v>
      </c>
      <c r="B16" s="2" t="s">
        <v>125</v>
      </c>
      <c r="C16" s="6">
        <v>0.2</v>
      </c>
      <c r="D16" s="6">
        <v>1250</v>
      </c>
      <c r="E16" s="6">
        <v>48</v>
      </c>
      <c r="F16" s="6">
        <v>49.89</v>
      </c>
      <c r="G16" s="6">
        <v>50.11</v>
      </c>
      <c r="H16" s="6">
        <v>1</v>
      </c>
      <c r="I16" s="6" t="s">
        <v>141</v>
      </c>
      <c r="J16" s="6" t="s">
        <v>4</v>
      </c>
      <c r="L16" s="85">
        <f t="shared" si="0"/>
        <v>7.7207650000000001</v>
      </c>
      <c r="M16" s="86">
        <f t="shared" si="1"/>
        <v>8.7207650000000001</v>
      </c>
    </row>
    <row r="17" spans="1:14" ht="14.25" x14ac:dyDescent="0.25">
      <c r="A17" s="3">
        <v>9</v>
      </c>
      <c r="B17" s="2" t="s">
        <v>126</v>
      </c>
      <c r="C17" s="6">
        <v>0.2</v>
      </c>
      <c r="D17" s="6">
        <v>1250</v>
      </c>
      <c r="E17" s="6">
        <v>48</v>
      </c>
      <c r="F17" s="6">
        <v>80.010000000000005</v>
      </c>
      <c r="G17" s="6">
        <v>19.989999999999998</v>
      </c>
      <c r="H17" s="6">
        <v>0.25</v>
      </c>
      <c r="I17" s="6" t="s">
        <v>136</v>
      </c>
      <c r="J17" s="6" t="s">
        <v>40</v>
      </c>
      <c r="L17" s="85">
        <f t="shared" si="0"/>
        <v>8.8803850000000004</v>
      </c>
      <c r="M17" s="86">
        <f t="shared" si="1"/>
        <v>9.8803850000000004</v>
      </c>
    </row>
    <row r="18" spans="1:14" x14ac:dyDescent="0.2">
      <c r="A18" s="3"/>
      <c r="B18" s="2"/>
    </row>
    <row r="19" spans="1:14" s="1" customFormat="1" x14ac:dyDescent="0.2">
      <c r="A19" s="3" t="s">
        <v>172</v>
      </c>
      <c r="B19" s="2"/>
      <c r="L19" s="85"/>
      <c r="M19" s="86"/>
    </row>
    <row r="20" spans="1:14" x14ac:dyDescent="0.2">
      <c r="A20" s="3">
        <v>10</v>
      </c>
      <c r="B20" s="2" t="s">
        <v>41</v>
      </c>
      <c r="C20" s="6">
        <v>0.2</v>
      </c>
      <c r="D20" s="6">
        <v>1250</v>
      </c>
      <c r="E20" s="6" t="s">
        <v>146</v>
      </c>
      <c r="F20" s="6">
        <v>28.2</v>
      </c>
      <c r="G20" s="6">
        <v>71.8</v>
      </c>
      <c r="H20" s="6">
        <v>2.5</v>
      </c>
      <c r="I20" s="6" t="s">
        <v>110</v>
      </c>
      <c r="J20" s="6" t="s">
        <v>4</v>
      </c>
      <c r="L20" s="85">
        <f>(5.8*G20+9.65*F20)/100</f>
        <v>6.885699999999999</v>
      </c>
      <c r="M20" s="86">
        <f t="shared" si="1"/>
        <v>7.885699999999999</v>
      </c>
    </row>
    <row r="21" spans="1:14" x14ac:dyDescent="0.2">
      <c r="A21" s="3">
        <v>11</v>
      </c>
      <c r="B21" s="2" t="s">
        <v>42</v>
      </c>
      <c r="C21" s="6">
        <v>0.2</v>
      </c>
      <c r="D21" s="6">
        <v>1250</v>
      </c>
      <c r="E21" s="6" t="s">
        <v>145</v>
      </c>
      <c r="F21" s="6">
        <v>17.7</v>
      </c>
      <c r="G21" s="6">
        <v>82.3</v>
      </c>
      <c r="H21" s="6">
        <v>4.5999999999999996</v>
      </c>
      <c r="I21" s="6" t="s">
        <v>130</v>
      </c>
      <c r="J21" s="6" t="s">
        <v>4</v>
      </c>
      <c r="L21" s="85">
        <f t="shared" ref="L21:L24" si="2">(5.8*G21+9.65*F21)/100</f>
        <v>6.4814499999999997</v>
      </c>
      <c r="M21" s="86">
        <f t="shared" si="1"/>
        <v>7.4814499999999997</v>
      </c>
      <c r="N21" s="11"/>
    </row>
    <row r="22" spans="1:14" x14ac:dyDescent="0.2">
      <c r="A22" s="3">
        <v>12</v>
      </c>
      <c r="B22" s="2" t="s">
        <v>43</v>
      </c>
      <c r="C22" s="6">
        <v>0.2</v>
      </c>
      <c r="D22" s="6">
        <v>1250</v>
      </c>
      <c r="E22" s="6">
        <v>5</v>
      </c>
      <c r="F22" s="6">
        <v>18.8</v>
      </c>
      <c r="G22" s="6">
        <v>81.2</v>
      </c>
      <c r="H22" s="6">
        <v>4.3</v>
      </c>
      <c r="I22" s="6" t="s">
        <v>109</v>
      </c>
      <c r="J22" s="6" t="s">
        <v>44</v>
      </c>
      <c r="L22" s="85">
        <f t="shared" si="2"/>
        <v>6.5237999999999996</v>
      </c>
      <c r="M22" s="86">
        <f t="shared" si="1"/>
        <v>7.5237999999999996</v>
      </c>
    </row>
    <row r="23" spans="1:14" x14ac:dyDescent="0.2">
      <c r="A23" s="3">
        <v>13</v>
      </c>
      <c r="B23" s="2" t="s">
        <v>45</v>
      </c>
      <c r="C23" s="6">
        <v>0.2</v>
      </c>
      <c r="D23" s="6">
        <v>1250</v>
      </c>
      <c r="E23" s="6">
        <v>48</v>
      </c>
      <c r="F23" s="6">
        <v>19.8</v>
      </c>
      <c r="G23" s="6">
        <v>80.2</v>
      </c>
      <c r="H23" s="6">
        <v>4.0999999999999996</v>
      </c>
      <c r="I23" s="6" t="s">
        <v>117</v>
      </c>
      <c r="J23" s="6" t="s">
        <v>4</v>
      </c>
      <c r="L23" s="85">
        <f t="shared" si="2"/>
        <v>6.5623000000000005</v>
      </c>
      <c r="M23" s="86">
        <f t="shared" si="1"/>
        <v>7.5623000000000005</v>
      </c>
      <c r="N23" s="11"/>
    </row>
    <row r="24" spans="1:14" x14ac:dyDescent="0.2">
      <c r="A24" s="3">
        <v>14</v>
      </c>
      <c r="B24" s="2" t="s">
        <v>102</v>
      </c>
      <c r="C24" s="6">
        <v>0.2</v>
      </c>
      <c r="D24" s="6">
        <v>1250</v>
      </c>
      <c r="E24" s="8">
        <v>120</v>
      </c>
      <c r="F24" s="6">
        <v>17.600000000000001</v>
      </c>
      <c r="G24" s="6">
        <v>82.4</v>
      </c>
      <c r="H24" s="6">
        <v>4.7</v>
      </c>
      <c r="I24" s="6" t="s">
        <v>116</v>
      </c>
      <c r="J24" s="6" t="s">
        <v>4</v>
      </c>
      <c r="L24" s="85">
        <f t="shared" si="2"/>
        <v>6.4775999999999998</v>
      </c>
      <c r="M24" s="86">
        <f t="shared" si="1"/>
        <v>7.4775999999999998</v>
      </c>
    </row>
    <row r="25" spans="1:14" x14ac:dyDescent="0.2">
      <c r="A25" s="3"/>
      <c r="B25" s="2"/>
    </row>
    <row r="26" spans="1:14" ht="14.25" x14ac:dyDescent="0.25">
      <c r="A26" s="1" t="s">
        <v>261</v>
      </c>
    </row>
    <row r="27" spans="1:14" x14ac:dyDescent="0.2">
      <c r="A27" s="1" t="s">
        <v>46</v>
      </c>
    </row>
    <row r="28" spans="1:14" ht="15.75" x14ac:dyDescent="0.2">
      <c r="A28" s="1" t="s">
        <v>159</v>
      </c>
    </row>
    <row r="29" spans="1:14" ht="15.75" x14ac:dyDescent="0.2">
      <c r="A29" s="1" t="s">
        <v>154</v>
      </c>
    </row>
    <row r="30" spans="1:14" x14ac:dyDescent="0.2">
      <c r="A30" s="1" t="s">
        <v>47</v>
      </c>
    </row>
    <row r="31" spans="1:14" ht="16.5" x14ac:dyDescent="0.25">
      <c r="A31" s="1" t="s">
        <v>173</v>
      </c>
    </row>
    <row r="32" spans="1:14" ht="15.75" x14ac:dyDescent="0.2">
      <c r="A32" s="24"/>
      <c r="B32" s="3"/>
    </row>
    <row r="33" spans="1:2" ht="15.75" x14ac:dyDescent="0.2">
      <c r="A33" s="24"/>
      <c r="B3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0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ColWidth="11.42578125" defaultRowHeight="12.75" x14ac:dyDescent="0.2"/>
  <cols>
    <col min="1" max="1" width="16.140625" style="23" customWidth="1"/>
    <col min="2" max="2" width="16.140625" style="9" customWidth="1"/>
    <col min="3" max="14" width="11.42578125" style="9"/>
    <col min="15" max="15" width="14.42578125" style="9" customWidth="1"/>
    <col min="16" max="16" width="14.85546875" style="9" customWidth="1"/>
    <col min="17" max="18" width="11.5703125" style="9" customWidth="1"/>
    <col min="19" max="19" width="11.42578125" style="9"/>
    <col min="20" max="20" width="10.28515625" style="9" customWidth="1"/>
    <col min="21" max="21" width="10.5703125" style="9" customWidth="1"/>
    <col min="22" max="25" width="11.42578125" style="9"/>
    <col min="26" max="26" width="13.42578125" style="9" customWidth="1"/>
    <col min="27" max="27" width="11" style="9" customWidth="1"/>
    <col min="28" max="28" width="12.85546875" style="9" customWidth="1"/>
    <col min="29" max="29" width="11.28515625" style="9" customWidth="1"/>
    <col min="30" max="49" width="11.42578125" style="9"/>
    <col min="50" max="53" width="11.42578125" style="3"/>
    <col min="54" max="55" width="11.42578125" style="9"/>
    <col min="56" max="57" width="11.42578125" style="3"/>
    <col min="58" max="58" width="11.42578125" style="9"/>
    <col min="59" max="61" width="11.42578125" style="3"/>
    <col min="62" max="62" width="11.42578125" style="9"/>
    <col min="63" max="63" width="11.42578125" style="3"/>
    <col min="64" max="68" width="11.42578125" style="9"/>
    <col min="69" max="69" width="11.42578125" style="40"/>
    <col min="70" max="16384" width="11.42578125" style="9"/>
  </cols>
  <sheetData>
    <row r="1" spans="1:70" ht="16.5" x14ac:dyDescent="0.25">
      <c r="A1" s="28" t="s">
        <v>207</v>
      </c>
      <c r="AW1" s="18" t="s">
        <v>264</v>
      </c>
      <c r="AX1" s="18" t="s">
        <v>238</v>
      </c>
      <c r="AY1" s="18" t="s">
        <v>247</v>
      </c>
      <c r="AZ1" s="18" t="s">
        <v>248</v>
      </c>
      <c r="BA1" s="18" t="s">
        <v>249</v>
      </c>
      <c r="BB1" s="18" t="s">
        <v>240</v>
      </c>
      <c r="BC1" s="18" t="s">
        <v>239</v>
      </c>
      <c r="BD1" s="18" t="s">
        <v>250</v>
      </c>
      <c r="BE1" s="18" t="s">
        <v>253</v>
      </c>
      <c r="BF1" s="18" t="s">
        <v>254</v>
      </c>
      <c r="BG1" s="18" t="s">
        <v>255</v>
      </c>
      <c r="BH1" s="18" t="s">
        <v>256</v>
      </c>
      <c r="BI1" s="18" t="s">
        <v>251</v>
      </c>
      <c r="BJ1" s="18" t="s">
        <v>237</v>
      </c>
      <c r="BK1" s="19" t="s">
        <v>241</v>
      </c>
      <c r="BL1" s="18" t="s">
        <v>242</v>
      </c>
      <c r="BM1" s="18" t="s">
        <v>252</v>
      </c>
      <c r="BN1" s="23" t="s">
        <v>246</v>
      </c>
      <c r="BO1" s="3" t="s">
        <v>234</v>
      </c>
      <c r="BP1" s="3" t="s">
        <v>165</v>
      </c>
      <c r="BQ1" s="39" t="s">
        <v>235</v>
      </c>
      <c r="BR1" s="39" t="s">
        <v>243</v>
      </c>
    </row>
    <row r="2" spans="1:70" s="3" customFormat="1" ht="14.25" x14ac:dyDescent="0.25">
      <c r="A2" s="23" t="s">
        <v>163</v>
      </c>
      <c r="B2" s="12"/>
      <c r="C2" s="12" t="s">
        <v>263</v>
      </c>
      <c r="D2" s="12" t="s">
        <v>6</v>
      </c>
      <c r="E2" s="12" t="s">
        <v>144</v>
      </c>
      <c r="F2" s="12" t="s">
        <v>49</v>
      </c>
      <c r="G2" s="12" t="s">
        <v>9</v>
      </c>
      <c r="H2" s="12" t="s">
        <v>8</v>
      </c>
      <c r="I2" s="12" t="s">
        <v>7</v>
      </c>
      <c r="J2" s="12" t="s">
        <v>2</v>
      </c>
      <c r="K2" s="12" t="s">
        <v>5</v>
      </c>
      <c r="L2" s="12" t="s">
        <v>3</v>
      </c>
      <c r="M2" s="12" t="s">
        <v>149</v>
      </c>
      <c r="N2" s="12" t="s">
        <v>175</v>
      </c>
      <c r="O2" s="3" t="s">
        <v>103</v>
      </c>
      <c r="P2" s="3" t="s">
        <v>186</v>
      </c>
      <c r="Q2" s="3" t="s">
        <v>236</v>
      </c>
      <c r="R2" s="3" t="s">
        <v>244</v>
      </c>
      <c r="S2" s="12" t="s">
        <v>98</v>
      </c>
      <c r="T2" s="12" t="s">
        <v>99</v>
      </c>
      <c r="U2" s="12" t="s">
        <v>12</v>
      </c>
      <c r="V2" s="12" t="s">
        <v>23</v>
      </c>
      <c r="W2" s="12" t="s">
        <v>26</v>
      </c>
      <c r="X2" s="12" t="s">
        <v>28</v>
      </c>
      <c r="Y2" s="12" t="s">
        <v>34</v>
      </c>
      <c r="Z2" s="12" t="s">
        <v>36</v>
      </c>
      <c r="AA2" s="12" t="s">
        <v>21</v>
      </c>
      <c r="AB2" s="12" t="s">
        <v>10</v>
      </c>
      <c r="AC2" s="12" t="s">
        <v>19</v>
      </c>
      <c r="AD2" s="12" t="s">
        <v>11</v>
      </c>
      <c r="AE2" s="12" t="s">
        <v>25</v>
      </c>
      <c r="AF2" s="12" t="s">
        <v>22</v>
      </c>
      <c r="AG2" s="12" t="s">
        <v>27</v>
      </c>
      <c r="AH2" s="12" t="s">
        <v>15</v>
      </c>
      <c r="AI2" s="12" t="s">
        <v>16</v>
      </c>
      <c r="AJ2" s="12" t="s">
        <v>30</v>
      </c>
      <c r="AK2" s="12" t="s">
        <v>13</v>
      </c>
      <c r="AL2" s="12" t="s">
        <v>18</v>
      </c>
      <c r="AM2" s="12" t="s">
        <v>14</v>
      </c>
      <c r="AN2" s="12" t="s">
        <v>32</v>
      </c>
      <c r="AO2" s="12" t="s">
        <v>35</v>
      </c>
      <c r="AP2" s="12" t="s">
        <v>20</v>
      </c>
      <c r="AQ2" s="12" t="s">
        <v>17</v>
      </c>
      <c r="AR2" s="12" t="s">
        <v>29</v>
      </c>
      <c r="AS2" s="12" t="s">
        <v>24</v>
      </c>
      <c r="AT2" s="12" t="s">
        <v>31</v>
      </c>
      <c r="AU2" s="12" t="s">
        <v>33</v>
      </c>
      <c r="AV2" s="12" t="s">
        <v>48</v>
      </c>
      <c r="AW2" s="21" t="s">
        <v>266</v>
      </c>
      <c r="AX2" s="21" t="s">
        <v>245</v>
      </c>
      <c r="AY2" s="21" t="s">
        <v>245</v>
      </c>
      <c r="AZ2" s="21" t="s">
        <v>245</v>
      </c>
      <c r="BA2" s="21" t="s">
        <v>245</v>
      </c>
      <c r="BB2" s="21" t="s">
        <v>245</v>
      </c>
      <c r="BC2" s="21" t="s">
        <v>245</v>
      </c>
      <c r="BD2" s="21" t="s">
        <v>245</v>
      </c>
      <c r="BE2" s="21" t="s">
        <v>245</v>
      </c>
      <c r="BF2" s="21" t="s">
        <v>245</v>
      </c>
      <c r="BG2" s="21" t="s">
        <v>245</v>
      </c>
      <c r="BH2" s="21" t="s">
        <v>245</v>
      </c>
      <c r="BI2" s="21" t="s">
        <v>245</v>
      </c>
      <c r="BJ2" s="21" t="s">
        <v>245</v>
      </c>
      <c r="BK2" s="21" t="s">
        <v>245</v>
      </c>
      <c r="BL2" s="21" t="s">
        <v>245</v>
      </c>
      <c r="BM2" s="21" t="s">
        <v>245</v>
      </c>
      <c r="BN2" s="3" t="s">
        <v>245</v>
      </c>
      <c r="BO2" s="42" t="s">
        <v>245</v>
      </c>
      <c r="BP2" s="21" t="s">
        <v>245</v>
      </c>
      <c r="BQ2" s="87" t="s">
        <v>245</v>
      </c>
      <c r="BR2" s="87" t="s">
        <v>245</v>
      </c>
    </row>
    <row r="3" spans="1:70" s="3" customFormat="1" x14ac:dyDescent="0.2">
      <c r="A3" s="18" t="s">
        <v>164</v>
      </c>
      <c r="B3" s="13"/>
      <c r="C3" s="5" t="s">
        <v>100</v>
      </c>
      <c r="D3" s="5" t="s">
        <v>100</v>
      </c>
      <c r="E3" s="5" t="s">
        <v>100</v>
      </c>
      <c r="F3" s="5" t="s">
        <v>100</v>
      </c>
      <c r="G3" s="5" t="s">
        <v>100</v>
      </c>
      <c r="H3" s="5" t="s">
        <v>100</v>
      </c>
      <c r="I3" s="5" t="s">
        <v>100</v>
      </c>
      <c r="J3" s="5" t="s">
        <v>100</v>
      </c>
      <c r="K3" s="5" t="s">
        <v>100</v>
      </c>
      <c r="L3" s="5" t="s">
        <v>100</v>
      </c>
      <c r="M3" s="5" t="s">
        <v>100</v>
      </c>
      <c r="N3" s="5" t="s">
        <v>100</v>
      </c>
      <c r="O3" s="13" t="s">
        <v>151</v>
      </c>
      <c r="P3" s="13" t="s">
        <v>187</v>
      </c>
      <c r="Q3" s="13" t="s">
        <v>101</v>
      </c>
      <c r="R3" s="13" t="s">
        <v>101</v>
      </c>
      <c r="S3" s="5" t="s">
        <v>101</v>
      </c>
      <c r="T3" s="5" t="s">
        <v>101</v>
      </c>
      <c r="U3" s="5" t="s">
        <v>101</v>
      </c>
      <c r="V3" s="5" t="s">
        <v>101</v>
      </c>
      <c r="W3" s="5" t="s">
        <v>101</v>
      </c>
      <c r="X3" s="5" t="s">
        <v>101</v>
      </c>
      <c r="Y3" s="5" t="s">
        <v>101</v>
      </c>
      <c r="Z3" s="5" t="s">
        <v>101</v>
      </c>
      <c r="AA3" s="5" t="s">
        <v>101</v>
      </c>
      <c r="AB3" s="5" t="s">
        <v>101</v>
      </c>
      <c r="AC3" s="5" t="s">
        <v>101</v>
      </c>
      <c r="AD3" s="5" t="s">
        <v>101</v>
      </c>
      <c r="AE3" s="5" t="s">
        <v>101</v>
      </c>
      <c r="AF3" s="5" t="s">
        <v>101</v>
      </c>
      <c r="AG3" s="5" t="s">
        <v>101</v>
      </c>
      <c r="AH3" s="5" t="s">
        <v>101</v>
      </c>
      <c r="AI3" s="5" t="s">
        <v>101</v>
      </c>
      <c r="AJ3" s="5" t="s">
        <v>101</v>
      </c>
      <c r="AK3" s="5" t="s">
        <v>101</v>
      </c>
      <c r="AL3" s="5" t="s">
        <v>101</v>
      </c>
      <c r="AM3" s="5" t="s">
        <v>101</v>
      </c>
      <c r="AN3" s="5" t="s">
        <v>101</v>
      </c>
      <c r="AO3" s="5" t="s">
        <v>101</v>
      </c>
      <c r="AP3" s="5" t="s">
        <v>101</v>
      </c>
      <c r="AQ3" s="5" t="s">
        <v>101</v>
      </c>
      <c r="AR3" s="5" t="s">
        <v>101</v>
      </c>
      <c r="AS3" s="5" t="s">
        <v>101</v>
      </c>
      <c r="AT3" s="5" t="s">
        <v>101</v>
      </c>
      <c r="AU3" s="5" t="s">
        <v>101</v>
      </c>
      <c r="AV3" s="5" t="s">
        <v>101</v>
      </c>
      <c r="AW3" s="18" t="s">
        <v>265</v>
      </c>
      <c r="AX3" s="18">
        <v>71.3</v>
      </c>
      <c r="AY3" s="18">
        <v>0.3</v>
      </c>
      <c r="AZ3" s="18">
        <v>0.05</v>
      </c>
      <c r="BA3" s="18">
        <v>0.68</v>
      </c>
      <c r="BB3" s="18">
        <v>1.25</v>
      </c>
      <c r="BC3" s="18">
        <v>7.95</v>
      </c>
      <c r="BD3" s="18">
        <v>20.5</v>
      </c>
      <c r="BE3" s="18">
        <v>39.1</v>
      </c>
      <c r="BF3" s="18">
        <v>83.4</v>
      </c>
      <c r="BG3" s="18">
        <v>134</v>
      </c>
      <c r="BH3" s="18">
        <v>200</v>
      </c>
      <c r="BI3" s="18">
        <v>237</v>
      </c>
      <c r="BJ3" s="18">
        <v>302.39999999999998</v>
      </c>
      <c r="BK3" s="19">
        <v>2847</v>
      </c>
      <c r="BL3" s="18">
        <v>12.12</v>
      </c>
      <c r="BM3" s="18">
        <v>77.900000000000006</v>
      </c>
      <c r="BN3" s="42">
        <v>0.45</v>
      </c>
      <c r="BO3" s="42"/>
      <c r="BP3" s="42"/>
      <c r="BQ3" s="87"/>
      <c r="BR3" s="87"/>
    </row>
    <row r="4" spans="1:70" x14ac:dyDescent="0.2">
      <c r="A4" s="23" t="s">
        <v>42</v>
      </c>
      <c r="B4" s="12" t="s">
        <v>208</v>
      </c>
      <c r="C4" s="10">
        <v>3.3271622185388514</v>
      </c>
      <c r="D4" s="10">
        <v>5.4609168244809831</v>
      </c>
      <c r="E4" s="10">
        <v>14.201436857423486</v>
      </c>
      <c r="F4" s="10">
        <v>57.457133728230794</v>
      </c>
      <c r="G4" s="10">
        <v>0.31514722650429838</v>
      </c>
      <c r="H4" s="10">
        <v>0.21740655922236229</v>
      </c>
      <c r="I4" s="10">
        <v>10.172306293874669</v>
      </c>
      <c r="J4" s="10">
        <v>1.3398993961791448</v>
      </c>
      <c r="K4" s="10">
        <v>0.1383158159469268</v>
      </c>
      <c r="L4" s="10">
        <v>6.3702750795984855</v>
      </c>
      <c r="M4" s="10">
        <f>U4/51.996*(51.996*2+15.999*3)/10000/2</f>
        <v>6.7922058202584679E-2</v>
      </c>
      <c r="N4" s="10">
        <v>99.000000000000014</v>
      </c>
      <c r="O4" s="10">
        <v>60.444490017326814</v>
      </c>
      <c r="P4" s="10">
        <v>0.94954362461527542</v>
      </c>
      <c r="Q4" s="10">
        <f>Z4/AQ4</f>
        <v>35.268418507647887</v>
      </c>
      <c r="R4" s="10">
        <f>J4/(47.867+15.999*2)*47.867*10000</f>
        <v>8030.672309135055</v>
      </c>
      <c r="S4" s="10">
        <v>4.5968857828844163</v>
      </c>
      <c r="T4" s="10">
        <v>31.605789016026137</v>
      </c>
      <c r="U4" s="10">
        <v>464.72775507458999</v>
      </c>
      <c r="V4" s="10">
        <v>10.100037139375635</v>
      </c>
      <c r="W4" s="10">
        <v>7.1028169576853166</v>
      </c>
      <c r="X4" s="10">
        <v>151.02546483845416</v>
      </c>
      <c r="Y4" s="10">
        <v>29.179939009019066</v>
      </c>
      <c r="Z4" s="10">
        <v>101.01854388552192</v>
      </c>
      <c r="AA4" s="10">
        <v>9.9144189227709649</v>
      </c>
      <c r="AB4" s="35">
        <v>88.308541465427339</v>
      </c>
      <c r="AC4" s="10">
        <v>7.3223529406516938</v>
      </c>
      <c r="AD4" s="35">
        <v>18.044567886592223</v>
      </c>
      <c r="AE4" s="35">
        <v>2.7270567403899162</v>
      </c>
      <c r="AF4" s="10">
        <v>13.840704485251543</v>
      </c>
      <c r="AG4" s="10">
        <v>3.813999086365301</v>
      </c>
      <c r="AH4" s="10">
        <v>1.1263510036834423</v>
      </c>
      <c r="AI4" s="10">
        <v>4.5521527210693273</v>
      </c>
      <c r="AJ4" s="10">
        <v>1.0636163354077568</v>
      </c>
      <c r="AK4" s="10">
        <v>5.9705865270149854</v>
      </c>
      <c r="AL4" s="10">
        <v>1.149786406573416</v>
      </c>
      <c r="AM4" s="10">
        <v>2.9683500227749939</v>
      </c>
      <c r="AN4" s="10">
        <v>0.62913812331897656</v>
      </c>
      <c r="AO4" s="10">
        <v>2.4111747365668426</v>
      </c>
      <c r="AP4" s="10">
        <v>0.52087726514066435</v>
      </c>
      <c r="AQ4" s="10">
        <v>2.864277678445271</v>
      </c>
      <c r="AR4" s="10">
        <v>1.7112015598218469</v>
      </c>
      <c r="AS4" s="10">
        <v>0.92986087235294446</v>
      </c>
      <c r="AT4" s="10">
        <v>0.94564121300498649</v>
      </c>
      <c r="AU4" s="10">
        <v>0.32779825447298172</v>
      </c>
      <c r="AV4" s="10">
        <f>(G4/(30.974*2+15.999*5)*2*30.974)*10000</f>
        <v>1375.3929667182092</v>
      </c>
      <c r="AW4" s="12">
        <v>6.01</v>
      </c>
      <c r="AX4" s="12">
        <f>Y4*71.3</f>
        <v>2080.5296513430594</v>
      </c>
      <c r="AY4" s="38">
        <f>AD4*0.3</f>
        <v>5.4133703659776664</v>
      </c>
      <c r="AZ4" s="37">
        <f>AF4*0.05</f>
        <v>0.69203522426257713</v>
      </c>
      <c r="BA4" s="37">
        <f>AG4*0.68</f>
        <v>2.5935193787284048</v>
      </c>
      <c r="BB4" s="37">
        <f>AH4*1.25</f>
        <v>1.407938754604303</v>
      </c>
      <c r="BC4" s="37">
        <f>AI4*7.95</f>
        <v>36.189614132501156</v>
      </c>
      <c r="BD4" s="37">
        <f>AJ4*20.5</f>
        <v>21.804134875859013</v>
      </c>
      <c r="BE4" s="37">
        <f>AK4*39.1</f>
        <v>233.44993320628595</v>
      </c>
      <c r="BF4" s="37">
        <f>AL4*83.4</f>
        <v>95.892186308222904</v>
      </c>
      <c r="BG4" s="37">
        <f>AM4*134</f>
        <v>397.75890305184919</v>
      </c>
      <c r="BH4" s="37">
        <f>AN4*200</f>
        <v>125.82762466379532</v>
      </c>
      <c r="BI4" s="37">
        <f>AO4*237</f>
        <v>571.44841256634163</v>
      </c>
      <c r="BJ4" s="37">
        <f>AP4*302.4</f>
        <v>157.51328497853689</v>
      </c>
      <c r="BK4" s="37">
        <f>AQ4*2847</f>
        <v>8154.5985505336866</v>
      </c>
      <c r="BL4" s="37">
        <f>AT4*12.12</f>
        <v>11.461171501620436</v>
      </c>
      <c r="BM4" s="37">
        <f>AU4*77.9</f>
        <v>25.535484023445278</v>
      </c>
      <c r="BN4" s="37">
        <f>AA4*0.45</f>
        <v>4.4614885152469341</v>
      </c>
      <c r="BO4" s="10">
        <f>BN4/BI4</f>
        <v>7.8073338155068952E-3</v>
      </c>
      <c r="BP4" s="10">
        <f>BL4/BM4</f>
        <v>0.44883314101653282</v>
      </c>
      <c r="BQ4" s="41">
        <f>BM4/BI4</f>
        <v>4.468554546991723E-2</v>
      </c>
      <c r="BR4" s="10">
        <f>BC4/BI4</f>
        <v>6.3329625801173725E-2</v>
      </c>
    </row>
    <row r="5" spans="1:70" x14ac:dyDescent="0.2"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35"/>
      <c r="AC5" s="10"/>
      <c r="AD5" s="35"/>
      <c r="AE5" s="35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2"/>
      <c r="AY5" s="38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O5" s="10"/>
      <c r="BP5" s="10"/>
    </row>
    <row r="6" spans="1:70" x14ac:dyDescent="0.2">
      <c r="A6" s="23" t="s">
        <v>45</v>
      </c>
      <c r="B6" s="12" t="s">
        <v>209</v>
      </c>
      <c r="C6" s="10">
        <v>3.6989207148935996</v>
      </c>
      <c r="D6" s="10">
        <v>8.9032424363410492</v>
      </c>
      <c r="E6" s="10">
        <v>11.073705781818283</v>
      </c>
      <c r="F6" s="10">
        <v>56.464770253823474</v>
      </c>
      <c r="G6" s="10">
        <v>0.40578553738050366</v>
      </c>
      <c r="H6" s="10">
        <v>0.20336150390735178</v>
      </c>
      <c r="I6" s="10">
        <v>9.016784960035741</v>
      </c>
      <c r="J6" s="10">
        <v>1.0822996552952588</v>
      </c>
      <c r="K6" s="10">
        <v>0.1711342205855847</v>
      </c>
      <c r="L6" s="10">
        <v>7.9799949359191418</v>
      </c>
      <c r="M6" s="10" t="s">
        <v>4</v>
      </c>
      <c r="N6" s="10">
        <v>98.999999999999972</v>
      </c>
      <c r="O6" s="10">
        <v>66.54159319782174</v>
      </c>
      <c r="P6" s="10">
        <v>0.76360076179447156</v>
      </c>
      <c r="Q6" s="10">
        <f t="shared" ref="Q6:Q13" si="0">Z6/AQ6</f>
        <v>110.63022705795767</v>
      </c>
      <c r="R6" s="10">
        <f t="shared" ref="R6:R13" si="1">J6/(47.867+15.999*2)*47.867*10000</f>
        <v>6486.751092470814</v>
      </c>
      <c r="S6" s="10">
        <v>264.09237639339597</v>
      </c>
      <c r="T6" s="10">
        <v>37.034215716943955</v>
      </c>
      <c r="U6" s="10" t="s">
        <v>4</v>
      </c>
      <c r="V6" s="10">
        <v>332.14369117947064</v>
      </c>
      <c r="W6" s="10">
        <v>9.0788520100998831</v>
      </c>
      <c r="X6" s="10">
        <v>106.6130987913577</v>
      </c>
      <c r="Y6" s="10">
        <v>17.910810625743373</v>
      </c>
      <c r="Z6" s="10">
        <v>68.590345230439453</v>
      </c>
      <c r="AA6" s="10">
        <v>6.4909963727020168</v>
      </c>
      <c r="AB6" s="35">
        <v>49.757195645212882</v>
      </c>
      <c r="AC6" s="10">
        <v>4.5218372441361847</v>
      </c>
      <c r="AD6" s="35">
        <v>11.493869847361266</v>
      </c>
      <c r="AE6" s="35">
        <v>1.0439942689369079</v>
      </c>
      <c r="AF6" s="10">
        <v>6.5107087577904705</v>
      </c>
      <c r="AG6" s="10">
        <v>3.3631532721994679</v>
      </c>
      <c r="AH6" s="10">
        <v>0.29085347900066011</v>
      </c>
      <c r="AI6" s="10">
        <v>1.5292265779528456</v>
      </c>
      <c r="AJ6" s="10">
        <v>0.57733034799417482</v>
      </c>
      <c r="AK6" s="10">
        <v>1.9549218747103014</v>
      </c>
      <c r="AL6" s="10">
        <v>0.38462283302505484</v>
      </c>
      <c r="AM6" s="10">
        <v>0.43913273136364889</v>
      </c>
      <c r="AN6" s="10">
        <v>6.8595699959369622E-2</v>
      </c>
      <c r="AO6" s="10">
        <v>0.42891017547718713</v>
      </c>
      <c r="AP6" s="10">
        <v>0.32685807911857384</v>
      </c>
      <c r="AQ6" s="10">
        <v>0.61999642461644688</v>
      </c>
      <c r="AR6" s="10">
        <v>1.7945647287716615</v>
      </c>
      <c r="AS6" s="10">
        <v>5.782607360944553</v>
      </c>
      <c r="AT6" s="10">
        <v>0.11769031503510456</v>
      </c>
      <c r="AU6" s="10">
        <v>0.12866180497588181</v>
      </c>
      <c r="AV6" s="10">
        <f t="shared" ref="AV6:AV13" si="2">(G6/(30.974*2+15.999*5)*2*30.974)*10000</f>
        <v>1770.9645751919743</v>
      </c>
      <c r="AW6" s="12">
        <v>6.01</v>
      </c>
      <c r="AX6" s="12">
        <f t="shared" ref="AX6:AX13" si="3">Y6*71.3</f>
        <v>1277.0407976155025</v>
      </c>
      <c r="AY6" s="38">
        <f t="shared" ref="AY6:AY13" si="4">AD6*0.3</f>
        <v>3.4481609542083795</v>
      </c>
      <c r="AZ6" s="37">
        <f t="shared" ref="AZ6:AZ13" si="5">AF6*0.05</f>
        <v>0.32553543788952355</v>
      </c>
      <c r="BA6" s="37">
        <f t="shared" ref="BA6:BA13" si="6">AG6*0.68</f>
        <v>2.2869442250956382</v>
      </c>
      <c r="BB6" s="37">
        <f t="shared" ref="BB6:BB13" si="7">AH6*1.25</f>
        <v>0.36356684875082512</v>
      </c>
      <c r="BC6" s="37">
        <f t="shared" ref="BC6:BC13" si="8">AI6*7.95</f>
        <v>12.157351294725123</v>
      </c>
      <c r="BD6" s="37">
        <f t="shared" ref="BD6:BD13" si="9">AJ6*20.5</f>
        <v>11.835272133880585</v>
      </c>
      <c r="BE6" s="37">
        <f t="shared" ref="BE6:BE13" si="10">AK6*39.1</f>
        <v>76.437445301172787</v>
      </c>
      <c r="BF6" s="37">
        <f t="shared" ref="BF6:BF13" si="11">AL6*83.4</f>
        <v>32.077544274289579</v>
      </c>
      <c r="BG6" s="37">
        <f t="shared" ref="BG6:BG13" si="12">AM6*134</f>
        <v>58.843786002728947</v>
      </c>
      <c r="BH6" s="37">
        <f t="shared" ref="BH6:BH13" si="13">AN6*200</f>
        <v>13.719139991873924</v>
      </c>
      <c r="BI6" s="37">
        <f t="shared" ref="BI6:BI13" si="14">AO6*237</f>
        <v>101.65171158809335</v>
      </c>
      <c r="BJ6" s="37">
        <f t="shared" ref="BJ6:BJ13" si="15">AP6*302.4</f>
        <v>98.841883125456718</v>
      </c>
      <c r="BK6" s="37">
        <f t="shared" ref="BK6:BK13" si="16">AQ6*2847</f>
        <v>1765.1298208830242</v>
      </c>
      <c r="BL6" s="37">
        <f t="shared" ref="BL6:BL13" si="17">AT6*12.12</f>
        <v>1.4264066182254671</v>
      </c>
      <c r="BM6" s="37">
        <f t="shared" ref="BM6:BM13" si="18">AU6*77.9</f>
        <v>10.022754607621193</v>
      </c>
      <c r="BN6" s="37">
        <f t="shared" ref="BN6:BN13" si="19">AA6*0.45</f>
        <v>2.9209483677159076</v>
      </c>
      <c r="BO6" s="10">
        <f t="shared" ref="BO6:BO13" si="20">BN6/BI6</f>
        <v>2.8734866556423471E-2</v>
      </c>
      <c r="BP6" s="10">
        <f t="shared" ref="BP6:BP15" si="21">BL6/BM6</f>
        <v>0.14231682547039942</v>
      </c>
      <c r="BQ6" s="41">
        <f t="shared" ref="BQ6:BQ15" si="22">BM6/BI6</f>
        <v>9.859897537421472E-2</v>
      </c>
      <c r="BR6" s="10">
        <f t="shared" ref="BR6:BR13" si="23">BC6/BI6</f>
        <v>0.1195980973147641</v>
      </c>
    </row>
    <row r="7" spans="1:70" x14ac:dyDescent="0.2">
      <c r="A7" s="23" t="s">
        <v>45</v>
      </c>
      <c r="B7" s="12" t="s">
        <v>210</v>
      </c>
      <c r="C7" s="10">
        <v>2.6914096080920134</v>
      </c>
      <c r="D7" s="10">
        <v>5.5359144433483669</v>
      </c>
      <c r="E7" s="10">
        <v>11.456112405036732</v>
      </c>
      <c r="F7" s="10">
        <v>63.238539101067467</v>
      </c>
      <c r="G7" s="10">
        <v>0.321796762269631</v>
      </c>
      <c r="H7" s="10">
        <v>0.22918643225107407</v>
      </c>
      <c r="I7" s="10">
        <v>6.241727941506225</v>
      </c>
      <c r="J7" s="10">
        <v>0.99522250397645462</v>
      </c>
      <c r="K7" s="10">
        <v>0.14838967251510399</v>
      </c>
      <c r="L7" s="10">
        <v>8.141701129936914</v>
      </c>
      <c r="M7" s="10">
        <f t="shared" ref="M7:M32" si="24">U7/51.996*(51.996*2+15.999*3)/10000/2</f>
        <v>7.4120898024141443E-2</v>
      </c>
      <c r="N7" s="10">
        <v>98.999999999999986</v>
      </c>
      <c r="O7" s="10">
        <v>54.792838920184359</v>
      </c>
      <c r="P7" s="10">
        <v>1.1068954652999368</v>
      </c>
      <c r="Q7" s="10">
        <f t="shared" si="0"/>
        <v>34.009432563098279</v>
      </c>
      <c r="R7" s="10">
        <f t="shared" si="1"/>
        <v>5964.8551427835673</v>
      </c>
      <c r="S7" s="10">
        <v>232.20182905099608</v>
      </c>
      <c r="T7" s="10">
        <v>20.003016062605592</v>
      </c>
      <c r="U7" s="10">
        <v>507.14067645201408</v>
      </c>
      <c r="V7" s="10">
        <v>176.43979523120879</v>
      </c>
      <c r="W7" s="10">
        <v>7.8508690775890866</v>
      </c>
      <c r="X7" s="10">
        <v>131.62330945985244</v>
      </c>
      <c r="Y7" s="10">
        <v>18.720494987110918</v>
      </c>
      <c r="Z7" s="10">
        <v>76.135269671182101</v>
      </c>
      <c r="AA7" s="10">
        <v>10.122589816698833</v>
      </c>
      <c r="AB7" s="35">
        <v>74.613646065403799</v>
      </c>
      <c r="AC7" s="10">
        <v>6.2196168948330506</v>
      </c>
      <c r="AD7" s="35">
        <v>14.656948112125086</v>
      </c>
      <c r="AE7" s="35">
        <v>2.0395520016677682</v>
      </c>
      <c r="AF7" s="10">
        <v>8.7623315675105449</v>
      </c>
      <c r="AG7" s="10">
        <v>3.0194274190447468</v>
      </c>
      <c r="AH7" s="10">
        <v>0.84436386187695167</v>
      </c>
      <c r="AI7" s="10">
        <v>3.474417171273315</v>
      </c>
      <c r="AJ7" s="10">
        <v>0.56715730169704737</v>
      </c>
      <c r="AK7" s="10">
        <v>5.1942856758148803</v>
      </c>
      <c r="AL7" s="10">
        <v>1.210207762484518</v>
      </c>
      <c r="AM7" s="10">
        <v>2.2427162871866622</v>
      </c>
      <c r="AN7" s="10">
        <v>0.4004929081786785</v>
      </c>
      <c r="AO7" s="10">
        <v>1.9373504398717261</v>
      </c>
      <c r="AP7" s="10">
        <v>0.28217566276279271</v>
      </c>
      <c r="AQ7" s="10">
        <v>2.2386515720286435</v>
      </c>
      <c r="AR7" s="10">
        <v>5.1895649434950926</v>
      </c>
      <c r="AS7" s="10">
        <v>2.17062446699408</v>
      </c>
      <c r="AT7" s="10">
        <v>0.39626825288034112</v>
      </c>
      <c r="AU7" s="10">
        <v>0.51207658963489544</v>
      </c>
      <c r="AV7" s="10">
        <f t="shared" si="2"/>
        <v>1404.4134497001685</v>
      </c>
      <c r="AW7" s="12">
        <v>6.01</v>
      </c>
      <c r="AX7" s="12">
        <f t="shared" si="3"/>
        <v>1334.7712925810083</v>
      </c>
      <c r="AY7" s="38">
        <f t="shared" si="4"/>
        <v>4.3970844336375254</v>
      </c>
      <c r="AZ7" s="37">
        <f t="shared" si="5"/>
        <v>0.43811657837552725</v>
      </c>
      <c r="BA7" s="37">
        <f t="shared" si="6"/>
        <v>2.0532106449504282</v>
      </c>
      <c r="BB7" s="37">
        <f t="shared" si="7"/>
        <v>1.0554548273461897</v>
      </c>
      <c r="BC7" s="37">
        <f t="shared" si="8"/>
        <v>27.621616511622854</v>
      </c>
      <c r="BD7" s="37">
        <f t="shared" si="9"/>
        <v>11.626724684789471</v>
      </c>
      <c r="BE7" s="37">
        <f t="shared" si="10"/>
        <v>203.09656992436183</v>
      </c>
      <c r="BF7" s="37">
        <f t="shared" si="11"/>
        <v>100.93132739120881</v>
      </c>
      <c r="BG7" s="37">
        <f t="shared" si="12"/>
        <v>300.52398248301273</v>
      </c>
      <c r="BH7" s="37">
        <f t="shared" si="13"/>
        <v>80.098581635735698</v>
      </c>
      <c r="BI7" s="37">
        <f t="shared" si="14"/>
        <v>459.15205424959908</v>
      </c>
      <c r="BJ7" s="37">
        <f t="shared" si="15"/>
        <v>85.329920419468507</v>
      </c>
      <c r="BK7" s="37">
        <f t="shared" si="16"/>
        <v>6373.4410255655484</v>
      </c>
      <c r="BL7" s="37">
        <f t="shared" si="17"/>
        <v>4.8027712249097343</v>
      </c>
      <c r="BM7" s="37">
        <f t="shared" si="18"/>
        <v>39.890766332558357</v>
      </c>
      <c r="BN7" s="37">
        <f t="shared" si="19"/>
        <v>4.5551654175144751</v>
      </c>
      <c r="BO7" s="10">
        <f t="shared" si="20"/>
        <v>9.9208211644812704E-3</v>
      </c>
      <c r="BP7" s="10">
        <f t="shared" si="21"/>
        <v>0.12039806868763439</v>
      </c>
      <c r="BQ7" s="41">
        <f t="shared" si="22"/>
        <v>8.6879206927980734E-2</v>
      </c>
      <c r="BR7" s="10">
        <f t="shared" si="23"/>
        <v>6.0157885075272907E-2</v>
      </c>
    </row>
    <row r="8" spans="1:70" x14ac:dyDescent="0.2">
      <c r="A8" s="23" t="s">
        <v>45</v>
      </c>
      <c r="B8" s="12" t="s">
        <v>211</v>
      </c>
      <c r="C8" s="10">
        <v>3.8545386616781134</v>
      </c>
      <c r="D8" s="10">
        <v>2.0435356567887206</v>
      </c>
      <c r="E8" s="10">
        <v>15.099879541186542</v>
      </c>
      <c r="F8" s="10">
        <v>61.560688502046958</v>
      </c>
      <c r="G8" s="10">
        <v>0.3644616664719289</v>
      </c>
      <c r="H8" s="10">
        <v>0.28877921496957631</v>
      </c>
      <c r="I8" s="10">
        <v>8.2745459634529368</v>
      </c>
      <c r="J8" s="10">
        <v>1.3277998705084979</v>
      </c>
      <c r="K8" s="10">
        <v>0.14078624184906727</v>
      </c>
      <c r="L8" s="10">
        <v>6.044984681047687</v>
      </c>
      <c r="M8" s="10">
        <f t="shared" si="24"/>
        <v>6.9669083197547901E-2</v>
      </c>
      <c r="N8" s="10">
        <v>99.000000000000028</v>
      </c>
      <c r="O8" s="10">
        <v>37.601410803238956</v>
      </c>
      <c r="P8" s="10">
        <v>1.0651979330637946</v>
      </c>
      <c r="Q8" s="10">
        <f t="shared" si="0"/>
        <v>34.388720510127321</v>
      </c>
      <c r="R8" s="10">
        <f t="shared" si="1"/>
        <v>7958.1539349690447</v>
      </c>
      <c r="S8" s="10">
        <v>291.72281878874213</v>
      </c>
      <c r="T8" s="10">
        <v>10.019359711463258</v>
      </c>
      <c r="U8" s="10">
        <v>476.6810295402563</v>
      </c>
      <c r="V8" s="10">
        <v>51.024049745089442</v>
      </c>
      <c r="W8" s="10">
        <v>9.9097903843669002</v>
      </c>
      <c r="X8" s="10">
        <v>164.84460917636972</v>
      </c>
      <c r="Y8" s="10">
        <v>27.361799322542563</v>
      </c>
      <c r="Z8" s="10">
        <v>104.20776016184243</v>
      </c>
      <c r="AA8" s="10">
        <v>12.200853646315284</v>
      </c>
      <c r="AB8" s="35">
        <v>81.681322791296864</v>
      </c>
      <c r="AC8" s="10">
        <v>8.8053005160986526</v>
      </c>
      <c r="AD8" s="35">
        <v>18.886305908452254</v>
      </c>
      <c r="AE8" s="35">
        <v>2.7214574013718416</v>
      </c>
      <c r="AF8" s="10">
        <v>12.204314589562705</v>
      </c>
      <c r="AG8" s="10">
        <v>4.3737406665997129</v>
      </c>
      <c r="AH8" s="10">
        <v>1.3694117339346501</v>
      </c>
      <c r="AI8" s="10">
        <v>4.7051224353334327</v>
      </c>
      <c r="AJ8" s="10">
        <v>0.65823989919041481</v>
      </c>
      <c r="AK8" s="10">
        <v>4.1156786903704861</v>
      </c>
      <c r="AL8" s="10">
        <v>1.407847273753124</v>
      </c>
      <c r="AM8" s="10">
        <v>1.6996873293049135</v>
      </c>
      <c r="AN8" s="10">
        <v>0.52082387069409442</v>
      </c>
      <c r="AO8" s="10">
        <v>2.7031343795467726</v>
      </c>
      <c r="AP8" s="10">
        <v>0.45365516153854096</v>
      </c>
      <c r="AQ8" s="10">
        <v>3.0302889614969457</v>
      </c>
      <c r="AR8" s="10">
        <v>7.2235289177907651</v>
      </c>
      <c r="AS8" s="10">
        <v>4.3747490172676251</v>
      </c>
      <c r="AT8" s="10">
        <v>0.7178604558416033</v>
      </c>
      <c r="AU8" s="10">
        <v>0.67048238285260731</v>
      </c>
      <c r="AV8" s="10">
        <f t="shared" si="2"/>
        <v>1590.6153395801871</v>
      </c>
      <c r="AW8" s="12">
        <v>6.01</v>
      </c>
      <c r="AX8" s="12">
        <f t="shared" si="3"/>
        <v>1950.8962916972846</v>
      </c>
      <c r="AY8" s="38">
        <f t="shared" si="4"/>
        <v>5.6658917725356757</v>
      </c>
      <c r="AZ8" s="37">
        <f t="shared" si="5"/>
        <v>0.61021572947813529</v>
      </c>
      <c r="BA8" s="37">
        <f t="shared" si="6"/>
        <v>2.9741436532878049</v>
      </c>
      <c r="BB8" s="37">
        <f t="shared" si="7"/>
        <v>1.7117646674183127</v>
      </c>
      <c r="BC8" s="37">
        <f t="shared" si="8"/>
        <v>37.405723360900794</v>
      </c>
      <c r="BD8" s="37">
        <f t="shared" si="9"/>
        <v>13.493917933403504</v>
      </c>
      <c r="BE8" s="37">
        <f t="shared" si="10"/>
        <v>160.92303679348601</v>
      </c>
      <c r="BF8" s="37">
        <f t="shared" si="11"/>
        <v>117.41446263101055</v>
      </c>
      <c r="BG8" s="37">
        <f t="shared" si="12"/>
        <v>227.7581021268584</v>
      </c>
      <c r="BH8" s="37">
        <f t="shared" si="13"/>
        <v>104.16477413881888</v>
      </c>
      <c r="BI8" s="37">
        <f t="shared" si="14"/>
        <v>640.64284795258516</v>
      </c>
      <c r="BJ8" s="37">
        <f t="shared" si="15"/>
        <v>137.18532084925477</v>
      </c>
      <c r="BK8" s="37">
        <f t="shared" si="16"/>
        <v>8627.2326733818045</v>
      </c>
      <c r="BL8" s="37">
        <f t="shared" si="17"/>
        <v>8.7004687248002313</v>
      </c>
      <c r="BM8" s="37">
        <f t="shared" si="18"/>
        <v>52.230577624218114</v>
      </c>
      <c r="BN8" s="37">
        <f t="shared" si="19"/>
        <v>5.4903841408418783</v>
      </c>
      <c r="BO8" s="10">
        <f t="shared" si="20"/>
        <v>8.5701169667131427E-3</v>
      </c>
      <c r="BP8" s="10">
        <f t="shared" si="21"/>
        <v>0.16657806826103383</v>
      </c>
      <c r="BQ8" s="41">
        <f t="shared" si="22"/>
        <v>8.1528386356205393E-2</v>
      </c>
      <c r="BR8" s="10">
        <f t="shared" si="23"/>
        <v>5.838779513490993E-2</v>
      </c>
    </row>
    <row r="9" spans="1:70" x14ac:dyDescent="0.2">
      <c r="A9" s="23" t="s">
        <v>45</v>
      </c>
      <c r="B9" s="12" t="s">
        <v>212</v>
      </c>
      <c r="C9" s="10">
        <v>2.2306042626055538</v>
      </c>
      <c r="D9" s="10">
        <v>9.6684188124802972</v>
      </c>
      <c r="E9" s="10">
        <v>9.1968350629665778</v>
      </c>
      <c r="F9" s="10">
        <v>61.436210409716516</v>
      </c>
      <c r="G9" s="10">
        <v>0.27260479681229832</v>
      </c>
      <c r="H9" s="10">
        <v>0.20102181732814828</v>
      </c>
      <c r="I9" s="10">
        <v>6.4166507262886245</v>
      </c>
      <c r="J9" s="10">
        <v>0.86633252240548086</v>
      </c>
      <c r="K9" s="10">
        <v>0.19559781652190938</v>
      </c>
      <c r="L9" s="10">
        <v>8.5157237728746011</v>
      </c>
      <c r="M9" s="10">
        <f t="shared" si="24"/>
        <v>0.10374578857215877</v>
      </c>
      <c r="N9" s="10">
        <v>99.000000000000028</v>
      </c>
      <c r="O9" s="10">
        <v>66.929470627284815</v>
      </c>
      <c r="P9" s="10">
        <v>0.94615101673617119</v>
      </c>
      <c r="Q9" s="10">
        <f t="shared" si="0"/>
        <v>114.45471936044427</v>
      </c>
      <c r="R9" s="10">
        <f t="shared" si="1"/>
        <v>5192.354454389676</v>
      </c>
      <c r="S9" s="10">
        <v>215.7760593453128</v>
      </c>
      <c r="T9" s="10" t="s">
        <v>4</v>
      </c>
      <c r="U9" s="10">
        <v>709.83637271091561</v>
      </c>
      <c r="V9" s="10">
        <v>393.11788152531886</v>
      </c>
      <c r="W9" s="10">
        <v>7.221594670018475</v>
      </c>
      <c r="X9" s="10">
        <v>72.314775098011353</v>
      </c>
      <c r="Y9" s="10">
        <v>18.242335114078958</v>
      </c>
      <c r="Z9" s="10">
        <v>61.204448981992812</v>
      </c>
      <c r="AA9" s="10">
        <v>5.889986846224601</v>
      </c>
      <c r="AB9" s="10">
        <v>47.6</v>
      </c>
      <c r="AC9" s="10">
        <v>3.9877846870312026</v>
      </c>
      <c r="AD9" s="10">
        <v>10.67</v>
      </c>
      <c r="AE9" s="10">
        <v>1.3</v>
      </c>
      <c r="AF9" s="10">
        <v>9.0290938286703746</v>
      </c>
      <c r="AG9" s="10">
        <v>4.4082913357823257</v>
      </c>
      <c r="AH9" s="10">
        <v>0.32415988589650613</v>
      </c>
      <c r="AI9" s="10">
        <v>2.6042222709413707</v>
      </c>
      <c r="AJ9" s="10">
        <v>0.44825941706081956</v>
      </c>
      <c r="AK9" s="10">
        <v>4.2648291645739933</v>
      </c>
      <c r="AL9" s="10">
        <v>0.7642738321795649</v>
      </c>
      <c r="AM9" s="10">
        <v>1.6531419131798295</v>
      </c>
      <c r="AN9" s="10">
        <v>9.0334950051745661E-2</v>
      </c>
      <c r="AO9" s="10">
        <v>1.6599725802289333</v>
      </c>
      <c r="AP9" s="10">
        <v>0.20980331922455422</v>
      </c>
      <c r="AQ9" s="10">
        <v>0.53474814602660381</v>
      </c>
      <c r="AR9" s="10">
        <v>3.9220140077415095</v>
      </c>
      <c r="AS9" s="10">
        <v>1.7324912668082597</v>
      </c>
      <c r="AT9" s="10">
        <v>0.42284137390068355</v>
      </c>
      <c r="AU9" s="10">
        <v>0.30486342916556758</v>
      </c>
      <c r="AV9" s="10">
        <f t="shared" si="2"/>
        <v>1189.7255907602525</v>
      </c>
      <c r="AW9" s="12">
        <v>6.01</v>
      </c>
      <c r="AX9" s="12">
        <f t="shared" si="3"/>
        <v>1300.6784936338297</v>
      </c>
      <c r="AY9" s="38">
        <f t="shared" si="4"/>
        <v>3.2010000000000001</v>
      </c>
      <c r="AZ9" s="37">
        <f t="shared" si="5"/>
        <v>0.45145469143351874</v>
      </c>
      <c r="BA9" s="37">
        <f t="shared" si="6"/>
        <v>2.9976381083319819</v>
      </c>
      <c r="BB9" s="37">
        <f t="shared" si="7"/>
        <v>0.40519985737063269</v>
      </c>
      <c r="BC9" s="37">
        <f t="shared" si="8"/>
        <v>20.703567053983896</v>
      </c>
      <c r="BD9" s="37">
        <f t="shared" si="9"/>
        <v>9.1893180497468006</v>
      </c>
      <c r="BE9" s="37">
        <f t="shared" si="10"/>
        <v>166.75482033484315</v>
      </c>
      <c r="BF9" s="37">
        <f t="shared" si="11"/>
        <v>63.740437603775717</v>
      </c>
      <c r="BG9" s="37">
        <f t="shared" si="12"/>
        <v>221.52101636609714</v>
      </c>
      <c r="BH9" s="37">
        <f t="shared" si="13"/>
        <v>18.066990010349134</v>
      </c>
      <c r="BI9" s="37">
        <f t="shared" si="14"/>
        <v>393.41350151425718</v>
      </c>
      <c r="BJ9" s="37">
        <f t="shared" si="15"/>
        <v>63.444523733505193</v>
      </c>
      <c r="BK9" s="37">
        <f t="shared" si="16"/>
        <v>1522.427971737741</v>
      </c>
      <c r="BL9" s="37">
        <f t="shared" si="17"/>
        <v>5.1248374516762842</v>
      </c>
      <c r="BM9" s="37">
        <f t="shared" si="18"/>
        <v>23.748861131997717</v>
      </c>
      <c r="BN9" s="37">
        <f t="shared" si="19"/>
        <v>2.6504940808010704</v>
      </c>
      <c r="BO9" s="10">
        <f t="shared" si="20"/>
        <v>6.7371711204604334E-3</v>
      </c>
      <c r="BP9" s="10">
        <f t="shared" si="21"/>
        <v>0.21579297732182204</v>
      </c>
      <c r="BQ9" s="41">
        <f t="shared" si="22"/>
        <v>6.0366156831394527E-2</v>
      </c>
      <c r="BR9" s="10">
        <f t="shared" si="23"/>
        <v>5.2625461440177865E-2</v>
      </c>
    </row>
    <row r="10" spans="1:70" x14ac:dyDescent="0.2">
      <c r="A10" s="23" t="s">
        <v>45</v>
      </c>
      <c r="B10" s="12" t="s">
        <v>213</v>
      </c>
      <c r="C10" s="10">
        <v>2.9495393315092819</v>
      </c>
      <c r="D10" s="10">
        <v>9.279276300310439</v>
      </c>
      <c r="E10" s="10">
        <v>11.719208566627493</v>
      </c>
      <c r="F10" s="10">
        <v>60.157788139487614</v>
      </c>
      <c r="G10" s="10">
        <v>0.3004671298419398</v>
      </c>
      <c r="H10" s="10">
        <v>0.29370309361537134</v>
      </c>
      <c r="I10" s="10">
        <v>5.9189252407690738</v>
      </c>
      <c r="J10" s="10">
        <v>0.94409217142044877</v>
      </c>
      <c r="K10" s="10">
        <v>0.15924129779691917</v>
      </c>
      <c r="L10" s="10">
        <v>7.2777587286214187</v>
      </c>
      <c r="M10" s="10">
        <f t="shared" si="24"/>
        <v>7.9109092457193345E-2</v>
      </c>
      <c r="N10" s="10">
        <v>99</v>
      </c>
      <c r="O10" s="10">
        <v>69.445005498165941</v>
      </c>
      <c r="P10" s="10">
        <v>1.1107432234866204</v>
      </c>
      <c r="Q10" s="10">
        <f t="shared" si="0"/>
        <v>74.175226853497932</v>
      </c>
      <c r="R10" s="10">
        <f t="shared" si="1"/>
        <v>5658.4060563929906</v>
      </c>
      <c r="S10" s="10">
        <v>270.84503158580759</v>
      </c>
      <c r="T10" s="10">
        <v>26.505904642395603</v>
      </c>
      <c r="U10" s="10">
        <v>541.27027237553045</v>
      </c>
      <c r="V10" s="10">
        <v>395.26671568457857</v>
      </c>
      <c r="W10" s="10">
        <v>10.126466257821557</v>
      </c>
      <c r="X10" s="10">
        <v>119.87150120860277</v>
      </c>
      <c r="Y10" s="10">
        <v>19.907137013059284</v>
      </c>
      <c r="Z10" s="10">
        <v>78.814134051965354</v>
      </c>
      <c r="AA10" s="10">
        <v>11.311515990133515</v>
      </c>
      <c r="AB10" s="10">
        <v>77.569999999999993</v>
      </c>
      <c r="AC10" s="10">
        <v>5.7418793500087792</v>
      </c>
      <c r="AD10" s="10">
        <v>13.45</v>
      </c>
      <c r="AE10" s="10">
        <v>2.39</v>
      </c>
      <c r="AF10" s="10">
        <v>9.104228043177466</v>
      </c>
      <c r="AG10" s="10">
        <v>2.5277016475651708</v>
      </c>
      <c r="AH10" s="10">
        <v>0.24349881782563548</v>
      </c>
      <c r="AI10" s="10">
        <v>2.3421395354294114</v>
      </c>
      <c r="AJ10" s="10">
        <v>0.73761122622176289</v>
      </c>
      <c r="AK10" s="10">
        <v>4.3563935655072017</v>
      </c>
      <c r="AL10" s="10">
        <v>0.73718315032758441</v>
      </c>
      <c r="AM10" s="10">
        <v>0.53832377530607634</v>
      </c>
      <c r="AN10" s="10">
        <v>0.12962844379857161</v>
      </c>
      <c r="AO10" s="10">
        <v>1.6032407197496967</v>
      </c>
      <c r="AP10" s="10">
        <v>0.33533522992194698</v>
      </c>
      <c r="AQ10" s="10">
        <v>1.0625398451106816</v>
      </c>
      <c r="AR10" s="10">
        <v>4.5301650495234291</v>
      </c>
      <c r="AS10" s="10">
        <v>6.2631090916408736</v>
      </c>
      <c r="AT10" s="10">
        <v>0.42522079997859297</v>
      </c>
      <c r="AU10" s="10">
        <v>4.5303518142498368E-2</v>
      </c>
      <c r="AV10" s="10">
        <f t="shared" si="2"/>
        <v>1311.3248106245806</v>
      </c>
      <c r="AW10" s="12">
        <v>6.01</v>
      </c>
      <c r="AX10" s="12">
        <f t="shared" si="3"/>
        <v>1419.3788690311269</v>
      </c>
      <c r="AY10" s="38">
        <f t="shared" si="4"/>
        <v>4.0349999999999993</v>
      </c>
      <c r="AZ10" s="37">
        <f t="shared" si="5"/>
        <v>0.45521140215887335</v>
      </c>
      <c r="BA10" s="37">
        <f t="shared" si="6"/>
        <v>1.7188371203443162</v>
      </c>
      <c r="BB10" s="37">
        <f t="shared" si="7"/>
        <v>0.30437352228204434</v>
      </c>
      <c r="BC10" s="37">
        <f t="shared" si="8"/>
        <v>18.620009306663821</v>
      </c>
      <c r="BD10" s="37">
        <f t="shared" si="9"/>
        <v>15.121030137546139</v>
      </c>
      <c r="BE10" s="37">
        <f t="shared" si="10"/>
        <v>170.33498841133158</v>
      </c>
      <c r="BF10" s="37">
        <f t="shared" si="11"/>
        <v>61.481074737320547</v>
      </c>
      <c r="BG10" s="37">
        <f t="shared" si="12"/>
        <v>72.135385891014224</v>
      </c>
      <c r="BH10" s="37">
        <f t="shared" si="13"/>
        <v>25.925688759714323</v>
      </c>
      <c r="BI10" s="37">
        <f t="shared" si="14"/>
        <v>379.96805058067815</v>
      </c>
      <c r="BJ10" s="37">
        <f t="shared" si="15"/>
        <v>101.40537352839675</v>
      </c>
      <c r="BK10" s="37">
        <f t="shared" si="16"/>
        <v>3025.0509390301104</v>
      </c>
      <c r="BL10" s="37">
        <f t="shared" si="17"/>
        <v>5.1536760957405461</v>
      </c>
      <c r="BM10" s="37">
        <f t="shared" si="18"/>
        <v>3.529144063300623</v>
      </c>
      <c r="BN10" s="37">
        <f t="shared" si="19"/>
        <v>5.0901821955600814</v>
      </c>
      <c r="BO10" s="10">
        <f t="shared" si="20"/>
        <v>1.3396342634021776E-2</v>
      </c>
      <c r="BP10" s="10">
        <f t="shared" si="21"/>
        <v>1.4603189904694862</v>
      </c>
      <c r="BQ10" s="41">
        <f t="shared" si="22"/>
        <v>9.2880021304614507E-3</v>
      </c>
      <c r="BR10" s="10">
        <f t="shared" si="23"/>
        <v>4.9004144633234784E-2</v>
      </c>
    </row>
    <row r="11" spans="1:70" x14ac:dyDescent="0.2">
      <c r="A11" s="23" t="s">
        <v>45</v>
      </c>
      <c r="B11" s="12" t="s">
        <v>214</v>
      </c>
      <c r="C11" s="10">
        <v>3.6197888581835787</v>
      </c>
      <c r="D11" s="10">
        <v>1.232271538837751</v>
      </c>
      <c r="E11" s="10">
        <v>15.148595398910611</v>
      </c>
      <c r="F11" s="10">
        <v>67.175022373433521</v>
      </c>
      <c r="G11" s="10">
        <v>0.28763351869183518</v>
      </c>
      <c r="H11" s="10">
        <v>0.32944856877555678</v>
      </c>
      <c r="I11" s="10">
        <v>5.7805493906404077</v>
      </c>
      <c r="J11" s="10">
        <v>1.0620524886630214</v>
      </c>
      <c r="K11" s="10">
        <v>0.11491934417011591</v>
      </c>
      <c r="L11" s="10">
        <v>4.2497185196935732</v>
      </c>
      <c r="M11" s="10">
        <f t="shared" si="24"/>
        <v>4.6171342645217682E-2</v>
      </c>
      <c r="N11" s="10">
        <v>98.999999999999972</v>
      </c>
      <c r="O11" s="10">
        <v>34.075148990502676</v>
      </c>
      <c r="P11" s="10">
        <v>1.3097227005793466</v>
      </c>
      <c r="Q11" s="10">
        <f t="shared" si="0"/>
        <v>34.421421160062955</v>
      </c>
      <c r="R11" s="10">
        <f t="shared" si="1"/>
        <v>6365.3999217220116</v>
      </c>
      <c r="S11" s="10">
        <v>292.91971395731809</v>
      </c>
      <c r="T11" s="10">
        <v>14.990064118229451</v>
      </c>
      <c r="U11" s="10">
        <v>315.90774755814414</v>
      </c>
      <c r="V11" s="10"/>
      <c r="W11" s="10">
        <v>10.237726137241291</v>
      </c>
      <c r="X11" s="10">
        <v>158.96379243643207</v>
      </c>
      <c r="Y11" s="10">
        <v>21.946482588294959</v>
      </c>
      <c r="Z11" s="10">
        <v>82.492264221436244</v>
      </c>
      <c r="AA11" s="10">
        <v>11.719695454893806</v>
      </c>
      <c r="AB11" s="10">
        <v>87.81</v>
      </c>
      <c r="AC11" s="10">
        <v>7.4775250323030091</v>
      </c>
      <c r="AD11" s="10">
        <v>18.73</v>
      </c>
      <c r="AE11" s="10">
        <v>2.4900000000000002</v>
      </c>
      <c r="AF11" s="10">
        <v>11.392945050667052</v>
      </c>
      <c r="AG11" s="10">
        <v>3.062590072836437</v>
      </c>
      <c r="AH11" s="10">
        <v>0.65710199358026966</v>
      </c>
      <c r="AI11" s="10">
        <v>4.1653483336568167</v>
      </c>
      <c r="AJ11" s="10">
        <v>0.69071193620510785</v>
      </c>
      <c r="AK11" s="10">
        <v>3.8820202399185937</v>
      </c>
      <c r="AL11" s="10">
        <v>0.77126315739448614</v>
      </c>
      <c r="AM11" s="10">
        <v>1.870933975230092</v>
      </c>
      <c r="AN11" s="10">
        <v>0.30806597866011132</v>
      </c>
      <c r="AO11" s="10">
        <v>1.6473446805428227</v>
      </c>
      <c r="AP11" s="10">
        <v>0.17772009129812327</v>
      </c>
      <c r="AQ11" s="10">
        <v>2.3965385925769653</v>
      </c>
      <c r="AR11" s="10">
        <v>5.103557092258721</v>
      </c>
      <c r="AS11" s="10">
        <v>2.3812342963965509</v>
      </c>
      <c r="AT11" s="10">
        <v>0.49094322195425344</v>
      </c>
      <c r="AU11" s="10">
        <v>0.27786895243789828</v>
      </c>
      <c r="AV11" s="10">
        <f t="shared" si="2"/>
        <v>1255.3152473825271</v>
      </c>
      <c r="AW11" s="12">
        <v>6.01</v>
      </c>
      <c r="AX11" s="12">
        <f t="shared" si="3"/>
        <v>1564.7842085454306</v>
      </c>
      <c r="AY11" s="38">
        <f t="shared" si="4"/>
        <v>5.6189999999999998</v>
      </c>
      <c r="AZ11" s="37">
        <f t="shared" si="5"/>
        <v>0.56964725253335258</v>
      </c>
      <c r="BA11" s="37">
        <f t="shared" si="6"/>
        <v>2.0825612495287773</v>
      </c>
      <c r="BB11" s="37">
        <f t="shared" si="7"/>
        <v>0.82137749197533705</v>
      </c>
      <c r="BC11" s="37">
        <f t="shared" si="8"/>
        <v>33.114519252571696</v>
      </c>
      <c r="BD11" s="37">
        <f t="shared" si="9"/>
        <v>14.159594692204712</v>
      </c>
      <c r="BE11" s="37">
        <f t="shared" si="10"/>
        <v>151.78699138081703</v>
      </c>
      <c r="BF11" s="37">
        <f t="shared" si="11"/>
        <v>64.323347326700144</v>
      </c>
      <c r="BG11" s="37">
        <f t="shared" si="12"/>
        <v>250.70515268083233</v>
      </c>
      <c r="BH11" s="37">
        <f t="shared" si="13"/>
        <v>61.613195732022263</v>
      </c>
      <c r="BI11" s="37">
        <f t="shared" si="14"/>
        <v>390.42068928864899</v>
      </c>
      <c r="BJ11" s="37">
        <f t="shared" si="15"/>
        <v>53.742555608552472</v>
      </c>
      <c r="BK11" s="37">
        <f t="shared" si="16"/>
        <v>6822.94537306662</v>
      </c>
      <c r="BL11" s="37">
        <f t="shared" si="17"/>
        <v>5.9502318500855509</v>
      </c>
      <c r="BM11" s="37">
        <f t="shared" si="18"/>
        <v>21.645991394912276</v>
      </c>
      <c r="BN11" s="37">
        <f t="shared" si="19"/>
        <v>5.2738629547022127</v>
      </c>
      <c r="BO11" s="10">
        <f t="shared" si="20"/>
        <v>1.3508154407265794E-2</v>
      </c>
      <c r="BP11" s="10">
        <f t="shared" si="21"/>
        <v>0.27488839580173291</v>
      </c>
      <c r="BQ11" s="41">
        <f t="shared" si="22"/>
        <v>5.5442736485998019E-2</v>
      </c>
      <c r="BR11" s="10">
        <f t="shared" si="23"/>
        <v>8.4817531860073125E-2</v>
      </c>
    </row>
    <row r="12" spans="1:70" x14ac:dyDescent="0.2">
      <c r="A12" s="23" t="s">
        <v>45</v>
      </c>
      <c r="B12" s="12" t="s">
        <v>215</v>
      </c>
      <c r="C12" s="10">
        <v>2.8746771174592611</v>
      </c>
      <c r="D12" s="10">
        <v>4.3164103967774183</v>
      </c>
      <c r="E12" s="10">
        <v>14.535821786649723</v>
      </c>
      <c r="F12" s="10">
        <v>59.857078392059137</v>
      </c>
      <c r="G12" s="10">
        <v>0.26400102530996655</v>
      </c>
      <c r="H12" s="10">
        <v>0.22729956019344585</v>
      </c>
      <c r="I12" s="10">
        <v>8.1442640979270458</v>
      </c>
      <c r="J12" s="10">
        <v>1.1772354650365053</v>
      </c>
      <c r="K12" s="10">
        <v>0.16391418516084502</v>
      </c>
      <c r="L12" s="10">
        <v>7.4392979734266742</v>
      </c>
      <c r="M12" s="10">
        <f t="shared" si="24"/>
        <v>8.4537464883145896E-2</v>
      </c>
      <c r="N12" s="10">
        <v>99.000000000000028</v>
      </c>
      <c r="O12" s="10">
        <v>50.842270974328173</v>
      </c>
      <c r="P12" s="10">
        <v>1.174254459751201</v>
      </c>
      <c r="Q12" s="10">
        <f t="shared" si="0"/>
        <v>35.931775453323006</v>
      </c>
      <c r="R12" s="10">
        <f t="shared" si="1"/>
        <v>7055.7478250676022</v>
      </c>
      <c r="S12" s="10">
        <v>242.80120607142712</v>
      </c>
      <c r="T12" s="10">
        <v>1.9368352877080965</v>
      </c>
      <c r="U12" s="10">
        <v>578.41159874254777</v>
      </c>
      <c r="V12" s="10">
        <v>143.21725405623977</v>
      </c>
      <c r="W12" s="10">
        <v>6.1842223684670605</v>
      </c>
      <c r="X12" s="10">
        <v>129.17085805832505</v>
      </c>
      <c r="Y12" s="10">
        <v>23.072866208016471</v>
      </c>
      <c r="Z12" s="10">
        <v>92.982646619076391</v>
      </c>
      <c r="AA12" s="10">
        <v>9.6709234029974471</v>
      </c>
      <c r="AB12" s="10">
        <v>72.34</v>
      </c>
      <c r="AC12" s="10">
        <v>6.6582451064862402</v>
      </c>
      <c r="AD12" s="10">
        <v>15.75</v>
      </c>
      <c r="AE12" s="10">
        <v>2.37</v>
      </c>
      <c r="AF12" s="10">
        <v>10.2546019231422</v>
      </c>
      <c r="AG12" s="10">
        <v>3.9742832696222177</v>
      </c>
      <c r="AH12" s="10">
        <v>1.236003692761277</v>
      </c>
      <c r="AI12" s="10">
        <v>2.4831393201985987</v>
      </c>
      <c r="AJ12" s="10">
        <v>0.77100810531753361</v>
      </c>
      <c r="AK12" s="10">
        <v>3.6998613764053609</v>
      </c>
      <c r="AL12" s="10">
        <v>0.96762653622685846</v>
      </c>
      <c r="AM12" s="10">
        <v>0.9217138094143944</v>
      </c>
      <c r="AN12" s="10">
        <v>0.63648933172049715</v>
      </c>
      <c r="AO12" s="10">
        <v>2.5260290117014672</v>
      </c>
      <c r="AP12" s="10">
        <v>0.37305184609494629</v>
      </c>
      <c r="AQ12" s="10">
        <v>2.5877554183167217</v>
      </c>
      <c r="AR12" s="10">
        <v>5.8973675836174726</v>
      </c>
      <c r="AS12" s="10">
        <v>2.4858856837545629</v>
      </c>
      <c r="AT12" s="10">
        <v>0.8163533924450217</v>
      </c>
      <c r="AU12" s="10">
        <v>0.41479121372580591</v>
      </c>
      <c r="AV12" s="10">
        <f t="shared" si="2"/>
        <v>1152.1762620137524</v>
      </c>
      <c r="AW12" s="12">
        <v>6.01</v>
      </c>
      <c r="AX12" s="12">
        <f t="shared" si="3"/>
        <v>1645.0953606315743</v>
      </c>
      <c r="AY12" s="38">
        <f t="shared" si="4"/>
        <v>4.7249999999999996</v>
      </c>
      <c r="AZ12" s="37">
        <f t="shared" si="5"/>
        <v>0.51273009615711007</v>
      </c>
      <c r="BA12" s="37">
        <f t="shared" si="6"/>
        <v>2.7025126233431083</v>
      </c>
      <c r="BB12" s="37">
        <f t="shared" si="7"/>
        <v>1.5450046159515962</v>
      </c>
      <c r="BC12" s="37">
        <f t="shared" si="8"/>
        <v>19.740957595578859</v>
      </c>
      <c r="BD12" s="37">
        <f t="shared" si="9"/>
        <v>15.805666159009439</v>
      </c>
      <c r="BE12" s="37">
        <f t="shared" si="10"/>
        <v>144.66457981744961</v>
      </c>
      <c r="BF12" s="37">
        <f t="shared" si="11"/>
        <v>80.700053121319996</v>
      </c>
      <c r="BG12" s="37">
        <f t="shared" si="12"/>
        <v>123.50965046152885</v>
      </c>
      <c r="BH12" s="37">
        <f t="shared" si="13"/>
        <v>127.29786634409943</v>
      </c>
      <c r="BI12" s="37">
        <f t="shared" si="14"/>
        <v>598.66887577324769</v>
      </c>
      <c r="BJ12" s="37">
        <f t="shared" si="15"/>
        <v>112.81087825911175</v>
      </c>
      <c r="BK12" s="37">
        <f t="shared" si="16"/>
        <v>7367.3396759477064</v>
      </c>
      <c r="BL12" s="37">
        <f t="shared" si="17"/>
        <v>9.8942031164336619</v>
      </c>
      <c r="BM12" s="37">
        <f t="shared" si="18"/>
        <v>32.312235549240285</v>
      </c>
      <c r="BN12" s="37">
        <f t="shared" si="19"/>
        <v>4.3519155313488511</v>
      </c>
      <c r="BO12" s="10">
        <f t="shared" si="20"/>
        <v>7.2693198318149847E-3</v>
      </c>
      <c r="BP12" s="10">
        <f t="shared" si="21"/>
        <v>0.30620608411188349</v>
      </c>
      <c r="BQ12" s="41">
        <f t="shared" si="22"/>
        <v>5.3973468234014048E-2</v>
      </c>
      <c r="BR12" s="10">
        <f t="shared" si="23"/>
        <v>3.2974751810975991E-2</v>
      </c>
    </row>
    <row r="13" spans="1:70" x14ac:dyDescent="0.2">
      <c r="A13" s="23" t="s">
        <v>45</v>
      </c>
      <c r="B13" s="12" t="s">
        <v>216</v>
      </c>
      <c r="C13" s="10">
        <v>3.4756481567002506</v>
      </c>
      <c r="D13" s="10">
        <v>3.2599923359932741</v>
      </c>
      <c r="E13" s="10">
        <v>15.365430855510596</v>
      </c>
      <c r="F13" s="10">
        <v>60.229312174359933</v>
      </c>
      <c r="G13" s="10">
        <v>0.26371327972967484</v>
      </c>
      <c r="H13" s="10">
        <v>0.27862820266383931</v>
      </c>
      <c r="I13" s="10">
        <v>8.1434790375079587</v>
      </c>
      <c r="J13" s="10">
        <v>1.305942650927286</v>
      </c>
      <c r="K13" s="10">
        <v>0.1620378478520314</v>
      </c>
      <c r="L13" s="10">
        <v>6.5158154587551556</v>
      </c>
      <c r="M13" s="10">
        <f t="shared" si="24"/>
        <v>6.9779373895795291E-2</v>
      </c>
      <c r="N13" s="10">
        <v>99.000000000000014</v>
      </c>
      <c r="O13" s="10">
        <v>47.141591507436168</v>
      </c>
      <c r="P13" s="10">
        <v>1.1447748265259261</v>
      </c>
      <c r="Q13" s="10">
        <f t="shared" si="0"/>
        <v>23.172778937377956</v>
      </c>
      <c r="R13" s="10">
        <f t="shared" si="1"/>
        <v>7827.1529295606842</v>
      </c>
      <c r="S13" s="10">
        <v>262.27929368278552</v>
      </c>
      <c r="T13" s="10">
        <v>6.3387174565218354</v>
      </c>
      <c r="U13" s="10">
        <v>477.43564666992643</v>
      </c>
      <c r="V13" s="10">
        <v>79.463244814512976</v>
      </c>
      <c r="W13" s="10">
        <v>8.8000016341375211</v>
      </c>
      <c r="X13" s="10">
        <v>131.89682642876545</v>
      </c>
      <c r="Y13" s="10">
        <v>26.603014329407156</v>
      </c>
      <c r="Z13" s="10">
        <v>92.445011009115973</v>
      </c>
      <c r="AA13" s="10">
        <v>11.830478608231751</v>
      </c>
      <c r="AB13" s="10">
        <v>62.58</v>
      </c>
      <c r="AC13" s="10">
        <v>6.9604054107133111</v>
      </c>
      <c r="AD13" s="10">
        <v>17.7</v>
      </c>
      <c r="AE13" s="10">
        <v>2.57</v>
      </c>
      <c r="AF13" s="10">
        <v>10.960148642284979</v>
      </c>
      <c r="AG13" s="10">
        <v>3.4168385247596489</v>
      </c>
      <c r="AH13" s="10">
        <v>1.1767491784351458</v>
      </c>
      <c r="AI13" s="10">
        <v>3.5599317910908548</v>
      </c>
      <c r="AJ13" s="10">
        <v>0.83601534393721466</v>
      </c>
      <c r="AK13" s="10">
        <v>3.5464941156852796</v>
      </c>
      <c r="AL13" s="10">
        <v>0.88410131615968235</v>
      </c>
      <c r="AM13" s="10">
        <v>3.7918914626757112</v>
      </c>
      <c r="AN13" s="10">
        <v>0.15131581808516734</v>
      </c>
      <c r="AO13" s="10">
        <v>2.9731213992751253</v>
      </c>
      <c r="AP13" s="10">
        <v>0.46991990230688724</v>
      </c>
      <c r="AQ13" s="10">
        <v>3.9893795758781923</v>
      </c>
      <c r="AR13" s="10">
        <v>6.4264685055429451</v>
      </c>
      <c r="AS13" s="10">
        <v>3.9951623705318227</v>
      </c>
      <c r="AT13" s="10">
        <v>0.62281640034804497</v>
      </c>
      <c r="AU13" s="10">
        <v>0.29965747650356178</v>
      </c>
      <c r="AV13" s="10">
        <f t="shared" si="2"/>
        <v>1150.9204576973784</v>
      </c>
      <c r="AW13" s="12">
        <v>6.01</v>
      </c>
      <c r="AX13" s="12">
        <f t="shared" si="3"/>
        <v>1896.79492168673</v>
      </c>
      <c r="AY13" s="38">
        <f t="shared" si="4"/>
        <v>5.31</v>
      </c>
      <c r="AZ13" s="37">
        <f t="shared" si="5"/>
        <v>0.54800743211424896</v>
      </c>
      <c r="BA13" s="37">
        <f t="shared" si="6"/>
        <v>2.3234501968365615</v>
      </c>
      <c r="BB13" s="37">
        <f t="shared" si="7"/>
        <v>1.4709364730439323</v>
      </c>
      <c r="BC13" s="37">
        <f t="shared" si="8"/>
        <v>28.301457739172296</v>
      </c>
      <c r="BD13" s="37">
        <f t="shared" si="9"/>
        <v>17.138314550712902</v>
      </c>
      <c r="BE13" s="37">
        <f t="shared" si="10"/>
        <v>138.66791992329445</v>
      </c>
      <c r="BF13" s="37">
        <f t="shared" si="11"/>
        <v>73.734049767717508</v>
      </c>
      <c r="BG13" s="37">
        <f t="shared" si="12"/>
        <v>508.11345599854531</v>
      </c>
      <c r="BH13" s="37">
        <f t="shared" si="13"/>
        <v>30.263163617033467</v>
      </c>
      <c r="BI13" s="37">
        <f t="shared" si="14"/>
        <v>704.62977162820471</v>
      </c>
      <c r="BJ13" s="37">
        <f t="shared" si="15"/>
        <v>142.10377845760269</v>
      </c>
      <c r="BK13" s="37">
        <f t="shared" si="16"/>
        <v>11357.763652525213</v>
      </c>
      <c r="BL13" s="37">
        <f t="shared" si="17"/>
        <v>7.5485347722183045</v>
      </c>
      <c r="BM13" s="37">
        <f t="shared" si="18"/>
        <v>23.343317419627464</v>
      </c>
      <c r="BN13" s="37">
        <f t="shared" si="19"/>
        <v>5.3237153737042879</v>
      </c>
      <c r="BO13" s="10">
        <f t="shared" si="20"/>
        <v>7.5553369841337426E-3</v>
      </c>
      <c r="BP13" s="10">
        <f t="shared" si="21"/>
        <v>0.323370266381734</v>
      </c>
      <c r="BQ13" s="41">
        <f t="shared" si="22"/>
        <v>3.3128485851069714E-2</v>
      </c>
      <c r="BR13" s="10">
        <f t="shared" si="23"/>
        <v>4.0165004203236328E-2</v>
      </c>
    </row>
    <row r="14" spans="1:70" s="46" customFormat="1" ht="13.5" x14ac:dyDescent="0.25">
      <c r="A14" s="43" t="s">
        <v>176</v>
      </c>
      <c r="B14" s="44"/>
      <c r="C14" s="45">
        <f>AVERAGEA(C6:C13)</f>
        <v>3.1743908388902069</v>
      </c>
      <c r="D14" s="45">
        <f t="shared" ref="D14:AV14" si="25">AVERAGEA(D6:D13)</f>
        <v>5.5298827401096649</v>
      </c>
      <c r="E14" s="45">
        <f t="shared" si="25"/>
        <v>12.949448674838321</v>
      </c>
      <c r="F14" s="45">
        <f t="shared" si="25"/>
        <v>61.264926168249332</v>
      </c>
      <c r="G14" s="45">
        <f t="shared" si="25"/>
        <v>0.31005796456347223</v>
      </c>
      <c r="H14" s="45">
        <f t="shared" si="25"/>
        <v>0.25642854921304548</v>
      </c>
      <c r="I14" s="45">
        <f t="shared" si="25"/>
        <v>7.2421159197660021</v>
      </c>
      <c r="J14" s="45">
        <f t="shared" si="25"/>
        <v>1.095122166029119</v>
      </c>
      <c r="K14" s="45">
        <f t="shared" si="25"/>
        <v>0.15700257830644712</v>
      </c>
      <c r="L14" s="45">
        <f t="shared" si="25"/>
        <v>7.0206244000343965</v>
      </c>
      <c r="M14" s="45">
        <f t="shared" si="25"/>
        <v>6.5891630459400038E-2</v>
      </c>
      <c r="N14" s="45">
        <f t="shared" si="25"/>
        <v>99</v>
      </c>
      <c r="O14" s="45">
        <f t="shared" si="25"/>
        <v>53.421166314870355</v>
      </c>
      <c r="P14" s="45">
        <f t="shared" ref="P14" si="26">AVERAGEA(P6:P13)</f>
        <v>1.0776675484046836</v>
      </c>
      <c r="Q14" s="45">
        <f t="shared" ref="Q14:R14" si="27">AVERAGEA(Q6:Q13)</f>
        <v>57.648037736986169</v>
      </c>
      <c r="R14" s="45">
        <f t="shared" si="27"/>
        <v>6563.602669669548</v>
      </c>
      <c r="S14" s="45">
        <f t="shared" si="25"/>
        <v>259.07979110947315</v>
      </c>
      <c r="T14" s="45">
        <f t="shared" si="25"/>
        <v>14.603514124483473</v>
      </c>
      <c r="U14" s="45">
        <f t="shared" si="25"/>
        <v>450.83541800616683</v>
      </c>
      <c r="V14" s="45">
        <f t="shared" si="25"/>
        <v>224.38180460520269</v>
      </c>
      <c r="W14" s="45">
        <f t="shared" si="25"/>
        <v>8.6761903174677215</v>
      </c>
      <c r="X14" s="45">
        <f t="shared" si="25"/>
        <v>126.91234633221458</v>
      </c>
      <c r="Y14" s="45">
        <f t="shared" si="25"/>
        <v>21.720617523531711</v>
      </c>
      <c r="Z14" s="45">
        <f t="shared" si="25"/>
        <v>82.108984993381355</v>
      </c>
      <c r="AA14" s="45">
        <f t="shared" si="25"/>
        <v>9.9046300172746555</v>
      </c>
      <c r="AB14" s="45">
        <f t="shared" si="25"/>
        <v>69.244020562739195</v>
      </c>
      <c r="AC14" s="45">
        <f t="shared" si="25"/>
        <v>6.2965742802013036</v>
      </c>
      <c r="AD14" s="45">
        <f t="shared" si="25"/>
        <v>15.167140483492327</v>
      </c>
      <c r="AE14" s="45">
        <f t="shared" si="25"/>
        <v>2.1156254589970649</v>
      </c>
      <c r="AF14" s="45">
        <f t="shared" si="25"/>
        <v>9.777296550350723</v>
      </c>
      <c r="AG14" s="45">
        <f t="shared" si="25"/>
        <v>3.5182532760512153</v>
      </c>
      <c r="AH14" s="45">
        <f t="shared" si="25"/>
        <v>0.76776783041388696</v>
      </c>
      <c r="AI14" s="45">
        <f t="shared" si="25"/>
        <v>3.1079434294845805</v>
      </c>
      <c r="AJ14" s="45">
        <f t="shared" si="25"/>
        <v>0.66079169720300945</v>
      </c>
      <c r="AK14" s="45">
        <f t="shared" si="25"/>
        <v>3.8768105878732619</v>
      </c>
      <c r="AL14" s="45">
        <f t="shared" si="25"/>
        <v>0.89089073269385921</v>
      </c>
      <c r="AM14" s="45">
        <f t="shared" si="25"/>
        <v>1.6446926604576657</v>
      </c>
      <c r="AN14" s="45">
        <f t="shared" si="25"/>
        <v>0.28821837514352949</v>
      </c>
      <c r="AO14" s="45">
        <f t="shared" si="25"/>
        <v>1.9348879232992164</v>
      </c>
      <c r="AP14" s="45">
        <f t="shared" si="25"/>
        <v>0.3285649115332957</v>
      </c>
      <c r="AQ14" s="45">
        <f t="shared" si="25"/>
        <v>2.0574873170063999</v>
      </c>
      <c r="AR14" s="45">
        <f t="shared" si="25"/>
        <v>5.0109038535926995</v>
      </c>
      <c r="AS14" s="45">
        <f t="shared" si="25"/>
        <v>3.6482329442922912</v>
      </c>
      <c r="AT14" s="45">
        <f t="shared" si="25"/>
        <v>0.5012492765479557</v>
      </c>
      <c r="AU14" s="45">
        <f t="shared" si="25"/>
        <v>0.33171317092983954</v>
      </c>
      <c r="AV14" s="45">
        <f t="shared" si="25"/>
        <v>1353.1819666188526</v>
      </c>
      <c r="AW14" s="45">
        <f t="shared" ref="AW14" si="28">AVERAGEA(AW6:AW13)</f>
        <v>6.0099999999999989</v>
      </c>
      <c r="AX14" s="45">
        <f t="shared" ref="AX14" si="29">AVERAGEA(AX6:AX13)</f>
        <v>1548.680029427811</v>
      </c>
      <c r="AY14" s="45">
        <f t="shared" ref="AY14" si="30">AVERAGEA(AY6:AY13)</f>
        <v>4.5501421450476975</v>
      </c>
      <c r="AZ14" s="45">
        <f t="shared" ref="AZ14" si="31">AVERAGEA(AZ6:AZ13)</f>
        <v>0.48886482751753624</v>
      </c>
      <c r="BA14" s="45">
        <f t="shared" ref="BA14" si="32">AVERAGEA(BA6:BA13)</f>
        <v>2.3924122277148268</v>
      </c>
      <c r="BB14" s="45">
        <f t="shared" ref="BB14" si="33">AVERAGEA(BB6:BB13)</f>
        <v>0.95970978801735873</v>
      </c>
      <c r="BC14" s="45">
        <f t="shared" ref="BC14" si="34">AVERAGEA(BC6:BC13)</f>
        <v>24.708150264402416</v>
      </c>
      <c r="BD14" s="45">
        <f t="shared" ref="BD14" si="35">AVERAGEA(BD6:BD13)</f>
        <v>13.546229792661693</v>
      </c>
      <c r="BE14" s="45">
        <f t="shared" ref="BE14" si="36">AVERAGEA(BE6:BE13)</f>
        <v>151.58329398584453</v>
      </c>
      <c r="BF14" s="45">
        <f t="shared" ref="BF14" si="37">AVERAGEA(BF6:BF13)</f>
        <v>74.300287106667852</v>
      </c>
      <c r="BG14" s="45">
        <f t="shared" ref="BG14" si="38">AVERAGEA(BG6:BG13)</f>
        <v>220.38881650132726</v>
      </c>
      <c r="BH14" s="45">
        <f t="shared" ref="BH14" si="39">AVERAGEA(BH6:BH13)</f>
        <v>57.643675028705886</v>
      </c>
      <c r="BI14" s="45">
        <f t="shared" ref="BI14" si="40">AVERAGEA(BI6:BI13)</f>
        <v>458.5684378219143</v>
      </c>
      <c r="BJ14" s="45">
        <f t="shared" ref="BJ14" si="41">AVERAGEA(BJ6:BJ13)</f>
        <v>99.358029247668611</v>
      </c>
      <c r="BK14" s="45">
        <f t="shared" ref="BK14" si="42">AVERAGEA(BK6:BK13)</f>
        <v>5857.6663915172212</v>
      </c>
      <c r="BL14" s="45">
        <f t="shared" ref="BL14" si="43">AVERAGEA(BL6:BL13)</f>
        <v>6.0751412317612221</v>
      </c>
      <c r="BM14" s="45">
        <f t="shared" ref="BM14" si="44">AVERAGEA(BM6:BM13)</f>
        <v>25.840456015434501</v>
      </c>
      <c r="BN14" s="45">
        <f t="shared" ref="BN14" si="45">AVERAGEA(BN6:BN13)</f>
        <v>4.4570835077735955</v>
      </c>
      <c r="BO14" s="45">
        <f>AVERAGEA(BO6:BO13)</f>
        <v>1.1961516208164328E-2</v>
      </c>
      <c r="BP14" s="10">
        <f t="shared" si="21"/>
        <v>0.23510193582236091</v>
      </c>
      <c r="BQ14" s="41">
        <f t="shared" si="22"/>
        <v>5.6350271593418468E-2</v>
      </c>
      <c r="BR14" s="45">
        <f t="shared" ref="BR14" si="46">AVERAGEA(BR6:BR13)</f>
        <v>6.2216333934080624E-2</v>
      </c>
    </row>
    <row r="15" spans="1:70" s="46" customFormat="1" ht="13.5" x14ac:dyDescent="0.25">
      <c r="A15" s="43" t="s">
        <v>177</v>
      </c>
      <c r="B15" s="44"/>
      <c r="C15" s="45">
        <f>STDEVA(C6:C13)</f>
        <v>0.57212117907856241</v>
      </c>
      <c r="D15" s="45">
        <f t="shared" ref="D15:AV15" si="47">STDEVA(D6:D13)</f>
        <v>3.3766851985469075</v>
      </c>
      <c r="E15" s="45">
        <f t="shared" si="47"/>
        <v>2.3651702757011246</v>
      </c>
      <c r="F15" s="45">
        <f t="shared" si="47"/>
        <v>3.0767093259654432</v>
      </c>
      <c r="G15" s="45">
        <f t="shared" si="47"/>
        <v>5.1447589800576968E-2</v>
      </c>
      <c r="H15" s="45">
        <f t="shared" si="47"/>
        <v>4.7415117057525144E-2</v>
      </c>
      <c r="I15" s="45">
        <f t="shared" si="47"/>
        <v>1.2767630940176105</v>
      </c>
      <c r="J15" s="45">
        <f t="shared" si="47"/>
        <v>0.16549471636371793</v>
      </c>
      <c r="K15" s="45">
        <f t="shared" si="47"/>
        <v>2.3529865975333204E-2</v>
      </c>
      <c r="L15" s="45">
        <f t="shared" si="47"/>
        <v>1.3907118908921663</v>
      </c>
      <c r="M15" s="45">
        <f t="shared" si="47"/>
        <v>3.1128780868209881E-2</v>
      </c>
      <c r="N15" s="45">
        <f t="shared" si="47"/>
        <v>2.5193152749463887E-14</v>
      </c>
      <c r="O15" s="45">
        <f t="shared" si="47"/>
        <v>13.542956032028036</v>
      </c>
      <c r="P15" s="45">
        <f t="shared" ref="P15" si="48">STDEVA(P6:P13)</f>
        <v>0.16288484939621584</v>
      </c>
      <c r="Q15" s="45">
        <f t="shared" ref="Q15:R15" si="49">STDEVA(Q6:Q13)</f>
        <v>37.045636275344755</v>
      </c>
      <c r="R15" s="45">
        <f t="shared" si="49"/>
        <v>991.89076418732384</v>
      </c>
      <c r="S15" s="45">
        <f t="shared" si="47"/>
        <v>27.378619671428204</v>
      </c>
      <c r="T15" s="45">
        <f t="shared" si="47"/>
        <v>12.745509176801439</v>
      </c>
      <c r="U15" s="45">
        <f t="shared" si="47"/>
        <v>212.98542526412308</v>
      </c>
      <c r="V15" s="45">
        <f t="shared" si="47"/>
        <v>146.75748780307669</v>
      </c>
      <c r="W15" s="45">
        <f t="shared" si="47"/>
        <v>1.4758937791302373</v>
      </c>
      <c r="X15" s="45">
        <f t="shared" si="47"/>
        <v>29.181252758634081</v>
      </c>
      <c r="Y15" s="45">
        <f t="shared" si="47"/>
        <v>3.7118121509086595</v>
      </c>
      <c r="Z15" s="45">
        <f t="shared" si="47"/>
        <v>14.040081818185248</v>
      </c>
      <c r="AA15" s="45">
        <f t="shared" si="47"/>
        <v>2.4532109029148432</v>
      </c>
      <c r="AB15" s="45">
        <f t="shared" si="47"/>
        <v>14.63718904044949</v>
      </c>
      <c r="AC15" s="45">
        <f t="shared" si="47"/>
        <v>1.5608440664977006</v>
      </c>
      <c r="AD15" s="45">
        <f t="shared" si="47"/>
        <v>3.1669570642881268</v>
      </c>
      <c r="AE15" s="45">
        <f t="shared" si="47"/>
        <v>0.617952624918928</v>
      </c>
      <c r="AF15" s="45">
        <f t="shared" si="47"/>
        <v>1.8063884402901613</v>
      </c>
      <c r="AG15" s="45">
        <f t="shared" si="47"/>
        <v>0.6765436803812539</v>
      </c>
      <c r="AH15" s="45">
        <f t="shared" si="47"/>
        <v>0.45758576659342731</v>
      </c>
      <c r="AI15" s="45">
        <f t="shared" si="47"/>
        <v>1.0508907835427108</v>
      </c>
      <c r="AJ15" s="45">
        <f t="shared" si="47"/>
        <v>0.12567368308563959</v>
      </c>
      <c r="AK15" s="45">
        <f t="shared" si="47"/>
        <v>0.92639548693802254</v>
      </c>
      <c r="AL15" s="45">
        <f t="shared" si="47"/>
        <v>0.31291662832107703</v>
      </c>
      <c r="AM15" s="45">
        <f t="shared" si="47"/>
        <v>1.0838094957852829</v>
      </c>
      <c r="AN15" s="45">
        <f t="shared" si="47"/>
        <v>0.21370290449366222</v>
      </c>
      <c r="AO15" s="45">
        <f t="shared" si="47"/>
        <v>0.80656269133960035</v>
      </c>
      <c r="AP15" s="45">
        <f t="shared" si="47"/>
        <v>0.10465390573465465</v>
      </c>
      <c r="AQ15" s="45">
        <f t="shared" si="47"/>
        <v>1.2237265318815138</v>
      </c>
      <c r="AR15" s="45">
        <f t="shared" si="47"/>
        <v>1.6685101810935028</v>
      </c>
      <c r="AS15" s="45">
        <f t="shared" si="47"/>
        <v>1.7258971481686474</v>
      </c>
      <c r="AT15" s="45">
        <f t="shared" si="47"/>
        <v>0.21750612731424715</v>
      </c>
      <c r="AU15" s="45">
        <f t="shared" si="47"/>
        <v>0.20075056499371041</v>
      </c>
      <c r="AV15" s="45">
        <f t="shared" si="47"/>
        <v>224.53205110263391</v>
      </c>
      <c r="AW15" s="45">
        <f t="shared" ref="AW15" si="50">STDEVA(AW6:AW13)</f>
        <v>9.495026699554799E-16</v>
      </c>
      <c r="AX15" s="45">
        <f t="shared" ref="AX15" si="51">STDEVA(AX6:AX13)</f>
        <v>264.65220635978829</v>
      </c>
      <c r="AY15" s="45">
        <f t="shared" ref="AY15" si="52">STDEVA(AY6:AY13)</f>
        <v>0.95008711928643974</v>
      </c>
      <c r="AZ15" s="45">
        <f t="shared" ref="AZ15" si="53">STDEVA(AZ6:AZ13)</f>
        <v>9.0319422014507891E-2</v>
      </c>
      <c r="BA15" s="45">
        <f t="shared" ref="BA15" si="54">STDEVA(BA6:BA13)</f>
        <v>0.46004970265925255</v>
      </c>
      <c r="BB15" s="45">
        <f t="shared" ref="BB15" si="55">STDEVA(BB6:BB13)</f>
        <v>0.57198220824178436</v>
      </c>
      <c r="BC15" s="45">
        <f t="shared" ref="BC15" si="56">STDEVA(BC6:BC13)</f>
        <v>8.3545817291645488</v>
      </c>
      <c r="BD15" s="45">
        <f t="shared" ref="BD15" si="57">STDEVA(BD6:BD13)</f>
        <v>2.5763105032556126</v>
      </c>
      <c r="BE15" s="45">
        <f t="shared" ref="BE15" si="58">STDEVA(BE6:BE13)</f>
        <v>36.222063539276704</v>
      </c>
      <c r="BF15" s="45">
        <f t="shared" ref="BF15" si="59">STDEVA(BF6:BF13)</f>
        <v>26.097246801977882</v>
      </c>
      <c r="BG15" s="45">
        <f t="shared" ref="BG15" si="60">STDEVA(BG6:BG13)</f>
        <v>145.23047243522785</v>
      </c>
      <c r="BH15" s="45">
        <f t="shared" ref="BH15" si="61">STDEVA(BH6:BH13)</f>
        <v>42.74058089873246</v>
      </c>
      <c r="BI15" s="45">
        <f t="shared" ref="BI15" si="62">STDEVA(BI6:BI13)</f>
        <v>191.15535784748525</v>
      </c>
      <c r="BJ15" s="45">
        <f t="shared" ref="BJ15" si="63">STDEVA(BJ6:BJ13)</f>
        <v>31.64734109415954</v>
      </c>
      <c r="BK15" s="45">
        <f t="shared" ref="BK15" si="64">STDEVA(BK6:BK13)</f>
        <v>3483.9494362666674</v>
      </c>
      <c r="BL15" s="45">
        <f t="shared" ref="BL15" si="65">STDEVA(BL6:BL13)</f>
        <v>2.6361742630486762</v>
      </c>
      <c r="BM15" s="45">
        <f t="shared" ref="BM15" si="66">STDEVA(BM6:BM13)</f>
        <v>15.638469013010029</v>
      </c>
      <c r="BN15" s="45">
        <f t="shared" ref="BN15" si="67">STDEVA(BN6:BN13)</f>
        <v>1.103944906311676</v>
      </c>
      <c r="BO15" s="45">
        <f>STDEVA(BO6:BO13)</f>
        <v>7.2721290590155863E-3</v>
      </c>
      <c r="BP15" s="10">
        <f t="shared" si="21"/>
        <v>0.16856984279315179</v>
      </c>
      <c r="BQ15" s="41">
        <f t="shared" si="22"/>
        <v>8.1810257316916532E-2</v>
      </c>
      <c r="BR15" s="45">
        <f t="shared" ref="BR15" si="68">STDEVA(BR6:BR13)</f>
        <v>2.7852298922002576E-2</v>
      </c>
    </row>
    <row r="16" spans="1:70" x14ac:dyDescent="0.2"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2"/>
      <c r="AY16" s="38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O16" s="10"/>
      <c r="BP16" s="10"/>
    </row>
    <row r="17" spans="1:70" ht="15.75" x14ac:dyDescent="0.2">
      <c r="A17" s="23" t="s">
        <v>102</v>
      </c>
      <c r="B17" s="12" t="s">
        <v>150</v>
      </c>
      <c r="C17" s="10">
        <v>3.05</v>
      </c>
      <c r="D17" s="10">
        <v>5.04</v>
      </c>
      <c r="E17" s="10">
        <v>13.4</v>
      </c>
      <c r="F17" s="10">
        <v>65.522072140199697</v>
      </c>
      <c r="G17" s="10">
        <v>0.39671138559082408</v>
      </c>
      <c r="H17" s="10">
        <v>0.3787951738123369</v>
      </c>
      <c r="I17" s="10">
        <v>7.19</v>
      </c>
      <c r="J17" s="10">
        <v>1.65</v>
      </c>
      <c r="K17" s="10">
        <v>0.10121976041279458</v>
      </c>
      <c r="L17" s="10">
        <v>3.18</v>
      </c>
      <c r="M17" s="10">
        <f t="shared" si="24"/>
        <v>3.2918019192723531E-2</v>
      </c>
      <c r="N17" s="10">
        <v>99.000000000000014</v>
      </c>
      <c r="O17" s="10">
        <v>73.859898527418494</v>
      </c>
      <c r="P17" s="10">
        <v>1.1200589973719497</v>
      </c>
      <c r="Q17" s="10">
        <f t="shared" ref="Q17:Q18" si="69">Z17/AQ17</f>
        <v>35.30533560162592</v>
      </c>
      <c r="R17" s="10">
        <f t="shared" ref="R17:R18" si="70">J17/(47.867+15.999*2)*47.867*10000</f>
        <v>9889.2568709697607</v>
      </c>
      <c r="S17" s="10">
        <v>221.73446617971524</v>
      </c>
      <c r="T17" s="10">
        <v>20.843729585228175</v>
      </c>
      <c r="U17" s="10">
        <v>225.22752645847436</v>
      </c>
      <c r="V17" s="10">
        <v>115.44025643750417</v>
      </c>
      <c r="W17" s="10">
        <v>12.428717644781909</v>
      </c>
      <c r="X17" s="10">
        <v>167.26826764996736</v>
      </c>
      <c r="Y17" s="10">
        <v>33.439418690337135</v>
      </c>
      <c r="Z17" s="10">
        <v>110.31761111227632</v>
      </c>
      <c r="AA17" s="10">
        <v>11.354672405570625</v>
      </c>
      <c r="AB17" s="10">
        <v>81.290000000000006</v>
      </c>
      <c r="AC17" s="10">
        <v>6.3123224082865637</v>
      </c>
      <c r="AD17" s="10">
        <v>10.74</v>
      </c>
      <c r="AE17" s="10">
        <v>1.77</v>
      </c>
      <c r="AF17" s="10">
        <v>11.843995297798655</v>
      </c>
      <c r="AG17" s="10">
        <v>3.8113454338752315</v>
      </c>
      <c r="AH17" s="10">
        <v>0.21332218155636082</v>
      </c>
      <c r="AI17" s="10">
        <v>2.13741532707528</v>
      </c>
      <c r="AJ17" s="10">
        <v>0.48877673249649106</v>
      </c>
      <c r="AK17" s="10">
        <v>3.3572182893876699</v>
      </c>
      <c r="AL17" s="10">
        <v>1.0113968112117331</v>
      </c>
      <c r="AM17" s="10">
        <v>1.7263873998252406</v>
      </c>
      <c r="AN17" s="10">
        <v>0.12470486503449407</v>
      </c>
      <c r="AO17" s="10">
        <v>1.7035013941412065</v>
      </c>
      <c r="AP17" s="10">
        <v>0.34715055464489702</v>
      </c>
      <c r="AQ17" s="10">
        <v>3.12467249588178</v>
      </c>
      <c r="AR17" s="10">
        <v>1.3168869058380483</v>
      </c>
      <c r="AS17" s="10">
        <v>0</v>
      </c>
      <c r="AT17" s="10">
        <v>0.42755356006335049</v>
      </c>
      <c r="AU17" s="10">
        <v>0.24395018176287353</v>
      </c>
      <c r="AV17" s="10">
        <f>(G17/(30.974*2+15.999*5)*2*30.974)*10000</f>
        <v>1731.3623718380172</v>
      </c>
      <c r="AW17" s="12">
        <v>6.01</v>
      </c>
      <c r="AX17" s="12">
        <f t="shared" ref="AX17:AX18" si="71">Y17*71.3</f>
        <v>2384.2305526210375</v>
      </c>
      <c r="AY17" s="38">
        <f>AD17*0.3</f>
        <v>3.222</v>
      </c>
      <c r="AZ17" s="37">
        <f>AF17*0.05</f>
        <v>0.59219976488993276</v>
      </c>
      <c r="BA17" s="37">
        <f t="shared" ref="BA17:BA18" si="72">AG17*0.68</f>
        <v>2.5917148950351576</v>
      </c>
      <c r="BB17" s="37">
        <f t="shared" ref="BB17:BB18" si="73">AH17*1.25</f>
        <v>0.266652726945451</v>
      </c>
      <c r="BC17" s="37">
        <f t="shared" ref="BC17:BC18" si="74">AI17*7.95</f>
        <v>16.992451850248475</v>
      </c>
      <c r="BD17" s="37">
        <f t="shared" ref="BD17:BD18" si="75">AJ17*20.5</f>
        <v>10.019923016178067</v>
      </c>
      <c r="BE17" s="37">
        <f t="shared" ref="BE17:BE18" si="76">AK17*39.1</f>
        <v>131.2672351150579</v>
      </c>
      <c r="BF17" s="37">
        <f t="shared" ref="BF17:BF18" si="77">AL17*83.4</f>
        <v>84.350494055058547</v>
      </c>
      <c r="BG17" s="37">
        <f t="shared" ref="BG17:BG18" si="78">AM17*134</f>
        <v>231.33591157658225</v>
      </c>
      <c r="BH17" s="37">
        <f t="shared" ref="BH17:BH18" si="79">AN17*200</f>
        <v>24.940973006898815</v>
      </c>
      <c r="BI17" s="37">
        <f t="shared" ref="BI17:BI18" si="80">AO17*237</f>
        <v>403.72983041146591</v>
      </c>
      <c r="BJ17" s="37">
        <f t="shared" ref="BJ17:BJ18" si="81">AP17*302.4</f>
        <v>104.97832772461685</v>
      </c>
      <c r="BK17" s="37">
        <f t="shared" ref="BK17:BK18" si="82">AQ17*2847</f>
        <v>8895.9425957754283</v>
      </c>
      <c r="BL17" s="37">
        <f t="shared" ref="BL17:BL18" si="83">AT17*12.12</f>
        <v>5.1819491479678073</v>
      </c>
      <c r="BM17" s="37">
        <f t="shared" ref="BM17:BM18" si="84">AU17*77.9</f>
        <v>19.003719159327851</v>
      </c>
      <c r="BN17" s="37">
        <f t="shared" ref="BN17:BN18" si="85">AA17*0.45</f>
        <v>5.1096025825067812</v>
      </c>
      <c r="BO17" s="10">
        <f t="shared" ref="BO17:BO18" si="86">BN17/BI17</f>
        <v>1.2655994671732012E-2</v>
      </c>
      <c r="BP17" s="10">
        <f>BL17/BM17</f>
        <v>0.27268078971922088</v>
      </c>
      <c r="BQ17" s="41">
        <f t="shared" ref="BQ17:BQ18" si="87">BM17/BI17</f>
        <v>4.7070386500695255E-2</v>
      </c>
      <c r="BR17" s="10">
        <f t="shared" ref="BR17:BR18" si="88">BC17/BI17</f>
        <v>4.2088670616512093E-2</v>
      </c>
    </row>
    <row r="18" spans="1:70" x14ac:dyDescent="0.2">
      <c r="A18" s="23" t="s">
        <v>102</v>
      </c>
      <c r="B18" s="12" t="s">
        <v>217</v>
      </c>
      <c r="C18" s="10">
        <v>3.3897794043556599</v>
      </c>
      <c r="D18" s="10">
        <v>4.5</v>
      </c>
      <c r="E18" s="10">
        <v>13.540830157959199</v>
      </c>
      <c r="F18" s="10">
        <v>65.180115563871794</v>
      </c>
      <c r="G18" s="10">
        <v>0.43039699798435688</v>
      </c>
      <c r="H18" s="10">
        <v>0.34342923769875111</v>
      </c>
      <c r="I18" s="10">
        <v>7.4738501643903099</v>
      </c>
      <c r="J18" s="10">
        <v>1.3111326867297215</v>
      </c>
      <c r="K18" s="10">
        <v>0.11108233334564679</v>
      </c>
      <c r="L18" s="10">
        <v>3.71938345366455</v>
      </c>
      <c r="M18" s="10">
        <f t="shared" si="24"/>
        <v>5.1011626054810424E-2</v>
      </c>
      <c r="N18" s="10">
        <v>99.000000000000014</v>
      </c>
      <c r="O18" s="10">
        <v>67.505019076525514</v>
      </c>
      <c r="P18" s="10">
        <v>1.0626620658830015</v>
      </c>
      <c r="Q18" s="10">
        <f t="shared" si="69"/>
        <v>37.62715633801259</v>
      </c>
      <c r="R18" s="10">
        <f t="shared" si="70"/>
        <v>7858.2593521181461</v>
      </c>
      <c r="S18" s="10">
        <v>173.7452368809665</v>
      </c>
      <c r="T18" s="10">
        <v>4.7856452383550048</v>
      </c>
      <c r="U18" s="10">
        <v>349.02532529932074</v>
      </c>
      <c r="V18" s="10">
        <v>247.40126131016453</v>
      </c>
      <c r="W18" s="10">
        <v>11.333137555574194</v>
      </c>
      <c r="X18" s="10">
        <v>125.76889168879352</v>
      </c>
      <c r="Y18" s="10">
        <v>25.542099098871706</v>
      </c>
      <c r="Z18" s="10">
        <v>89.658264544272868</v>
      </c>
      <c r="AA18" s="10">
        <v>5.7569820747496454</v>
      </c>
      <c r="AB18" s="10">
        <v>41.01</v>
      </c>
      <c r="AC18" s="10">
        <v>4.4583688584918617</v>
      </c>
      <c r="AD18" s="10">
        <v>9.07</v>
      </c>
      <c r="AE18" s="10">
        <v>0.52</v>
      </c>
      <c r="AF18" s="10">
        <v>10.252040899547374</v>
      </c>
      <c r="AG18" s="10">
        <v>0.74590364891794769</v>
      </c>
      <c r="AH18" s="10">
        <v>0.61477114137100808</v>
      </c>
      <c r="AI18" s="10">
        <v>2.1723114611236816</v>
      </c>
      <c r="AJ18" s="10">
        <v>0.54826509667767775</v>
      </c>
      <c r="AK18" s="10">
        <v>1.5442429714916253</v>
      </c>
      <c r="AL18" s="10">
        <v>0.50402442433425809</v>
      </c>
      <c r="AM18" s="10">
        <v>0.31932928728048365</v>
      </c>
      <c r="AN18" s="10">
        <v>5.3382333923068286E-2</v>
      </c>
      <c r="AO18" s="10">
        <v>1.4501004839518101</v>
      </c>
      <c r="AP18" s="10">
        <v>3.6399356269467477E-2</v>
      </c>
      <c r="AQ18" s="10">
        <v>2.3828073463445918</v>
      </c>
      <c r="AR18" s="10">
        <v>1.951767038493168</v>
      </c>
      <c r="AS18" s="10">
        <v>0</v>
      </c>
      <c r="AT18" s="10">
        <v>0.28352281675723495</v>
      </c>
      <c r="AU18" s="10">
        <v>0</v>
      </c>
      <c r="AV18" s="10">
        <f>(G18/(30.974*2+15.999*5)*2*30.974)*10000</f>
        <v>1878.3760545525272</v>
      </c>
      <c r="AW18" s="12">
        <v>6.01</v>
      </c>
      <c r="AX18" s="12">
        <f t="shared" si="71"/>
        <v>1821.1516657495526</v>
      </c>
      <c r="AY18" s="38">
        <f>AD18*0.3</f>
        <v>2.7210000000000001</v>
      </c>
      <c r="AZ18" s="37">
        <f>AF18*0.05</f>
        <v>0.51260204497736872</v>
      </c>
      <c r="BA18" s="37">
        <f t="shared" si="72"/>
        <v>0.50721448126420443</v>
      </c>
      <c r="BB18" s="37">
        <f t="shared" si="73"/>
        <v>0.76846392671376007</v>
      </c>
      <c r="BC18" s="37">
        <f t="shared" si="74"/>
        <v>17.269876115933268</v>
      </c>
      <c r="BD18" s="37">
        <f t="shared" si="75"/>
        <v>11.239434481892394</v>
      </c>
      <c r="BE18" s="37">
        <f t="shared" si="76"/>
        <v>60.379900185322548</v>
      </c>
      <c r="BF18" s="37">
        <f t="shared" si="77"/>
        <v>42.035636989477126</v>
      </c>
      <c r="BG18" s="37">
        <f t="shared" si="78"/>
        <v>42.790124495584813</v>
      </c>
      <c r="BH18" s="37">
        <f t="shared" si="79"/>
        <v>10.676466784613657</v>
      </c>
      <c r="BI18" s="37">
        <f t="shared" si="80"/>
        <v>343.67381469657897</v>
      </c>
      <c r="BJ18" s="37">
        <f t="shared" si="81"/>
        <v>11.007165335886965</v>
      </c>
      <c r="BK18" s="37">
        <f t="shared" si="82"/>
        <v>6783.8525150430532</v>
      </c>
      <c r="BL18" s="37">
        <f t="shared" si="83"/>
        <v>3.4362965390976874</v>
      </c>
      <c r="BM18" s="37">
        <f t="shared" si="84"/>
        <v>0</v>
      </c>
      <c r="BN18" s="37">
        <f t="shared" si="85"/>
        <v>2.5906419336373405</v>
      </c>
      <c r="BO18" s="10">
        <f t="shared" si="86"/>
        <v>7.5380835631150825E-3</v>
      </c>
      <c r="BP18" s="10"/>
      <c r="BQ18" s="41">
        <f t="shared" si="87"/>
        <v>0</v>
      </c>
      <c r="BR18" s="10">
        <f t="shared" si="88"/>
        <v>5.0250776688297916E-2</v>
      </c>
    </row>
    <row r="19" spans="1:70" ht="13.5" x14ac:dyDescent="0.25">
      <c r="A19" s="43" t="s">
        <v>178</v>
      </c>
      <c r="B19" s="12"/>
      <c r="C19" s="45">
        <f>AVERAGEA(C17:C18)</f>
        <v>3.2198897021778299</v>
      </c>
      <c r="D19" s="45">
        <f t="shared" ref="D19:AV19" si="89">AVERAGEA(D17:D18)</f>
        <v>4.7699999999999996</v>
      </c>
      <c r="E19" s="45">
        <f t="shared" si="89"/>
        <v>13.470415078979599</v>
      </c>
      <c r="F19" s="45">
        <f t="shared" si="89"/>
        <v>65.351093852035746</v>
      </c>
      <c r="G19" s="45">
        <f t="shared" si="89"/>
        <v>0.41355419178759045</v>
      </c>
      <c r="H19" s="45">
        <f t="shared" si="89"/>
        <v>0.36111220575554404</v>
      </c>
      <c r="I19" s="45">
        <f t="shared" si="89"/>
        <v>7.3319250821951556</v>
      </c>
      <c r="J19" s="45">
        <f t="shared" si="89"/>
        <v>1.4805663433648606</v>
      </c>
      <c r="K19" s="45">
        <f t="shared" si="89"/>
        <v>0.1061510468792207</v>
      </c>
      <c r="L19" s="45">
        <f t="shared" si="89"/>
        <v>3.4496917268322749</v>
      </c>
      <c r="M19" s="45">
        <f t="shared" si="89"/>
        <v>4.1964822623766981E-2</v>
      </c>
      <c r="N19" s="45">
        <f t="shared" si="89"/>
        <v>99.000000000000014</v>
      </c>
      <c r="O19" s="45">
        <f t="shared" si="89"/>
        <v>70.682458801972004</v>
      </c>
      <c r="P19" s="45">
        <f t="shared" ref="P19" si="90">AVERAGEA(P11:P18)</f>
        <v>1.0074322068446178</v>
      </c>
      <c r="Q19" s="45">
        <f t="shared" ref="Q19:R19" si="91">AVERAGEA(Q11:Q18)</f>
        <v>37.307448786104764</v>
      </c>
      <c r="R19" s="45">
        <f t="shared" si="91"/>
        <v>6650.187190470725</v>
      </c>
      <c r="S19" s="45">
        <f t="shared" si="89"/>
        <v>197.73985153034087</v>
      </c>
      <c r="T19" s="45">
        <f t="shared" si="89"/>
        <v>12.81468741179159</v>
      </c>
      <c r="U19" s="45">
        <f t="shared" si="89"/>
        <v>287.12642587889752</v>
      </c>
      <c r="V19" s="45">
        <f t="shared" si="89"/>
        <v>181.42075887383436</v>
      </c>
      <c r="W19" s="45">
        <f t="shared" si="89"/>
        <v>11.880927600178051</v>
      </c>
      <c r="X19" s="45">
        <f t="shared" si="89"/>
        <v>146.51857966938044</v>
      </c>
      <c r="Y19" s="45">
        <f t="shared" si="89"/>
        <v>29.490758894604419</v>
      </c>
      <c r="Z19" s="45">
        <f t="shared" si="89"/>
        <v>99.987937828274596</v>
      </c>
      <c r="AA19" s="45">
        <f t="shared" si="89"/>
        <v>8.5558272401601343</v>
      </c>
      <c r="AB19" s="45">
        <f t="shared" si="89"/>
        <v>61.150000000000006</v>
      </c>
      <c r="AC19" s="45">
        <f t="shared" si="89"/>
        <v>5.3853456333892122</v>
      </c>
      <c r="AD19" s="45">
        <f t="shared" si="89"/>
        <v>9.9050000000000011</v>
      </c>
      <c r="AE19" s="45">
        <f t="shared" si="89"/>
        <v>1.145</v>
      </c>
      <c r="AF19" s="45">
        <f t="shared" si="89"/>
        <v>11.048018098673015</v>
      </c>
      <c r="AG19" s="45">
        <f t="shared" si="89"/>
        <v>2.2786245413965895</v>
      </c>
      <c r="AH19" s="45">
        <f t="shared" si="89"/>
        <v>0.41404666146368446</v>
      </c>
      <c r="AI19" s="45">
        <f t="shared" si="89"/>
        <v>2.1548633940994808</v>
      </c>
      <c r="AJ19" s="45">
        <f t="shared" si="89"/>
        <v>0.51852091458708438</v>
      </c>
      <c r="AK19" s="45">
        <f t="shared" si="89"/>
        <v>2.4507306304396477</v>
      </c>
      <c r="AL19" s="45">
        <f t="shared" si="89"/>
        <v>0.75771061777299553</v>
      </c>
      <c r="AM19" s="45">
        <f t="shared" si="89"/>
        <v>1.0228583435528622</v>
      </c>
      <c r="AN19" s="45">
        <f t="shared" si="89"/>
        <v>8.9043599478781182E-2</v>
      </c>
      <c r="AO19" s="45">
        <f t="shared" si="89"/>
        <v>1.5768009390465083</v>
      </c>
      <c r="AP19" s="45">
        <f t="shared" si="89"/>
        <v>0.19177495545718226</v>
      </c>
      <c r="AQ19" s="45">
        <f t="shared" si="89"/>
        <v>2.7537399211131861</v>
      </c>
      <c r="AR19" s="45">
        <f t="shared" si="89"/>
        <v>1.6343269721656082</v>
      </c>
      <c r="AS19" s="45">
        <f t="shared" si="89"/>
        <v>0</v>
      </c>
      <c r="AT19" s="45">
        <f t="shared" si="89"/>
        <v>0.35553818841029272</v>
      </c>
      <c r="AU19" s="45">
        <f t="shared" si="89"/>
        <v>0.12197509088143677</v>
      </c>
      <c r="AV19" s="45">
        <f t="shared" si="89"/>
        <v>1804.8692131952721</v>
      </c>
      <c r="AW19" s="45">
        <f t="shared" ref="AW19" si="92">AVERAGEA(AW17:AW18)</f>
        <v>6.01</v>
      </c>
      <c r="AX19" s="45">
        <f t="shared" ref="AX19" si="93">AVERAGEA(AX17:AX18)</f>
        <v>2102.6911091852953</v>
      </c>
      <c r="AY19" s="45">
        <f t="shared" ref="AY19" si="94">AVERAGEA(AY17:AY18)</f>
        <v>2.9714999999999998</v>
      </c>
      <c r="AZ19" s="45">
        <f t="shared" ref="AZ19" si="95">AVERAGEA(AZ17:AZ18)</f>
        <v>0.55240090493365068</v>
      </c>
      <c r="BA19" s="45">
        <f t="shared" ref="BA19" si="96">AVERAGEA(BA17:BA18)</f>
        <v>1.549464688149681</v>
      </c>
      <c r="BB19" s="45">
        <f t="shared" ref="BB19" si="97">AVERAGEA(BB17:BB18)</f>
        <v>0.51755832682960556</v>
      </c>
      <c r="BC19" s="45">
        <f t="shared" ref="BC19" si="98">AVERAGEA(BC17:BC18)</f>
        <v>17.131163983090872</v>
      </c>
      <c r="BD19" s="45">
        <f t="shared" ref="BD19" si="99">AVERAGEA(BD17:BD18)</f>
        <v>10.62967874903523</v>
      </c>
      <c r="BE19" s="45">
        <f t="shared" ref="BE19" si="100">AVERAGEA(BE17:BE18)</f>
        <v>95.823567650190228</v>
      </c>
      <c r="BF19" s="45">
        <f t="shared" ref="BF19" si="101">AVERAGEA(BF17:BF18)</f>
        <v>63.193065522267837</v>
      </c>
      <c r="BG19" s="45">
        <f t="shared" ref="BG19" si="102">AVERAGEA(BG17:BG18)</f>
        <v>137.06301803608352</v>
      </c>
      <c r="BH19" s="45">
        <f t="shared" ref="BH19" si="103">AVERAGEA(BH17:BH18)</f>
        <v>17.808719895756237</v>
      </c>
      <c r="BI19" s="45">
        <f t="shared" ref="BI19" si="104">AVERAGEA(BI17:BI18)</f>
        <v>373.70182255402244</v>
      </c>
      <c r="BJ19" s="45">
        <f t="shared" ref="BJ19" si="105">AVERAGEA(BJ17:BJ18)</f>
        <v>57.992746530251907</v>
      </c>
      <c r="BK19" s="45">
        <f t="shared" ref="BK19" si="106">AVERAGEA(BK17:BK18)</f>
        <v>7839.8975554092412</v>
      </c>
      <c r="BL19" s="45">
        <f t="shared" ref="BL19" si="107">AVERAGEA(BL17:BL18)</f>
        <v>4.3091228435327471</v>
      </c>
      <c r="BM19" s="45">
        <f t="shared" ref="BM19" si="108">AVERAGEA(BM17:BM18)</f>
        <v>9.5018595796639254</v>
      </c>
      <c r="BN19" s="45">
        <f t="shared" ref="BN19" si="109">AVERAGEA(BN17:BN18)</f>
        <v>3.8501222580720609</v>
      </c>
      <c r="BO19" s="45">
        <f>AVERAGEA(BO17:BO18)</f>
        <v>1.0097039117423547E-2</v>
      </c>
      <c r="BP19" s="45">
        <f t="shared" ref="BP19" si="110">AVERAGEA(BP17:BP18)</f>
        <v>0.27268078971922088</v>
      </c>
      <c r="BQ19" s="45">
        <f t="shared" ref="BQ19:BR19" si="111">AVERAGEA(BQ17:BQ18)</f>
        <v>2.3535193250347627E-2</v>
      </c>
      <c r="BR19" s="45">
        <f t="shared" si="111"/>
        <v>4.6169723652405001E-2</v>
      </c>
    </row>
    <row r="20" spans="1:70" ht="13.5" x14ac:dyDescent="0.25">
      <c r="A20" s="43" t="s">
        <v>179</v>
      </c>
      <c r="B20" s="12"/>
      <c r="C20" s="45">
        <f>STDEVA(C17:C18)</f>
        <v>0.2402603209274132</v>
      </c>
      <c r="D20" s="45">
        <f t="shared" ref="D20:AV20" si="112">STDEVA(D17:D18)</f>
        <v>0.3818376618407357</v>
      </c>
      <c r="E20" s="45">
        <f t="shared" si="112"/>
        <v>9.958195968852214E-2</v>
      </c>
      <c r="F20" s="45">
        <f t="shared" si="112"/>
        <v>0.24179981399279504</v>
      </c>
      <c r="G20" s="45">
        <f t="shared" si="112"/>
        <v>2.3819324951888647E-2</v>
      </c>
      <c r="H20" s="45">
        <f t="shared" si="112"/>
        <v>2.5007493248926729E-2</v>
      </c>
      <c r="I20" s="45">
        <f t="shared" si="112"/>
        <v>0.20071237608130413</v>
      </c>
      <c r="J20" s="45">
        <f t="shared" si="112"/>
        <v>0.23961537513588094</v>
      </c>
      <c r="K20" s="45">
        <f t="shared" si="112"/>
        <v>6.9738922007666956E-3</v>
      </c>
      <c r="L20" s="45">
        <f t="shared" si="112"/>
        <v>0.38140169774602312</v>
      </c>
      <c r="M20" s="45">
        <f t="shared" si="112"/>
        <v>1.2794112108305064E-2</v>
      </c>
      <c r="N20" s="45">
        <f t="shared" si="112"/>
        <v>0</v>
      </c>
      <c r="O20" s="45">
        <f t="shared" si="112"/>
        <v>4.49357835334947</v>
      </c>
      <c r="P20" s="45">
        <f t="shared" ref="P20" si="113">STDEVA(P11:P18)</f>
        <v>0.3812262179028712</v>
      </c>
      <c r="Q20" s="45">
        <f t="shared" ref="Q20:R20" si="114">STDEVA(Q11:Q18)</f>
        <v>10.230096929249408</v>
      </c>
      <c r="R20" s="45">
        <f t="shared" si="114"/>
        <v>2756.9807651842943</v>
      </c>
      <c r="S20" s="45">
        <f t="shared" si="112"/>
        <v>33.933509461061483</v>
      </c>
      <c r="T20" s="45">
        <f t="shared" si="112"/>
        <v>11.354780334539571</v>
      </c>
      <c r="U20" s="45">
        <f t="shared" si="112"/>
        <v>87.53826305633072</v>
      </c>
      <c r="V20" s="45">
        <f t="shared" si="112"/>
        <v>93.310521397649154</v>
      </c>
      <c r="W20" s="45">
        <f t="shared" si="112"/>
        <v>0.77469211041173791</v>
      </c>
      <c r="X20" s="45">
        <f t="shared" si="112"/>
        <v>29.344490157155956</v>
      </c>
      <c r="Y20" s="45">
        <f t="shared" si="112"/>
        <v>5.5842482363226091</v>
      </c>
      <c r="Z20" s="45">
        <f t="shared" si="112"/>
        <v>14.608364053118361</v>
      </c>
      <c r="AA20" s="45">
        <f t="shared" si="112"/>
        <v>3.9581647919058867</v>
      </c>
      <c r="AB20" s="45">
        <f t="shared" si="112"/>
        <v>28.482261146194119</v>
      </c>
      <c r="AC20" s="45">
        <f t="shared" si="112"/>
        <v>1.3109431270647105</v>
      </c>
      <c r="AD20" s="45">
        <f t="shared" si="112"/>
        <v>1.1808683245815343</v>
      </c>
      <c r="AE20" s="45">
        <f t="shared" si="112"/>
        <v>0.88388347648318444</v>
      </c>
      <c r="AF20" s="45">
        <f t="shared" si="112"/>
        <v>1.1256817503432299</v>
      </c>
      <c r="AG20" s="45">
        <f t="shared" si="112"/>
        <v>2.1675946734758895</v>
      </c>
      <c r="AH20" s="45">
        <f t="shared" si="112"/>
        <v>0.28386728178522286</v>
      </c>
      <c r="AI20" s="45">
        <f t="shared" si="112"/>
        <v>2.467529302281949E-2</v>
      </c>
      <c r="AJ20" s="45">
        <f t="shared" si="112"/>
        <v>4.2064625714212031E-2</v>
      </c>
      <c r="AK20" s="45">
        <f t="shared" si="112"/>
        <v>1.2819671414081288</v>
      </c>
      <c r="AL20" s="45">
        <f t="shared" si="112"/>
        <v>0.35876645534786761</v>
      </c>
      <c r="AM20" s="45">
        <f t="shared" si="112"/>
        <v>0.99494033290394168</v>
      </c>
      <c r="AN20" s="45">
        <f t="shared" si="112"/>
        <v>5.0432645400277677E-2</v>
      </c>
      <c r="AO20" s="45">
        <f t="shared" si="112"/>
        <v>0.17918150195376548</v>
      </c>
      <c r="AP20" s="45">
        <f t="shared" si="112"/>
        <v>0.21973427963311229</v>
      </c>
      <c r="AQ20" s="45">
        <f t="shared" si="112"/>
        <v>0.52457787796371658</v>
      </c>
      <c r="AR20" s="45">
        <f t="shared" si="112"/>
        <v>0.44892804704104972</v>
      </c>
      <c r="AS20" s="45">
        <f t="shared" si="112"/>
        <v>0</v>
      </c>
      <c r="AT20" s="45">
        <f t="shared" si="112"/>
        <v>0.10184511529109326</v>
      </c>
      <c r="AU20" s="45">
        <f t="shared" si="112"/>
        <v>0.1724988277962187</v>
      </c>
      <c r="AV20" s="45">
        <f t="shared" si="112"/>
        <v>103.95437197463752</v>
      </c>
      <c r="AW20" s="45">
        <f t="shared" ref="AW20" si="115">STDEVA(AW17:AW18)</f>
        <v>0</v>
      </c>
      <c r="AX20" s="45">
        <f t="shared" ref="AX20" si="116">STDEVA(AX17:AX18)</f>
        <v>398.15689924979813</v>
      </c>
      <c r="AY20" s="45">
        <f t="shared" ref="AY20" si="117">STDEVA(AY17:AY18)</f>
        <v>0.35426049737446019</v>
      </c>
      <c r="AZ20" s="45">
        <f t="shared" ref="AZ20" si="118">STDEVA(AZ17:AZ18)</f>
        <v>5.6284087517161512E-2</v>
      </c>
      <c r="BA20" s="45">
        <f t="shared" ref="BA20" si="119">STDEVA(BA17:BA18)</f>
        <v>1.4739643779636051</v>
      </c>
      <c r="BB20" s="45">
        <f t="shared" ref="BB20" si="120">STDEVA(BB17:BB18)</f>
        <v>0.3548341022315285</v>
      </c>
      <c r="BC20" s="45">
        <f t="shared" ref="BC20" si="121">STDEVA(BC17:BC18)</f>
        <v>0.19616857953141567</v>
      </c>
      <c r="BD20" s="45">
        <f t="shared" ref="BD20" si="122">STDEVA(BD17:BD18)</f>
        <v>0.86232482714134606</v>
      </c>
      <c r="BE20" s="45">
        <f t="shared" ref="BE20" si="123">STDEVA(BE17:BE18)</f>
        <v>50.124915229057862</v>
      </c>
      <c r="BF20" s="45">
        <f t="shared" ref="BF20" si="124">STDEVA(BF17:BF18)</f>
        <v>29.921122376012104</v>
      </c>
      <c r="BG20" s="45">
        <f t="shared" ref="BG20" si="125">STDEVA(BG17:BG18)</f>
        <v>133.32200460912827</v>
      </c>
      <c r="BH20" s="45">
        <f t="shared" ref="BH20" si="126">STDEVA(BH17:BH18)</f>
        <v>10.08652908005554</v>
      </c>
      <c r="BI20" s="45">
        <f t="shared" ref="BI20" si="127">STDEVA(BI17:BI18)</f>
        <v>42.466015963042416</v>
      </c>
      <c r="BJ20" s="45">
        <f t="shared" ref="BJ20" si="128">STDEVA(BJ17:BJ18)</f>
        <v>66.447646161053143</v>
      </c>
      <c r="BK20" s="45">
        <f t="shared" ref="BK20" si="129">STDEVA(BK17:BK18)</f>
        <v>1493.4732185627006</v>
      </c>
      <c r="BL20" s="45">
        <f t="shared" ref="BL20" si="130">STDEVA(BL17:BL18)</f>
        <v>1.2343627973280538</v>
      </c>
      <c r="BM20" s="45">
        <f t="shared" ref="BM20" si="131">STDEVA(BM17:BM18)</f>
        <v>13.43765868532544</v>
      </c>
      <c r="BN20" s="45">
        <f t="shared" ref="BN20" si="132">STDEVA(BN17:BN18)</f>
        <v>1.7811741563576473</v>
      </c>
      <c r="BO20" s="45"/>
      <c r="BP20" s="45"/>
      <c r="BQ20" s="45"/>
      <c r="BR20" s="45">
        <f t="shared" ref="BR20" si="133">STDEVA(BR17:BR18)</f>
        <v>5.7714805521236487E-3</v>
      </c>
    </row>
    <row r="21" spans="1:70" x14ac:dyDescent="0.2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2"/>
      <c r="AY21" s="38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O21" s="10"/>
      <c r="BP21" s="10"/>
    </row>
    <row r="22" spans="1:70" s="31" customFormat="1" x14ac:dyDescent="0.2">
      <c r="A22" s="23" t="s">
        <v>147</v>
      </c>
      <c r="B22" s="29" t="s">
        <v>218</v>
      </c>
      <c r="C22" s="22">
        <v>1.9122302442275485</v>
      </c>
      <c r="D22" s="22">
        <v>6.7747705018349</v>
      </c>
      <c r="E22" s="22">
        <v>12.924226836537159</v>
      </c>
      <c r="F22" s="22">
        <v>69.161943158602199</v>
      </c>
      <c r="G22" s="22">
        <v>0.16582829428336116</v>
      </c>
      <c r="H22" s="22">
        <v>0.16571011903438823</v>
      </c>
      <c r="I22" s="22">
        <v>7.0131360689017823</v>
      </c>
      <c r="J22" s="22">
        <v>0.66530333101442851</v>
      </c>
      <c r="K22" s="22">
        <v>9.7822407490153584E-2</v>
      </c>
      <c r="L22" s="22">
        <v>5.0994577586660901</v>
      </c>
      <c r="M22" s="10">
        <f t="shared" si="24"/>
        <v>0</v>
      </c>
      <c r="N22" s="22">
        <v>99</v>
      </c>
      <c r="O22" s="30">
        <f>D22/(24.305+15.999)/(D22/(24.305+15.999)+L22/(55.845+15.999))*100</f>
        <v>70.31029046203129</v>
      </c>
      <c r="P22" s="10">
        <v>1.3323181125998591</v>
      </c>
      <c r="Q22" s="10">
        <f>Z22/AQ22</f>
        <v>43.094453869451833</v>
      </c>
      <c r="R22" s="10">
        <f>J22/(47.867+15.999*2)*47.867*10000</f>
        <v>3987.4882045536401</v>
      </c>
      <c r="S22" s="22">
        <v>20.303996449642664</v>
      </c>
      <c r="T22" s="22">
        <v>44.259835181605254</v>
      </c>
      <c r="U22" s="22"/>
      <c r="V22" s="22">
        <v>345.10831016568153</v>
      </c>
      <c r="W22" s="22">
        <v>4.4491476497986797</v>
      </c>
      <c r="X22" s="22">
        <v>81.047679354256033</v>
      </c>
      <c r="Y22" s="22">
        <v>15.221402311138158</v>
      </c>
      <c r="Z22" s="22">
        <v>55.578471523221893</v>
      </c>
      <c r="AA22" s="22">
        <v>5.2021206608080011</v>
      </c>
      <c r="AB22" s="22">
        <v>50.911207838874596</v>
      </c>
      <c r="AC22" s="22">
        <v>3.7982241957414851</v>
      </c>
      <c r="AD22" s="22">
        <v>10.386031486871468</v>
      </c>
      <c r="AE22" s="22">
        <v>1.7211815818641467</v>
      </c>
      <c r="AF22" s="22">
        <v>6.5240407178488189</v>
      </c>
      <c r="AG22" s="22">
        <v>1.5073181811119389</v>
      </c>
      <c r="AH22" s="22">
        <v>0.87691889580895499</v>
      </c>
      <c r="AI22" s="22">
        <v>2.7580386973032116</v>
      </c>
      <c r="AJ22" s="22">
        <v>0.55955000178750114</v>
      </c>
      <c r="AK22" s="22">
        <v>3.5378014740910708</v>
      </c>
      <c r="AL22" s="22">
        <v>0.59527243860047252</v>
      </c>
      <c r="AM22" s="22">
        <v>0.75995782030977954</v>
      </c>
      <c r="AN22" s="22">
        <v>0.11880030608902228</v>
      </c>
      <c r="AO22" s="22">
        <v>0.88288120742005749</v>
      </c>
      <c r="AP22" s="22">
        <v>3.4982674650687551E-2</v>
      </c>
      <c r="AQ22" s="22">
        <v>1.2896896591749025</v>
      </c>
      <c r="AR22" s="22">
        <v>1.9291310578626839</v>
      </c>
      <c r="AS22" s="10">
        <v>0</v>
      </c>
      <c r="AT22" s="22">
        <v>0.23294606792066658</v>
      </c>
      <c r="AU22" s="22">
        <v>0.12281921939947049</v>
      </c>
      <c r="AV22" s="10">
        <f>(G22/(30.974*2+15.999*5)*2*30.974)*10000</f>
        <v>723.72228107519618</v>
      </c>
      <c r="AW22" s="12">
        <v>6.01</v>
      </c>
      <c r="AX22" s="12">
        <f>Y22*71.3</f>
        <v>1085.2859847841507</v>
      </c>
      <c r="AY22" s="38">
        <f>AD22*0.3</f>
        <v>3.1158094460614403</v>
      </c>
      <c r="AZ22" s="37">
        <f>AF22*0.05</f>
        <v>0.32620203589244096</v>
      </c>
      <c r="BA22" s="37">
        <f>AG22*0.68</f>
        <v>1.0249763631561186</v>
      </c>
      <c r="BB22" s="37">
        <f>AH22*1.25</f>
        <v>1.0961486197611938</v>
      </c>
      <c r="BC22" s="37">
        <f>AI22*7.95</f>
        <v>21.926407643560534</v>
      </c>
      <c r="BD22" s="37">
        <f>AJ22*20.5</f>
        <v>11.470775036643774</v>
      </c>
      <c r="BE22" s="37">
        <f>AK22*39.1</f>
        <v>138.32803763696089</v>
      </c>
      <c r="BF22" s="37">
        <f>AL22*83.4</f>
        <v>49.645721379279415</v>
      </c>
      <c r="BG22" s="37">
        <f>AM22*134</f>
        <v>101.83434792151046</v>
      </c>
      <c r="BH22" s="37">
        <f>AN22*200</f>
        <v>23.760061217804456</v>
      </c>
      <c r="BI22" s="37">
        <f>AO22*237</f>
        <v>209.24284615855362</v>
      </c>
      <c r="BJ22" s="37">
        <f>AP22*302.4</f>
        <v>10.578760814367914</v>
      </c>
      <c r="BK22" s="37">
        <f>AQ22*2847</f>
        <v>3671.7464596709474</v>
      </c>
      <c r="BL22" s="37">
        <f>AT22*12.12</f>
        <v>2.8233063431984786</v>
      </c>
      <c r="BM22" s="37">
        <f>AU22*77.9</f>
        <v>9.5676171912187513</v>
      </c>
      <c r="BN22" s="37">
        <f>AA22*0.45</f>
        <v>2.3409542973636004</v>
      </c>
      <c r="BO22" s="10">
        <f>BN22/BI22</f>
        <v>1.118773874634521E-2</v>
      </c>
      <c r="BP22" s="10">
        <f>BL22/BM22</f>
        <v>0.29508981042737953</v>
      </c>
      <c r="BQ22" s="41">
        <f>BM22/BI22</f>
        <v>4.572494289228362E-2</v>
      </c>
      <c r="BR22" s="10">
        <f>BC22/BI22</f>
        <v>0.10478928214800622</v>
      </c>
    </row>
    <row r="23" spans="1:70" s="31" customFormat="1" x14ac:dyDescent="0.2">
      <c r="A23" s="23"/>
      <c r="B23" s="2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22"/>
      <c r="O23" s="30"/>
      <c r="P23" s="10"/>
      <c r="Q23" s="10"/>
      <c r="R23" s="10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10"/>
      <c r="AT23" s="22"/>
      <c r="AU23" s="22"/>
      <c r="AV23" s="10"/>
      <c r="AW23" s="10"/>
      <c r="AX23" s="12"/>
      <c r="AY23" s="38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O23" s="10"/>
      <c r="BP23" s="10"/>
      <c r="BQ23" s="88"/>
    </row>
    <row r="24" spans="1:70" s="31" customFormat="1" x14ac:dyDescent="0.2">
      <c r="A24" s="23" t="s">
        <v>148</v>
      </c>
      <c r="B24" s="29" t="s">
        <v>219</v>
      </c>
      <c r="C24" s="22">
        <v>1.8504659489145121</v>
      </c>
      <c r="D24" s="22">
        <v>10.264874857626353</v>
      </c>
      <c r="E24" s="22">
        <v>10.864414189207649</v>
      </c>
      <c r="F24" s="22">
        <v>64.247426356698483</v>
      </c>
      <c r="G24" s="22">
        <v>0.19157228308536725</v>
      </c>
      <c r="H24" s="22">
        <v>0.16119773258615702</v>
      </c>
      <c r="I24" s="22">
        <v>6.0586863995172564</v>
      </c>
      <c r="J24" s="22">
        <v>0.79646608387497841</v>
      </c>
      <c r="K24" s="22">
        <v>0.16582514625395278</v>
      </c>
      <c r="L24" s="22">
        <v>4.3828985462118863</v>
      </c>
      <c r="M24" s="10">
        <f t="shared" si="24"/>
        <v>4.6339952613472866E-2</v>
      </c>
      <c r="N24" s="22">
        <v>98.999999999999986</v>
      </c>
      <c r="O24" s="30">
        <f t="shared" ref="O24:O32" si="134">D24/(24.305+15.999)/(D24/(24.305+15.999)+L24/(55.845+15.999))*100</f>
        <v>80.675542913070345</v>
      </c>
      <c r="P24" s="10">
        <v>1.2450058441124237</v>
      </c>
      <c r="Q24" s="10">
        <f t="shared" ref="Q24:Q32" si="135">Z24/AQ24</f>
        <v>92.427771486060934</v>
      </c>
      <c r="R24" s="10">
        <f t="shared" ref="R24:R32" si="136">J24/(47.867+15.999*2)*47.867*10000</f>
        <v>4773.6107227000048</v>
      </c>
      <c r="S24" s="22">
        <v>332.10403166984344</v>
      </c>
      <c r="T24" s="22">
        <v>48.68470501249157</v>
      </c>
      <c r="U24" s="22">
        <v>317.06138945451778</v>
      </c>
      <c r="V24" s="22">
        <v>110.41220331862729</v>
      </c>
      <c r="W24" s="22">
        <v>5.0390736706308124</v>
      </c>
      <c r="X24" s="22">
        <v>96.914292194060877</v>
      </c>
      <c r="Y24" s="22">
        <v>18.210822444437223</v>
      </c>
      <c r="Z24" s="22">
        <v>63.252363239712331</v>
      </c>
      <c r="AA24" s="22">
        <v>8.2645691228391698</v>
      </c>
      <c r="AB24" s="22">
        <v>43.552972002498393</v>
      </c>
      <c r="AC24" s="22">
        <v>3.7941928842951524</v>
      </c>
      <c r="AD24" s="22">
        <v>10.833035980452772</v>
      </c>
      <c r="AE24" s="22">
        <v>1.1417268727480006</v>
      </c>
      <c r="AF24" s="22">
        <v>8.3003014751069202</v>
      </c>
      <c r="AG24" s="22">
        <v>2.5079512861794724</v>
      </c>
      <c r="AH24" s="22">
        <v>1.0037354254975837</v>
      </c>
      <c r="AI24" s="22">
        <v>1.121116488760971</v>
      </c>
      <c r="AJ24" s="22">
        <v>0.43309551993806633</v>
      </c>
      <c r="AK24" s="22">
        <v>2.7412610228433292</v>
      </c>
      <c r="AL24" s="22">
        <v>0.68533427755004428</v>
      </c>
      <c r="AM24" s="22">
        <v>2.2595324889626682</v>
      </c>
      <c r="AN24" s="22">
        <v>0.14287974825319219</v>
      </c>
      <c r="AO24" s="22">
        <v>1.0222477988071992</v>
      </c>
      <c r="AP24" s="22">
        <v>0.1071832676585992</v>
      </c>
      <c r="AQ24" s="22">
        <v>0.68434370127869459</v>
      </c>
      <c r="AR24" s="22">
        <v>3.8499310632441293</v>
      </c>
      <c r="AS24" s="10">
        <v>0</v>
      </c>
      <c r="AT24" s="22">
        <v>0.53123721678530067</v>
      </c>
      <c r="AU24" s="22">
        <v>0.45710344185543772</v>
      </c>
      <c r="AV24" s="10">
        <f t="shared" ref="AV24:AV32" si="137">(G24/(30.974*2+15.999*5)*2*30.974)*10000</f>
        <v>836.07643861073313</v>
      </c>
      <c r="AW24" s="12">
        <v>6.01</v>
      </c>
      <c r="AX24" s="12">
        <f t="shared" ref="AX24:AX32" si="138">Y24*71.3</f>
        <v>1298.431640288374</v>
      </c>
      <c r="AY24" s="38">
        <f t="shared" ref="AY24:AY32" si="139">AD24*0.3</f>
        <v>3.2499107941358316</v>
      </c>
      <c r="AZ24" s="37">
        <f t="shared" ref="AZ24:AZ32" si="140">AF24*0.05</f>
        <v>0.41501507375534602</v>
      </c>
      <c r="BA24" s="37">
        <f t="shared" ref="BA24:BA32" si="141">AG24*0.68</f>
        <v>1.7054068746020414</v>
      </c>
      <c r="BB24" s="37">
        <f t="shared" ref="BB24:BB32" si="142">AH24*1.25</f>
        <v>1.2546692818719796</v>
      </c>
      <c r="BC24" s="37">
        <f t="shared" ref="BC24:BC32" si="143">AI24*7.95</f>
        <v>8.9128760856497191</v>
      </c>
      <c r="BD24" s="37">
        <f t="shared" ref="BD24:BD32" si="144">AJ24*20.5</f>
        <v>8.8784581587303606</v>
      </c>
      <c r="BE24" s="37">
        <f t="shared" ref="BE24:BE32" si="145">AK24*39.1</f>
        <v>107.18330599317417</v>
      </c>
      <c r="BF24" s="37">
        <f t="shared" ref="BF24:BF32" si="146">AL24*83.4</f>
        <v>57.156878747673694</v>
      </c>
      <c r="BG24" s="37">
        <f t="shared" ref="BG24:BG32" si="147">AM24*134</f>
        <v>302.77735352099756</v>
      </c>
      <c r="BH24" s="37">
        <f t="shared" ref="BH24:BH32" si="148">AN24*200</f>
        <v>28.575949650638439</v>
      </c>
      <c r="BI24" s="37">
        <f t="shared" ref="BI24:BI32" si="149">AO24*237</f>
        <v>242.27272831730622</v>
      </c>
      <c r="BJ24" s="37">
        <f t="shared" ref="BJ24:BJ32" si="150">AP24*302.4</f>
        <v>32.412220139960397</v>
      </c>
      <c r="BK24" s="37">
        <f t="shared" ref="BK24:BK32" si="151">AQ24*2847</f>
        <v>1948.3265175404435</v>
      </c>
      <c r="BL24" s="37">
        <f t="shared" ref="BL24:BL32" si="152">AT24*12.12</f>
        <v>6.438595067437844</v>
      </c>
      <c r="BM24" s="37">
        <f t="shared" ref="BM24:BM32" si="153">AU24*77.9</f>
        <v>35.608358120538604</v>
      </c>
      <c r="BN24" s="37">
        <f t="shared" ref="BN24:BN32" si="154">AA24*0.45</f>
        <v>3.7190561052776263</v>
      </c>
      <c r="BO24" s="10">
        <f t="shared" ref="BO24:BO32" si="155">BN24/BI24</f>
        <v>1.535070055597324E-2</v>
      </c>
      <c r="BP24" s="10">
        <f t="shared" ref="BP24:BP32" si="156">BL24/BM24</f>
        <v>0.1808169600418649</v>
      </c>
      <c r="BQ24" s="41">
        <f t="shared" ref="BQ24:BQ32" si="157">BM24/BI24</f>
        <v>0.14697633682443242</v>
      </c>
      <c r="BR24" s="10">
        <f t="shared" ref="BR24:BR32" si="158">BC24/BI24</f>
        <v>3.6788606573895787E-2</v>
      </c>
    </row>
    <row r="25" spans="1:70" s="31" customFormat="1" x14ac:dyDescent="0.2">
      <c r="A25" s="23" t="s">
        <v>148</v>
      </c>
      <c r="B25" s="29" t="s">
        <v>220</v>
      </c>
      <c r="C25" s="22">
        <v>2.1643642450180565</v>
      </c>
      <c r="D25" s="22">
        <v>4.8706172964631591</v>
      </c>
      <c r="E25" s="22">
        <v>12.634394608903417</v>
      </c>
      <c r="F25" s="22">
        <v>68.257273985801802</v>
      </c>
      <c r="G25" s="22">
        <v>0.19909671536242129</v>
      </c>
      <c r="H25" s="22">
        <v>0.16906535813345283</v>
      </c>
      <c r="I25" s="22">
        <v>6.6322328281453666</v>
      </c>
      <c r="J25" s="22">
        <v>0.86172649969317938</v>
      </c>
      <c r="K25" s="22">
        <v>0.10583452024221517</v>
      </c>
      <c r="L25" s="22">
        <v>3.0852699690658567</v>
      </c>
      <c r="M25" s="10">
        <f t="shared" si="24"/>
        <v>4.2333121433043144E-2</v>
      </c>
      <c r="N25" s="22">
        <v>99.000000000000014</v>
      </c>
      <c r="O25" s="30">
        <f t="shared" si="134"/>
        <v>73.781212698414009</v>
      </c>
      <c r="P25" s="10">
        <v>1.2928272685279365</v>
      </c>
      <c r="Q25" s="10">
        <f t="shared" si="135"/>
        <v>75.696701273703155</v>
      </c>
      <c r="R25" s="10">
        <f t="shared" si="136"/>
        <v>5164.7483078712094</v>
      </c>
      <c r="S25" s="22">
        <v>363.19242562405373</v>
      </c>
      <c r="T25" s="22" t="s">
        <v>4</v>
      </c>
      <c r="U25" s="22">
        <v>289.64635362197419</v>
      </c>
      <c r="V25" s="22"/>
      <c r="W25" s="22">
        <v>5.582914290736781</v>
      </c>
      <c r="X25" s="22">
        <v>110.71916271517365</v>
      </c>
      <c r="Y25" s="22">
        <v>24.25981885259592</v>
      </c>
      <c r="Z25" s="22">
        <v>79.620285311402384</v>
      </c>
      <c r="AA25" s="22">
        <v>8.9096283943212455</v>
      </c>
      <c r="AB25" s="22">
        <v>65.288391675083616</v>
      </c>
      <c r="AC25" s="22">
        <v>4.8800825340388396</v>
      </c>
      <c r="AD25" s="22">
        <v>13.862949823276479</v>
      </c>
      <c r="AE25" s="22">
        <v>1.7134922980642922</v>
      </c>
      <c r="AF25" s="22">
        <v>9.1884126215560773</v>
      </c>
      <c r="AG25" s="22">
        <v>1.5044098276713893</v>
      </c>
      <c r="AH25" s="22">
        <v>1.0973652501866007</v>
      </c>
      <c r="AI25" s="22">
        <v>4.5338182317558209</v>
      </c>
      <c r="AJ25" s="22">
        <v>0.48499816017531477</v>
      </c>
      <c r="AK25" s="22">
        <v>2.2131144436097383</v>
      </c>
      <c r="AL25" s="22">
        <v>0.67242737731671798</v>
      </c>
      <c r="AM25" s="22">
        <v>3.1850776427091168</v>
      </c>
      <c r="AN25" s="22">
        <v>0.35598789148688892</v>
      </c>
      <c r="AO25" s="22">
        <v>1.8569272375644315</v>
      </c>
      <c r="AP25" s="22">
        <v>0.55765751598002222</v>
      </c>
      <c r="AQ25" s="22">
        <v>1.0518329593189588</v>
      </c>
      <c r="AR25" s="22">
        <v>4.6553321039808742</v>
      </c>
      <c r="AS25" s="10">
        <v>0</v>
      </c>
      <c r="AT25" s="22">
        <v>0.47329096782570945</v>
      </c>
      <c r="AU25" s="22">
        <v>0.46083976496005874</v>
      </c>
      <c r="AV25" s="10">
        <f t="shared" si="137"/>
        <v>868.91522112899361</v>
      </c>
      <c r="AW25" s="12">
        <v>6.01</v>
      </c>
      <c r="AX25" s="12">
        <f t="shared" si="138"/>
        <v>1729.7250841900891</v>
      </c>
      <c r="AY25" s="38">
        <f t="shared" si="139"/>
        <v>4.1588849469829432</v>
      </c>
      <c r="AZ25" s="37">
        <f t="shared" si="140"/>
        <v>0.4594206310778039</v>
      </c>
      <c r="BA25" s="37">
        <f t="shared" si="141"/>
        <v>1.0229986828165447</v>
      </c>
      <c r="BB25" s="37">
        <f t="shared" si="142"/>
        <v>1.3717065627332508</v>
      </c>
      <c r="BC25" s="37">
        <f t="shared" si="143"/>
        <v>36.043854942458779</v>
      </c>
      <c r="BD25" s="37">
        <f t="shared" si="144"/>
        <v>9.9424622835939527</v>
      </c>
      <c r="BE25" s="37">
        <f t="shared" si="145"/>
        <v>86.53277474514077</v>
      </c>
      <c r="BF25" s="37">
        <f t="shared" si="146"/>
        <v>56.080443268214282</v>
      </c>
      <c r="BG25" s="37">
        <f t="shared" si="147"/>
        <v>426.80040412302162</v>
      </c>
      <c r="BH25" s="37">
        <f t="shared" si="148"/>
        <v>71.197578297377788</v>
      </c>
      <c r="BI25" s="37">
        <f t="shared" si="149"/>
        <v>440.09175530277025</v>
      </c>
      <c r="BJ25" s="37">
        <f t="shared" si="150"/>
        <v>168.63563283235871</v>
      </c>
      <c r="BK25" s="37">
        <f t="shared" si="151"/>
        <v>2994.5684351810755</v>
      </c>
      <c r="BL25" s="37">
        <f t="shared" si="152"/>
        <v>5.7362865300475985</v>
      </c>
      <c r="BM25" s="37">
        <f t="shared" si="153"/>
        <v>35.899417690388582</v>
      </c>
      <c r="BN25" s="37">
        <f t="shared" si="154"/>
        <v>4.0093327774445608</v>
      </c>
      <c r="BO25" s="10">
        <f t="shared" si="155"/>
        <v>9.1102201509915982E-3</v>
      </c>
      <c r="BP25" s="10">
        <f t="shared" si="156"/>
        <v>0.15978773192143964</v>
      </c>
      <c r="BQ25" s="41">
        <f t="shared" si="157"/>
        <v>8.1572574941084344E-2</v>
      </c>
      <c r="BR25" s="10">
        <f t="shared" si="158"/>
        <v>8.1900772982356054E-2</v>
      </c>
    </row>
    <row r="26" spans="1:70" s="31" customFormat="1" x14ac:dyDescent="0.2">
      <c r="A26" s="23" t="s">
        <v>148</v>
      </c>
      <c r="B26" s="29" t="s">
        <v>221</v>
      </c>
      <c r="C26" s="22">
        <v>1.677623793000272</v>
      </c>
      <c r="D26" s="22">
        <v>9.1612628178204947</v>
      </c>
      <c r="E26" s="22">
        <v>11.204506630100454</v>
      </c>
      <c r="F26" s="22">
        <v>68.483362674623407</v>
      </c>
      <c r="G26" s="22">
        <v>0.15623457528499596</v>
      </c>
      <c r="H26" s="22">
        <v>0.10588050129676735</v>
      </c>
      <c r="I26" s="22">
        <v>4.5776749917781787</v>
      </c>
      <c r="J26" s="22">
        <v>0.56207535862136104</v>
      </c>
      <c r="K26" s="22">
        <v>8.626145578568245E-2</v>
      </c>
      <c r="L26" s="22">
        <v>2.9770558914536105</v>
      </c>
      <c r="M26" s="10">
        <f t="shared" si="24"/>
        <v>3.8242294561024223E-2</v>
      </c>
      <c r="N26" s="22">
        <v>99</v>
      </c>
      <c r="O26" s="30">
        <f t="shared" si="134"/>
        <v>84.580822860068793</v>
      </c>
      <c r="P26" s="10">
        <v>1.5924923636074535</v>
      </c>
      <c r="Q26" s="10">
        <f t="shared" si="135"/>
        <v>74.468020098110628</v>
      </c>
      <c r="R26" s="10">
        <f t="shared" si="136"/>
        <v>3368.7924862115683</v>
      </c>
      <c r="S26" s="22">
        <v>313.11935148943365</v>
      </c>
      <c r="T26" s="22">
        <v>23.724841315256057</v>
      </c>
      <c r="U26" s="22">
        <v>261.65661304370917</v>
      </c>
      <c r="V26" s="22">
        <v>552.43804134828906</v>
      </c>
      <c r="W26" s="22">
        <v>2.4708504920922052</v>
      </c>
      <c r="X26" s="22">
        <v>82.423032022376432</v>
      </c>
      <c r="Y26" s="22">
        <v>14.315431338385469</v>
      </c>
      <c r="Z26" s="22">
        <v>54.326244340615091</v>
      </c>
      <c r="AA26" s="22">
        <v>7.4520806522837262</v>
      </c>
      <c r="AB26" s="22">
        <v>42.306083737021567</v>
      </c>
      <c r="AC26" s="22">
        <v>4.4958659066810398</v>
      </c>
      <c r="AD26" s="22">
        <v>8.406650735305627</v>
      </c>
      <c r="AE26" s="22">
        <v>1.5218939017575108</v>
      </c>
      <c r="AF26" s="22">
        <v>6.6200183600101079</v>
      </c>
      <c r="AG26" s="22">
        <v>2.2953620264410719</v>
      </c>
      <c r="AH26" s="22">
        <v>0.46613806348122777</v>
      </c>
      <c r="AI26" s="22">
        <v>2.3752423485015699</v>
      </c>
      <c r="AJ26" s="22">
        <v>0.36835269545823712</v>
      </c>
      <c r="AK26" s="22">
        <v>2.5637800064385381</v>
      </c>
      <c r="AL26" s="22">
        <v>0.44353300525151096</v>
      </c>
      <c r="AM26" s="22">
        <v>1.0790027308591652</v>
      </c>
      <c r="AN26" s="22">
        <v>0.22933989871175875</v>
      </c>
      <c r="AO26" s="22">
        <v>0.89300007444723639</v>
      </c>
      <c r="AP26" s="22">
        <v>3.2189701635451394E-2</v>
      </c>
      <c r="AQ26" s="22">
        <v>0.72952448942567538</v>
      </c>
      <c r="AR26" s="22">
        <v>2.586635395499552</v>
      </c>
      <c r="AS26" s="10">
        <v>0</v>
      </c>
      <c r="AT26" s="22">
        <v>0.39067741515110765</v>
      </c>
      <c r="AU26" s="22">
        <v>0.27663876764731249</v>
      </c>
      <c r="AV26" s="10">
        <f t="shared" si="137"/>
        <v>681.85253726882831</v>
      </c>
      <c r="AW26" s="12">
        <v>6.01</v>
      </c>
      <c r="AX26" s="12">
        <f t="shared" si="138"/>
        <v>1020.6902544268839</v>
      </c>
      <c r="AY26" s="38">
        <f t="shared" si="139"/>
        <v>2.521995220591688</v>
      </c>
      <c r="AZ26" s="37">
        <f t="shared" si="140"/>
        <v>0.33100091800050541</v>
      </c>
      <c r="BA26" s="37">
        <f t="shared" si="141"/>
        <v>1.560846177979929</v>
      </c>
      <c r="BB26" s="37">
        <f t="shared" si="142"/>
        <v>0.58267257935153471</v>
      </c>
      <c r="BC26" s="37">
        <f t="shared" si="143"/>
        <v>18.883176670587481</v>
      </c>
      <c r="BD26" s="37">
        <f t="shared" si="144"/>
        <v>7.5512302568938612</v>
      </c>
      <c r="BE26" s="37">
        <f t="shared" si="145"/>
        <v>100.24379825174684</v>
      </c>
      <c r="BF26" s="37">
        <f t="shared" si="146"/>
        <v>36.990652637976019</v>
      </c>
      <c r="BG26" s="37">
        <f t="shared" si="147"/>
        <v>144.58636593512813</v>
      </c>
      <c r="BH26" s="37">
        <f t="shared" si="148"/>
        <v>45.86797974235175</v>
      </c>
      <c r="BI26" s="37">
        <f t="shared" si="149"/>
        <v>211.64101764399501</v>
      </c>
      <c r="BJ26" s="37">
        <f t="shared" si="150"/>
        <v>9.7341657745605001</v>
      </c>
      <c r="BK26" s="37">
        <f t="shared" si="151"/>
        <v>2076.956221394898</v>
      </c>
      <c r="BL26" s="37">
        <f t="shared" si="152"/>
        <v>4.7350102716314248</v>
      </c>
      <c r="BM26" s="37">
        <f t="shared" si="153"/>
        <v>21.550159999725643</v>
      </c>
      <c r="BN26" s="37">
        <f t="shared" si="154"/>
        <v>3.3534362935276767</v>
      </c>
      <c r="BO26" s="10">
        <f t="shared" si="155"/>
        <v>1.5844926143610542E-2</v>
      </c>
      <c r="BP26" s="10">
        <f t="shared" si="156"/>
        <v>0.21972042303591743</v>
      </c>
      <c r="BQ26" s="41">
        <f t="shared" si="157"/>
        <v>0.10182411821500281</v>
      </c>
      <c r="BR26" s="10">
        <f t="shared" si="158"/>
        <v>8.9222669975775659E-2</v>
      </c>
    </row>
    <row r="27" spans="1:70" s="31" customFormat="1" x14ac:dyDescent="0.2">
      <c r="A27" s="23" t="s">
        <v>148</v>
      </c>
      <c r="B27" s="29" t="s">
        <v>222</v>
      </c>
      <c r="C27" s="22">
        <v>2.1011534092869719</v>
      </c>
      <c r="D27" s="22">
        <v>1.254403361161105</v>
      </c>
      <c r="E27" s="22">
        <v>12.506170546412527</v>
      </c>
      <c r="F27" s="22">
        <v>71.477713482485555</v>
      </c>
      <c r="G27" s="22">
        <v>0.14801496730010627</v>
      </c>
      <c r="H27" s="22">
        <v>0.19004442304346431</v>
      </c>
      <c r="I27" s="22">
        <v>6.8343401561760881</v>
      </c>
      <c r="J27" s="22">
        <v>0.99312937493608444</v>
      </c>
      <c r="K27" s="22">
        <v>9.7613756219617293E-2</v>
      </c>
      <c r="L27" s="22">
        <v>3.3754149132556552</v>
      </c>
      <c r="M27" s="10">
        <f t="shared" si="24"/>
        <v>3.4106404174848191E-2</v>
      </c>
      <c r="N27" s="22">
        <v>99</v>
      </c>
      <c r="O27" s="30">
        <f t="shared" si="134"/>
        <v>39.8477759945687</v>
      </c>
      <c r="P27" s="10">
        <v>1.2664295310103846</v>
      </c>
      <c r="Q27" s="10">
        <f t="shared" si="135"/>
        <v>46.015973049289521</v>
      </c>
      <c r="R27" s="10">
        <f t="shared" si="136"/>
        <v>5952.3099968779261</v>
      </c>
      <c r="S27" s="22">
        <v>358.05100319922144</v>
      </c>
      <c r="T27" s="22" t="s">
        <v>4</v>
      </c>
      <c r="U27" s="22">
        <v>233.35854456248896</v>
      </c>
      <c r="V27" s="22"/>
      <c r="W27" s="22">
        <v>3.962304026867312</v>
      </c>
      <c r="X27" s="22">
        <v>98.406185400935826</v>
      </c>
      <c r="Y27" s="22">
        <v>22.574098052675019</v>
      </c>
      <c r="Z27" s="22">
        <v>77.467297049903664</v>
      </c>
      <c r="AA27" s="22">
        <v>8.7709111141294613</v>
      </c>
      <c r="AB27" s="22">
        <v>54.149749641459771</v>
      </c>
      <c r="AC27" s="22">
        <v>4.8170951411717287</v>
      </c>
      <c r="AD27" s="22">
        <v>13.555367636455067</v>
      </c>
      <c r="AE27" s="22">
        <v>2.012803323772292</v>
      </c>
      <c r="AF27" s="22">
        <v>9.6361150275667118</v>
      </c>
      <c r="AG27" s="22">
        <v>2.4675211314508116</v>
      </c>
      <c r="AH27" s="22">
        <v>0.57023239787732372</v>
      </c>
      <c r="AI27" s="22">
        <v>2.0977832117605124</v>
      </c>
      <c r="AJ27" s="22">
        <v>0.666016002670892</v>
      </c>
      <c r="AK27" s="22">
        <v>3.2322223358650692</v>
      </c>
      <c r="AL27" s="22">
        <v>0.92460081521312787</v>
      </c>
      <c r="AM27" s="22">
        <v>2.9298233280605666</v>
      </c>
      <c r="AN27" s="22">
        <v>0.30293730257964252</v>
      </c>
      <c r="AO27" s="22">
        <v>2.024061883833475</v>
      </c>
      <c r="AP27" s="22">
        <v>0.44075994197648211</v>
      </c>
      <c r="AQ27" s="22">
        <v>1.6834871005971208</v>
      </c>
      <c r="AR27" s="22">
        <v>4.9397703861034117</v>
      </c>
      <c r="AS27" s="10">
        <v>0</v>
      </c>
      <c r="AT27" s="22">
        <v>0.59341920070018495</v>
      </c>
      <c r="AU27" s="22">
        <v>0.30582546792828325</v>
      </c>
      <c r="AV27" s="10">
        <f t="shared" si="137"/>
        <v>645.97980839541106</v>
      </c>
      <c r="AW27" s="12">
        <v>6.01</v>
      </c>
      <c r="AX27" s="12">
        <f t="shared" si="138"/>
        <v>1609.5331911557289</v>
      </c>
      <c r="AY27" s="38">
        <f t="shared" si="139"/>
        <v>4.06661029093652</v>
      </c>
      <c r="AZ27" s="37">
        <f t="shared" si="140"/>
        <v>0.48180575137833559</v>
      </c>
      <c r="BA27" s="37">
        <f t="shared" si="141"/>
        <v>1.6779143693865521</v>
      </c>
      <c r="BB27" s="37">
        <f t="shared" si="142"/>
        <v>0.71279049734665467</v>
      </c>
      <c r="BC27" s="37">
        <f t="shared" si="143"/>
        <v>16.677376533496073</v>
      </c>
      <c r="BD27" s="37">
        <f t="shared" si="144"/>
        <v>13.653328054753286</v>
      </c>
      <c r="BE27" s="37">
        <f t="shared" si="145"/>
        <v>126.37989333232422</v>
      </c>
      <c r="BF27" s="37">
        <f t="shared" si="146"/>
        <v>77.111707988774867</v>
      </c>
      <c r="BG27" s="37">
        <f t="shared" si="147"/>
        <v>392.59632596011591</v>
      </c>
      <c r="BH27" s="37">
        <f t="shared" si="148"/>
        <v>60.587460515928505</v>
      </c>
      <c r="BI27" s="37">
        <f t="shared" si="149"/>
        <v>479.70266646853355</v>
      </c>
      <c r="BJ27" s="37">
        <f t="shared" si="150"/>
        <v>133.28580645368817</v>
      </c>
      <c r="BK27" s="37">
        <f t="shared" si="151"/>
        <v>4792.8877754000032</v>
      </c>
      <c r="BL27" s="37">
        <f t="shared" si="152"/>
        <v>7.1922407124862406</v>
      </c>
      <c r="BM27" s="37">
        <f t="shared" si="153"/>
        <v>23.823803951613268</v>
      </c>
      <c r="BN27" s="37">
        <f t="shared" si="154"/>
        <v>3.9469100013582579</v>
      </c>
      <c r="BO27" s="10">
        <f t="shared" si="155"/>
        <v>8.2278258539076905E-3</v>
      </c>
      <c r="BP27" s="10">
        <f t="shared" si="156"/>
        <v>0.30189304475027828</v>
      </c>
      <c r="BQ27" s="41">
        <f t="shared" si="157"/>
        <v>4.9663688815821928E-2</v>
      </c>
      <c r="BR27" s="10">
        <f t="shared" si="158"/>
        <v>3.4766070108117768E-2</v>
      </c>
    </row>
    <row r="28" spans="1:70" s="31" customFormat="1" x14ac:dyDescent="0.2">
      <c r="A28" s="23" t="s">
        <v>148</v>
      </c>
      <c r="B28" s="29" t="s">
        <v>223</v>
      </c>
      <c r="C28" s="22">
        <v>2.1168215221240314</v>
      </c>
      <c r="D28" s="22">
        <v>5.9455222594226358</v>
      </c>
      <c r="E28" s="22">
        <v>10.779685699582434</v>
      </c>
      <c r="F28" s="22">
        <v>69.192545681363086</v>
      </c>
      <c r="G28" s="22">
        <v>0.16161898044324563</v>
      </c>
      <c r="H28" s="22">
        <v>0.14623783814594785</v>
      </c>
      <c r="I28" s="22">
        <v>5.9940773722028844</v>
      </c>
      <c r="J28" s="22">
        <v>0.76373033150466285</v>
      </c>
      <c r="K28" s="22">
        <v>0.1297400059555108</v>
      </c>
      <c r="L28" s="22">
        <v>3.7540104433524277</v>
      </c>
      <c r="M28" s="10">
        <f t="shared" si="24"/>
        <v>3.8943291777898625E-2</v>
      </c>
      <c r="N28" s="22">
        <v>98.999999999999986</v>
      </c>
      <c r="O28" s="30">
        <f t="shared" si="134"/>
        <v>73.843688774803312</v>
      </c>
      <c r="P28" s="10">
        <v>1.1859318855333552</v>
      </c>
      <c r="Q28" s="10">
        <f t="shared" si="135"/>
        <v>120.34587882113175</v>
      </c>
      <c r="R28" s="10">
        <f t="shared" si="136"/>
        <v>4577.4093505457586</v>
      </c>
      <c r="S28" s="22">
        <v>319.15418508674497</v>
      </c>
      <c r="T28" s="22">
        <v>39.682172890572915</v>
      </c>
      <c r="U28" s="22">
        <v>266.45288794368236</v>
      </c>
      <c r="V28" s="22">
        <v>220.98936890826516</v>
      </c>
      <c r="W28" s="22">
        <v>4.9469858822202122</v>
      </c>
      <c r="X28" s="22">
        <v>104.32939432884933</v>
      </c>
      <c r="Y28" s="22">
        <v>20.79331358134058</v>
      </c>
      <c r="Z28" s="22">
        <v>70.185271060631607</v>
      </c>
      <c r="AA28" s="22">
        <v>8.5369116967966363</v>
      </c>
      <c r="AB28" s="22">
        <v>52.301219914205895</v>
      </c>
      <c r="AC28" s="22">
        <v>5.1220904663277222</v>
      </c>
      <c r="AD28" s="22">
        <v>13.394537696025688</v>
      </c>
      <c r="AE28" s="22">
        <v>1.4884838404009992</v>
      </c>
      <c r="AF28" s="22">
        <v>9.4494325167250466</v>
      </c>
      <c r="AG28" s="22">
        <v>1.472088262712137</v>
      </c>
      <c r="AH28" s="22">
        <v>0.65426938477411822</v>
      </c>
      <c r="AI28" s="22">
        <v>2.1199098787983877</v>
      </c>
      <c r="AJ28" s="22">
        <v>0.66759205158324619</v>
      </c>
      <c r="AK28" s="22">
        <v>4.3348487135201115</v>
      </c>
      <c r="AL28" s="22">
        <v>0.74783277051804986</v>
      </c>
      <c r="AM28" s="22">
        <v>1.8403207217424353</v>
      </c>
      <c r="AN28" s="22">
        <v>0.34684893561154306</v>
      </c>
      <c r="AO28" s="22">
        <v>1.9910817190634242</v>
      </c>
      <c r="AP28" s="22">
        <v>0.15586658610524967</v>
      </c>
      <c r="AQ28" s="22">
        <v>0.58319629843699849</v>
      </c>
      <c r="AR28" s="22">
        <v>3.9374964384919671</v>
      </c>
      <c r="AS28" s="10">
        <v>0</v>
      </c>
      <c r="AT28" s="22">
        <v>0.57330888132887259</v>
      </c>
      <c r="AU28" s="22">
        <v>0.35830549633659847</v>
      </c>
      <c r="AV28" s="10">
        <f t="shared" si="137"/>
        <v>705.35162709666406</v>
      </c>
      <c r="AW28" s="12">
        <v>6.01</v>
      </c>
      <c r="AX28" s="12">
        <f t="shared" si="138"/>
        <v>1482.5632583495833</v>
      </c>
      <c r="AY28" s="38">
        <f t="shared" si="139"/>
        <v>4.0183613088077061</v>
      </c>
      <c r="AZ28" s="37">
        <f t="shared" si="140"/>
        <v>0.47247162583625235</v>
      </c>
      <c r="BA28" s="37">
        <f t="shared" si="141"/>
        <v>1.0010200186442533</v>
      </c>
      <c r="BB28" s="37">
        <f t="shared" si="142"/>
        <v>0.81783673096764775</v>
      </c>
      <c r="BC28" s="37">
        <f t="shared" si="143"/>
        <v>16.853283536447183</v>
      </c>
      <c r="BD28" s="37">
        <f t="shared" si="144"/>
        <v>13.685637057456548</v>
      </c>
      <c r="BE28" s="37">
        <f t="shared" si="145"/>
        <v>169.49258469863636</v>
      </c>
      <c r="BF28" s="37">
        <f t="shared" si="146"/>
        <v>62.369253061205363</v>
      </c>
      <c r="BG28" s="37">
        <f t="shared" si="147"/>
        <v>246.60297671348633</v>
      </c>
      <c r="BH28" s="37">
        <f t="shared" si="148"/>
        <v>69.369787122308608</v>
      </c>
      <c r="BI28" s="37">
        <f t="shared" si="149"/>
        <v>471.88636741803157</v>
      </c>
      <c r="BJ28" s="37">
        <f t="shared" si="150"/>
        <v>47.134055638227494</v>
      </c>
      <c r="BK28" s="37">
        <f t="shared" si="151"/>
        <v>1660.3598616501347</v>
      </c>
      <c r="BL28" s="37">
        <f t="shared" si="152"/>
        <v>6.9485036417059352</v>
      </c>
      <c r="BM28" s="37">
        <f t="shared" si="153"/>
        <v>27.911998164621021</v>
      </c>
      <c r="BN28" s="37">
        <f t="shared" si="154"/>
        <v>3.8416102635584863</v>
      </c>
      <c r="BO28" s="10">
        <f t="shared" si="155"/>
        <v>8.1409647084703888E-3</v>
      </c>
      <c r="BP28" s="10">
        <f t="shared" si="156"/>
        <v>0.24894325374789159</v>
      </c>
      <c r="BQ28" s="41">
        <f t="shared" si="157"/>
        <v>5.9149829475566358E-2</v>
      </c>
      <c r="BR28" s="10">
        <f t="shared" si="158"/>
        <v>3.5714707395895814E-2</v>
      </c>
    </row>
    <row r="29" spans="1:70" s="31" customFormat="1" x14ac:dyDescent="0.2">
      <c r="A29" s="23" t="s">
        <v>148</v>
      </c>
      <c r="B29" s="29" t="s">
        <v>224</v>
      </c>
      <c r="C29" s="22">
        <v>1.9438134668397939</v>
      </c>
      <c r="D29" s="22">
        <v>6.0918849348714126</v>
      </c>
      <c r="E29" s="22">
        <v>9.7479021754333495</v>
      </c>
      <c r="F29" s="22">
        <v>69.314912647430873</v>
      </c>
      <c r="G29" s="22">
        <v>0.17397641907845907</v>
      </c>
      <c r="H29" s="22">
        <v>0.14847594704017228</v>
      </c>
      <c r="I29" s="22">
        <v>5.0109391227941327</v>
      </c>
      <c r="J29" s="22">
        <v>0.6733066230428757</v>
      </c>
      <c r="K29" s="22">
        <v>0.14646452582111755</v>
      </c>
      <c r="L29" s="22">
        <v>5.7371753937624304</v>
      </c>
      <c r="M29" s="10">
        <f t="shared" si="24"/>
        <v>8.6541701073026611E-2</v>
      </c>
      <c r="N29" s="22">
        <v>99</v>
      </c>
      <c r="O29" s="30">
        <f t="shared" si="134"/>
        <v>65.430957158974095</v>
      </c>
      <c r="P29" s="10">
        <v>1.2317756233322015</v>
      </c>
      <c r="Q29" s="10">
        <f t="shared" si="135"/>
        <v>36.601024699150116</v>
      </c>
      <c r="R29" s="10">
        <f t="shared" si="136"/>
        <v>4035.4558473916395</v>
      </c>
      <c r="S29" s="22">
        <v>353.38920617195879</v>
      </c>
      <c r="T29" s="22">
        <v>31.593073330345423</v>
      </c>
      <c r="U29" s="22">
        <v>592.12473126253758</v>
      </c>
      <c r="V29" s="22">
        <v>280.97837793872412</v>
      </c>
      <c r="W29" s="22">
        <v>3.9946952988219775</v>
      </c>
      <c r="X29" s="22">
        <v>87.219376204790649</v>
      </c>
      <c r="Y29" s="22">
        <v>12.572721674080658</v>
      </c>
      <c r="Z29" s="22">
        <v>49.149240294244052</v>
      </c>
      <c r="AA29" s="22">
        <v>7.3469188742601297</v>
      </c>
      <c r="AB29" s="22">
        <v>51.254379491617883</v>
      </c>
      <c r="AC29" s="22">
        <v>4.4655249898676184</v>
      </c>
      <c r="AD29" s="22">
        <v>9.6712959443091648</v>
      </c>
      <c r="AE29" s="22">
        <v>1.1262946592160148</v>
      </c>
      <c r="AF29" s="22">
        <v>7.706569781130483</v>
      </c>
      <c r="AG29" s="22"/>
      <c r="AH29" s="22">
        <v>0.65991887251664805</v>
      </c>
      <c r="AI29" s="22">
        <v>4.1479069801951445</v>
      </c>
      <c r="AJ29" s="22">
        <v>0.49040081734218888</v>
      </c>
      <c r="AK29" s="22">
        <v>1.9667395610029408</v>
      </c>
      <c r="AL29" s="22">
        <v>0.77574973959995297</v>
      </c>
      <c r="AM29" s="22">
        <v>0.57410354625578386</v>
      </c>
      <c r="AN29" s="22">
        <v>0.174703772997232</v>
      </c>
      <c r="AO29" s="22">
        <v>3.0901531801418542</v>
      </c>
      <c r="AP29" s="22">
        <v>9.3697116874191466E-2</v>
      </c>
      <c r="AQ29" s="22">
        <v>1.3428378221166388</v>
      </c>
      <c r="AR29" s="22">
        <v>2.582488484372925</v>
      </c>
      <c r="AS29" s="10">
        <v>0</v>
      </c>
      <c r="AT29" s="22">
        <v>0.24755656086462102</v>
      </c>
      <c r="AU29" s="22">
        <v>0.29197589091607318</v>
      </c>
      <c r="AV29" s="10">
        <f t="shared" si="137"/>
        <v>759.28303678746965</v>
      </c>
      <c r="AW29" s="12">
        <v>6.01</v>
      </c>
      <c r="AX29" s="12">
        <f t="shared" si="138"/>
        <v>896.43505536195084</v>
      </c>
      <c r="AY29" s="38">
        <f t="shared" si="139"/>
        <v>2.9013887832927492</v>
      </c>
      <c r="AZ29" s="37">
        <f t="shared" si="140"/>
        <v>0.38532848905652417</v>
      </c>
      <c r="BA29" s="37">
        <f t="shared" si="141"/>
        <v>0</v>
      </c>
      <c r="BB29" s="37">
        <f t="shared" si="142"/>
        <v>0.82489859064581006</v>
      </c>
      <c r="BC29" s="37">
        <f t="shared" si="143"/>
        <v>32.975860492551398</v>
      </c>
      <c r="BD29" s="37">
        <f t="shared" si="144"/>
        <v>10.053216755514873</v>
      </c>
      <c r="BE29" s="37">
        <f t="shared" si="145"/>
        <v>76.899516835214982</v>
      </c>
      <c r="BF29" s="37">
        <f t="shared" si="146"/>
        <v>64.697528282636085</v>
      </c>
      <c r="BG29" s="37">
        <f t="shared" si="147"/>
        <v>76.929875198275042</v>
      </c>
      <c r="BH29" s="37">
        <f t="shared" si="148"/>
        <v>34.9407545994464</v>
      </c>
      <c r="BI29" s="37">
        <f t="shared" si="149"/>
        <v>732.36630369361944</v>
      </c>
      <c r="BJ29" s="37">
        <f t="shared" si="150"/>
        <v>28.334008142755497</v>
      </c>
      <c r="BK29" s="37">
        <f t="shared" si="151"/>
        <v>3823.0592795660709</v>
      </c>
      <c r="BL29" s="37">
        <f t="shared" si="152"/>
        <v>3.0003855176792067</v>
      </c>
      <c r="BM29" s="37">
        <f t="shared" si="153"/>
        <v>22.744921902362101</v>
      </c>
      <c r="BN29" s="37">
        <f t="shared" si="154"/>
        <v>3.3061134934170586</v>
      </c>
      <c r="BO29" s="89">
        <f t="shared" si="155"/>
        <v>4.5142894706419329E-3</v>
      </c>
      <c r="BP29" s="10">
        <f t="shared" si="156"/>
        <v>0.13191452274749782</v>
      </c>
      <c r="BQ29" s="41">
        <f t="shared" si="157"/>
        <v>3.1056756417724658E-2</v>
      </c>
      <c r="BR29" s="10">
        <f t="shared" si="158"/>
        <v>4.5026457834338909E-2</v>
      </c>
    </row>
    <row r="30" spans="1:70" s="31" customFormat="1" x14ac:dyDescent="0.2">
      <c r="A30" s="23" t="s">
        <v>148</v>
      </c>
      <c r="B30" s="29" t="s">
        <v>225</v>
      </c>
      <c r="C30" s="22">
        <v>2.5924254372841844</v>
      </c>
      <c r="D30" s="22">
        <v>0.87586542199739359</v>
      </c>
      <c r="E30" s="22">
        <v>13.615999988055453</v>
      </c>
      <c r="F30" s="22">
        <v>70.511211999481574</v>
      </c>
      <c r="G30" s="22">
        <v>0.22793326900824046</v>
      </c>
      <c r="H30" s="22">
        <v>0.20230303038434719</v>
      </c>
      <c r="I30" s="22">
        <v>7.3363819181455883</v>
      </c>
      <c r="J30" s="22">
        <v>1.0487739182965414</v>
      </c>
      <c r="K30" s="22">
        <v>0.10387491562882079</v>
      </c>
      <c r="L30" s="22">
        <v>2.4625170576811466</v>
      </c>
      <c r="M30" s="10">
        <f t="shared" si="24"/>
        <v>3.6618629165328452E-2</v>
      </c>
      <c r="N30" s="22">
        <v>99</v>
      </c>
      <c r="O30" s="30">
        <f t="shared" si="134"/>
        <v>38.801103613093865</v>
      </c>
      <c r="P30" s="10">
        <v>1.2208411301727551</v>
      </c>
      <c r="Q30" s="10">
        <f t="shared" si="135"/>
        <v>32.507560276045304</v>
      </c>
      <c r="R30" s="10">
        <f t="shared" si="136"/>
        <v>6285.8149561260316</v>
      </c>
      <c r="S30" s="22">
        <v>382.13299828817173</v>
      </c>
      <c r="T30" s="22">
        <v>52.92127998528877</v>
      </c>
      <c r="U30" s="22">
        <v>250.54737409686467</v>
      </c>
      <c r="V30" s="22">
        <v>78.219233369256685</v>
      </c>
      <c r="W30" s="22">
        <v>9.0848305280251225</v>
      </c>
      <c r="X30" s="22">
        <v>149.87934447446131</v>
      </c>
      <c r="Y30" s="22">
        <v>30.066724456961158</v>
      </c>
      <c r="Z30" s="22">
        <v>92.137068487762036</v>
      </c>
      <c r="AA30" s="22">
        <v>11.791400820508757</v>
      </c>
      <c r="AB30" s="22">
        <v>82.047823418450847</v>
      </c>
      <c r="AC30" s="22">
        <v>6.6031331448722517</v>
      </c>
      <c r="AD30" s="22">
        <v>17.370394830950485</v>
      </c>
      <c r="AE30" s="22">
        <v>2.324025121882928</v>
      </c>
      <c r="AF30" s="22">
        <v>9.7411149619789246</v>
      </c>
      <c r="AG30" s="22">
        <v>2.7332703195628887</v>
      </c>
      <c r="AH30" s="22">
        <v>0.47570205491242795</v>
      </c>
      <c r="AI30" s="22">
        <v>4.5615685578133753</v>
      </c>
      <c r="AJ30" s="22">
        <v>1.2176196034472997</v>
      </c>
      <c r="AK30" s="22">
        <v>4.9335111815083712</v>
      </c>
      <c r="AL30" s="22">
        <v>1.0984148594161292</v>
      </c>
      <c r="AM30" s="22">
        <v>3.2767015619558979</v>
      </c>
      <c r="AN30" s="22">
        <v>0.40423162702852328</v>
      </c>
      <c r="AO30" s="22">
        <v>3.6018823095488308</v>
      </c>
      <c r="AP30" s="22">
        <v>0.56250127638179059</v>
      </c>
      <c r="AQ30" s="22">
        <v>2.8343273904703787</v>
      </c>
      <c r="AR30" s="22">
        <v>4.4035403929398145</v>
      </c>
      <c r="AS30" s="10">
        <v>0</v>
      </c>
      <c r="AT30" s="22">
        <v>0.62577798795928818</v>
      </c>
      <c r="AU30" s="22">
        <v>0.22879364081827566</v>
      </c>
      <c r="AV30" s="10">
        <f t="shared" si="137"/>
        <v>994.76621943473629</v>
      </c>
      <c r="AW30" s="12">
        <v>6.01</v>
      </c>
      <c r="AX30" s="12">
        <f t="shared" si="138"/>
        <v>2143.7574537813302</v>
      </c>
      <c r="AY30" s="38">
        <f t="shared" si="139"/>
        <v>5.211118449285145</v>
      </c>
      <c r="AZ30" s="37">
        <f t="shared" si="140"/>
        <v>0.48705574809894625</v>
      </c>
      <c r="BA30" s="37">
        <f t="shared" si="141"/>
        <v>1.8586238173027645</v>
      </c>
      <c r="BB30" s="37">
        <f t="shared" si="142"/>
        <v>0.5946275686405349</v>
      </c>
      <c r="BC30" s="37">
        <f t="shared" si="143"/>
        <v>36.264470034616338</v>
      </c>
      <c r="BD30" s="37">
        <f t="shared" si="144"/>
        <v>24.961201870669644</v>
      </c>
      <c r="BE30" s="37">
        <f t="shared" si="145"/>
        <v>192.90028719697733</v>
      </c>
      <c r="BF30" s="37">
        <f t="shared" si="146"/>
        <v>91.607799275305183</v>
      </c>
      <c r="BG30" s="37">
        <f t="shared" si="147"/>
        <v>439.07800930209032</v>
      </c>
      <c r="BH30" s="37">
        <f t="shared" si="148"/>
        <v>80.846325405704661</v>
      </c>
      <c r="BI30" s="37">
        <f t="shared" si="149"/>
        <v>853.64610736307293</v>
      </c>
      <c r="BJ30" s="37">
        <f t="shared" si="150"/>
        <v>170.10038597785345</v>
      </c>
      <c r="BK30" s="37">
        <f t="shared" si="151"/>
        <v>8069.3300806691686</v>
      </c>
      <c r="BL30" s="37">
        <f t="shared" si="152"/>
        <v>7.5844292140665726</v>
      </c>
      <c r="BM30" s="37">
        <f t="shared" si="153"/>
        <v>17.823024619743677</v>
      </c>
      <c r="BN30" s="37">
        <f t="shared" si="154"/>
        <v>5.3061303692289412</v>
      </c>
      <c r="BO30" s="10">
        <f t="shared" si="155"/>
        <v>6.2158432205819654E-3</v>
      </c>
      <c r="BP30" s="10">
        <f t="shared" si="156"/>
        <v>0.42554108384414319</v>
      </c>
      <c r="BQ30" s="41">
        <f t="shared" si="157"/>
        <v>2.0878704261651584E-2</v>
      </c>
      <c r="BR30" s="10">
        <f t="shared" si="158"/>
        <v>4.248185485978246E-2</v>
      </c>
    </row>
    <row r="31" spans="1:70" s="31" customFormat="1" x14ac:dyDescent="0.2">
      <c r="A31" s="23" t="s">
        <v>148</v>
      </c>
      <c r="B31" s="29" t="s">
        <v>226</v>
      </c>
      <c r="C31" s="22">
        <v>1.7462239363183569</v>
      </c>
      <c r="D31" s="22">
        <v>8.1027459818659793</v>
      </c>
      <c r="E31" s="22">
        <v>10.648160482398069</v>
      </c>
      <c r="F31" s="22">
        <v>64.608420702555719</v>
      </c>
      <c r="G31" s="22">
        <v>0.15935668624235427</v>
      </c>
      <c r="H31" s="22">
        <v>0.14733072747267917</v>
      </c>
      <c r="I31" s="22">
        <v>6.0312925477755739</v>
      </c>
      <c r="J31" s="22">
        <v>0.82752877117301937</v>
      </c>
      <c r="K31" s="22">
        <v>0.133008311504795</v>
      </c>
      <c r="L31" s="22">
        <v>6.5190715076054904</v>
      </c>
      <c r="M31" s="10">
        <f t="shared" si="24"/>
        <v>7.6942320435686329E-2</v>
      </c>
      <c r="N31" s="22">
        <v>99</v>
      </c>
      <c r="O31" s="30">
        <f t="shared" si="134"/>
        <v>68.901480190695509</v>
      </c>
      <c r="P31" s="10">
        <v>1.2505177586516398</v>
      </c>
      <c r="Q31" s="10">
        <f t="shared" si="135"/>
        <v>32.811561113571614</v>
      </c>
      <c r="R31" s="10">
        <f t="shared" si="136"/>
        <v>4959.7845977260276</v>
      </c>
      <c r="S31" s="22">
        <v>321.80607934190874</v>
      </c>
      <c r="T31" s="22">
        <v>43.826936070257972</v>
      </c>
      <c r="U31" s="22">
        <v>526.44505765205986</v>
      </c>
      <c r="V31" s="22">
        <v>213.99358513557746</v>
      </c>
      <c r="W31" s="22">
        <v>5.0403244132791576</v>
      </c>
      <c r="X31" s="22">
        <v>100.45294415580013</v>
      </c>
      <c r="Y31" s="22">
        <v>18.648353536057087</v>
      </c>
      <c r="Z31" s="22">
        <v>65.997042217270575</v>
      </c>
      <c r="AA31" s="22">
        <v>8.2443567834069764</v>
      </c>
      <c r="AB31" s="22">
        <v>54.411144891589146</v>
      </c>
      <c r="AC31" s="22">
        <v>4.721987460842012</v>
      </c>
      <c r="AD31" s="22">
        <v>11.292463352524672</v>
      </c>
      <c r="AE31" s="22">
        <v>1.6293977161276627</v>
      </c>
      <c r="AF31" s="22">
        <v>8.496318210739167</v>
      </c>
      <c r="AG31" s="22">
        <v>2.5942574792262048</v>
      </c>
      <c r="AH31" s="22">
        <v>0.79883928235316659</v>
      </c>
      <c r="AI31" s="22">
        <v>3.1124835781599685</v>
      </c>
      <c r="AJ31" s="22">
        <v>0.50377209452842309</v>
      </c>
      <c r="AK31" s="22">
        <v>3.7087785795412436</v>
      </c>
      <c r="AL31" s="22">
        <v>0.71858242382528859</v>
      </c>
      <c r="AM31" s="22">
        <v>2.1769612080189233</v>
      </c>
      <c r="AN31" s="22">
        <v>0.24792151706272353</v>
      </c>
      <c r="AO31" s="22">
        <v>2.1994176197804594</v>
      </c>
      <c r="AP31" s="22">
        <v>0.27155483245868239</v>
      </c>
      <c r="AQ31" s="22">
        <v>2.0113959829230037</v>
      </c>
      <c r="AR31" s="22">
        <v>4.7301079099507533</v>
      </c>
      <c r="AS31" s="10">
        <v>0</v>
      </c>
      <c r="AT31" s="22">
        <v>0.47444793544731112</v>
      </c>
      <c r="AU31" s="22">
        <v>0.49734632638910409</v>
      </c>
      <c r="AV31" s="10">
        <f t="shared" si="137"/>
        <v>695.47832576043629</v>
      </c>
      <c r="AW31" s="12">
        <v>6.01</v>
      </c>
      <c r="AX31" s="12">
        <f t="shared" si="138"/>
        <v>1329.6276071208702</v>
      </c>
      <c r="AY31" s="38">
        <f t="shared" si="139"/>
        <v>3.3877390057574015</v>
      </c>
      <c r="AZ31" s="37">
        <f t="shared" si="140"/>
        <v>0.42481591053695839</v>
      </c>
      <c r="BA31" s="37">
        <f t="shared" si="141"/>
        <v>1.7640950858738194</v>
      </c>
      <c r="BB31" s="37">
        <f t="shared" si="142"/>
        <v>0.99854910294145827</v>
      </c>
      <c r="BC31" s="37">
        <f t="shared" si="143"/>
        <v>24.744244446371749</v>
      </c>
      <c r="BD31" s="37">
        <f t="shared" si="144"/>
        <v>10.327327937832674</v>
      </c>
      <c r="BE31" s="37">
        <f t="shared" si="145"/>
        <v>145.01324246006263</v>
      </c>
      <c r="BF31" s="37">
        <f t="shared" si="146"/>
        <v>59.929774147029072</v>
      </c>
      <c r="BG31" s="37">
        <f t="shared" si="147"/>
        <v>291.71280187453573</v>
      </c>
      <c r="BH31" s="37">
        <f t="shared" si="148"/>
        <v>49.584303412544706</v>
      </c>
      <c r="BI31" s="37">
        <f t="shared" si="149"/>
        <v>521.2619758879689</v>
      </c>
      <c r="BJ31" s="37">
        <f t="shared" si="150"/>
        <v>82.118181335505554</v>
      </c>
      <c r="BK31" s="37">
        <f t="shared" si="151"/>
        <v>5726.4443633817918</v>
      </c>
      <c r="BL31" s="37">
        <f t="shared" si="152"/>
        <v>5.75030897762141</v>
      </c>
      <c r="BM31" s="37">
        <f t="shared" si="153"/>
        <v>38.743278825711208</v>
      </c>
      <c r="BN31" s="37">
        <f t="shared" si="154"/>
        <v>3.7099605525331394</v>
      </c>
      <c r="BO31" s="10">
        <f t="shared" si="155"/>
        <v>7.1172667950951682E-3</v>
      </c>
      <c r="BP31" s="10">
        <f t="shared" si="156"/>
        <v>0.1484208139298043</v>
      </c>
      <c r="BQ31" s="41">
        <f t="shared" si="157"/>
        <v>7.4325925576505164E-2</v>
      </c>
      <c r="BR31" s="10">
        <f t="shared" si="158"/>
        <v>4.7469881923038734E-2</v>
      </c>
    </row>
    <row r="32" spans="1:70" s="31" customFormat="1" x14ac:dyDescent="0.2">
      <c r="A32" s="23" t="s">
        <v>148</v>
      </c>
      <c r="B32" s="29" t="s">
        <v>227</v>
      </c>
      <c r="C32" s="22">
        <v>2.251093853474206</v>
      </c>
      <c r="D32" s="22">
        <v>2.5734564012790999</v>
      </c>
      <c r="E32" s="22">
        <v>13.569755823719921</v>
      </c>
      <c r="F32" s="22">
        <v>66.881338434736705</v>
      </c>
      <c r="G32" s="22">
        <v>0.16410390529147148</v>
      </c>
      <c r="H32" s="22">
        <v>0.19243224869478462</v>
      </c>
      <c r="I32" s="22">
        <v>7.3876207598350447</v>
      </c>
      <c r="J32" s="22">
        <v>1.0105174092969256</v>
      </c>
      <c r="K32" s="22">
        <v>0.12674640349974883</v>
      </c>
      <c r="L32" s="22">
        <v>4.7861845129884966</v>
      </c>
      <c r="M32" s="10">
        <f t="shared" si="24"/>
        <v>5.6810774120362735E-2</v>
      </c>
      <c r="N32" s="22">
        <v>99</v>
      </c>
      <c r="O32" s="30">
        <f t="shared" si="134"/>
        <v>48.939227674569239</v>
      </c>
      <c r="P32" s="10">
        <v>1.2768699012222142</v>
      </c>
      <c r="Q32" s="10">
        <f t="shared" si="135"/>
        <v>38.483509502925635</v>
      </c>
      <c r="R32" s="10">
        <f t="shared" si="136"/>
        <v>6056.5249897722333</v>
      </c>
      <c r="S32" s="22">
        <v>369.17762516597151</v>
      </c>
      <c r="T32" s="22">
        <v>54.322855493256391</v>
      </c>
      <c r="U32" s="22">
        <v>388.7035260660154</v>
      </c>
      <c r="V32" s="22">
        <v>18.434860382939767</v>
      </c>
      <c r="W32" s="22">
        <v>5.9326493696866356</v>
      </c>
      <c r="X32" s="22">
        <v>122.65875869301712</v>
      </c>
      <c r="Y32" s="22">
        <v>24.483497694032469</v>
      </c>
      <c r="Z32" s="22">
        <v>82.24710637588494</v>
      </c>
      <c r="AA32" s="22">
        <v>10.691507557716696</v>
      </c>
      <c r="AB32" s="22">
        <v>63.062152432119163</v>
      </c>
      <c r="AC32" s="22">
        <v>5.9069668610972608</v>
      </c>
      <c r="AD32" s="22">
        <v>14.803957110125852</v>
      </c>
      <c r="AE32" s="22">
        <v>2.1356860876236303</v>
      </c>
      <c r="AF32" s="22">
        <v>10.188292222483389</v>
      </c>
      <c r="AG32" s="22">
        <v>3.1955505856419815</v>
      </c>
      <c r="AH32" s="22">
        <v>1.1201448750088989</v>
      </c>
      <c r="AI32" s="22">
        <v>3.7882038587966185</v>
      </c>
      <c r="AJ32" s="22">
        <v>0.61941370577374866</v>
      </c>
      <c r="AK32" s="22">
        <v>4.27231491328331</v>
      </c>
      <c r="AL32" s="22">
        <v>0.89916240797712232</v>
      </c>
      <c r="AM32" s="22">
        <v>2.3470994352060375</v>
      </c>
      <c r="AN32" s="22">
        <v>0.40647108786439523</v>
      </c>
      <c r="AO32" s="22">
        <v>2.4878360770156824</v>
      </c>
      <c r="AP32" s="22">
        <v>0.39562471002684235</v>
      </c>
      <c r="AQ32" s="22">
        <v>2.137203894297433</v>
      </c>
      <c r="AR32" s="22">
        <v>5.4128366753025254</v>
      </c>
      <c r="AS32" s="10">
        <v>0</v>
      </c>
      <c r="AT32" s="22">
        <v>0.54930602881321655</v>
      </c>
      <c r="AU32" s="22">
        <v>0.57289110366535378</v>
      </c>
      <c r="AV32" s="10">
        <f t="shared" si="137"/>
        <v>716.19655248910294</v>
      </c>
      <c r="AW32" s="12">
        <v>6.01</v>
      </c>
      <c r="AX32" s="12">
        <f t="shared" si="138"/>
        <v>1745.673385584515</v>
      </c>
      <c r="AY32" s="38">
        <f t="shared" si="139"/>
        <v>4.4411871330377553</v>
      </c>
      <c r="AZ32" s="37">
        <f t="shared" si="140"/>
        <v>0.50941461112416941</v>
      </c>
      <c r="BA32" s="37">
        <f t="shared" si="141"/>
        <v>2.1729743982365477</v>
      </c>
      <c r="BB32" s="37">
        <f t="shared" si="142"/>
        <v>1.4001810937611237</v>
      </c>
      <c r="BC32" s="37">
        <f t="shared" si="143"/>
        <v>30.116220677433116</v>
      </c>
      <c r="BD32" s="37">
        <f t="shared" si="144"/>
        <v>12.697980968361847</v>
      </c>
      <c r="BE32" s="37">
        <f t="shared" si="145"/>
        <v>167.04751310937743</v>
      </c>
      <c r="BF32" s="37">
        <f t="shared" si="146"/>
        <v>74.990144825292006</v>
      </c>
      <c r="BG32" s="37">
        <f t="shared" si="147"/>
        <v>314.51132431760902</v>
      </c>
      <c r="BH32" s="37">
        <f t="shared" si="148"/>
        <v>81.294217572879049</v>
      </c>
      <c r="BI32" s="37">
        <f t="shared" si="149"/>
        <v>589.61715025271678</v>
      </c>
      <c r="BJ32" s="37">
        <f t="shared" si="150"/>
        <v>119.63691231211712</v>
      </c>
      <c r="BK32" s="37">
        <f t="shared" si="151"/>
        <v>6084.6194870647914</v>
      </c>
      <c r="BL32" s="37">
        <f t="shared" si="152"/>
        <v>6.6575890692161845</v>
      </c>
      <c r="BM32" s="37">
        <f t="shared" si="153"/>
        <v>44.62821697553106</v>
      </c>
      <c r="BN32" s="37">
        <f t="shared" si="154"/>
        <v>4.8111784009725129</v>
      </c>
      <c r="BO32" s="10">
        <f t="shared" si="155"/>
        <v>8.1598345619871906E-3</v>
      </c>
      <c r="BP32" s="10">
        <f t="shared" si="156"/>
        <v>0.14917891684685575</v>
      </c>
      <c r="BQ32" s="41">
        <f t="shared" si="157"/>
        <v>7.5690160905941911E-2</v>
      </c>
      <c r="BR32" s="10">
        <f t="shared" si="158"/>
        <v>5.1077585963238949E-2</v>
      </c>
    </row>
    <row r="33" spans="1:70" s="31" customFormat="1" ht="13.5" x14ac:dyDescent="0.25">
      <c r="A33" s="43" t="s">
        <v>180</v>
      </c>
      <c r="B33" s="29"/>
      <c r="C33" s="45">
        <f>AVERAGEA(C24:C32)</f>
        <v>2.0493317346955982</v>
      </c>
      <c r="D33" s="45">
        <f t="shared" ref="D33:AV33" si="159">AVERAGEA(D24:D32)</f>
        <v>5.4600703702786264</v>
      </c>
      <c r="E33" s="45">
        <f t="shared" si="159"/>
        <v>11.730110015979252</v>
      </c>
      <c r="F33" s="45">
        <f t="shared" si="159"/>
        <v>68.108245107241899</v>
      </c>
      <c r="G33" s="45">
        <f t="shared" si="159"/>
        <v>0.17576753345518464</v>
      </c>
      <c r="H33" s="45">
        <f t="shared" si="159"/>
        <v>0.16255197853308587</v>
      </c>
      <c r="I33" s="45">
        <f t="shared" si="159"/>
        <v>6.2070273440411237</v>
      </c>
      <c r="J33" s="45">
        <f t="shared" si="159"/>
        <v>0.83747270782662531</v>
      </c>
      <c r="K33" s="45">
        <f t="shared" si="159"/>
        <v>0.12170767121238452</v>
      </c>
      <c r="L33" s="45">
        <f t="shared" si="159"/>
        <v>4.1199553594863341</v>
      </c>
      <c r="M33" s="45">
        <f t="shared" si="159"/>
        <v>5.0764276594965685E-2</v>
      </c>
      <c r="N33" s="45">
        <f t="shared" si="159"/>
        <v>99</v>
      </c>
      <c r="O33" s="45">
        <f t="shared" si="159"/>
        <v>63.866867986473089</v>
      </c>
      <c r="P33" s="45">
        <f t="shared" ref="P33" si="160">AVERAGEA(P25:P32)</f>
        <v>1.2897106827572427</v>
      </c>
      <c r="Q33" s="45">
        <f t="shared" ref="Q33:R33" si="161">AVERAGEA(Q25:Q32)</f>
        <v>57.116278604240961</v>
      </c>
      <c r="R33" s="45">
        <f t="shared" si="161"/>
        <v>5050.1050665652992</v>
      </c>
      <c r="S33" s="45">
        <f t="shared" si="159"/>
        <v>345.79187844858978</v>
      </c>
      <c r="T33" s="45">
        <f t="shared" si="159"/>
        <v>32.750651566385457</v>
      </c>
      <c r="U33" s="45">
        <f t="shared" si="159"/>
        <v>347.33294196709443</v>
      </c>
      <c r="V33" s="45">
        <f t="shared" si="159"/>
        <v>210.78081005738278</v>
      </c>
      <c r="W33" s="45">
        <f t="shared" si="159"/>
        <v>5.1171808858178025</v>
      </c>
      <c r="X33" s="45">
        <f t="shared" si="159"/>
        <v>105.88916557660725</v>
      </c>
      <c r="Y33" s="45">
        <f t="shared" si="159"/>
        <v>20.658309070062845</v>
      </c>
      <c r="Z33" s="45">
        <f t="shared" si="159"/>
        <v>70.48687981971409</v>
      </c>
      <c r="AA33" s="45">
        <f t="shared" si="159"/>
        <v>8.8898094462514212</v>
      </c>
      <c r="AB33" s="45">
        <f t="shared" si="159"/>
        <v>56.485990800449578</v>
      </c>
      <c r="AC33" s="45">
        <f t="shared" si="159"/>
        <v>4.978548821021513</v>
      </c>
      <c r="AD33" s="45">
        <f t="shared" si="159"/>
        <v>12.576739234380646</v>
      </c>
      <c r="AE33" s="45">
        <f t="shared" si="159"/>
        <v>1.6770893135103702</v>
      </c>
      <c r="AF33" s="45">
        <f t="shared" si="159"/>
        <v>8.8140639085885351</v>
      </c>
      <c r="AG33" s="45">
        <f t="shared" si="159"/>
        <v>2.3463013648607447</v>
      </c>
      <c r="AH33" s="45">
        <f t="shared" si="159"/>
        <v>0.76070506740088839</v>
      </c>
      <c r="AI33" s="45">
        <f t="shared" si="159"/>
        <v>3.0953370149491515</v>
      </c>
      <c r="AJ33" s="45">
        <f t="shared" si="159"/>
        <v>0.60569562787971298</v>
      </c>
      <c r="AK33" s="45">
        <f t="shared" si="159"/>
        <v>3.3296189730680723</v>
      </c>
      <c r="AL33" s="45">
        <f t="shared" si="159"/>
        <v>0.77395974185199379</v>
      </c>
      <c r="AM33" s="45">
        <f t="shared" si="159"/>
        <v>2.1854025181967329</v>
      </c>
      <c r="AN33" s="45">
        <f t="shared" si="159"/>
        <v>0.29014686462176659</v>
      </c>
      <c r="AO33" s="45">
        <f t="shared" si="159"/>
        <v>2.1296231000225103</v>
      </c>
      <c r="AP33" s="45">
        <f t="shared" si="159"/>
        <v>0.29078166101081243</v>
      </c>
      <c r="AQ33" s="45">
        <f t="shared" si="159"/>
        <v>1.4509055154294339</v>
      </c>
      <c r="AR33" s="45">
        <f t="shared" si="159"/>
        <v>4.1220154277651053</v>
      </c>
      <c r="AS33" s="45">
        <f t="shared" si="159"/>
        <v>0</v>
      </c>
      <c r="AT33" s="45">
        <f t="shared" si="159"/>
        <v>0.49544691054173462</v>
      </c>
      <c r="AU33" s="45">
        <f t="shared" si="159"/>
        <v>0.38330221116849977</v>
      </c>
      <c r="AV33" s="45">
        <f t="shared" si="159"/>
        <v>767.09997410804169</v>
      </c>
      <c r="AW33" s="45">
        <f t="shared" ref="AW33" si="162">AVERAGEA(AW24:AW32)</f>
        <v>6.0099999999999989</v>
      </c>
      <c r="AX33" s="45">
        <f t="shared" ref="AX33" si="163">AVERAGEA(AX24:AX32)</f>
        <v>1472.9374366954808</v>
      </c>
      <c r="AY33" s="45">
        <f t="shared" ref="AY33" si="164">AVERAGEA(AY24:AY32)</f>
        <v>3.7730217703141937</v>
      </c>
      <c r="AZ33" s="45">
        <f t="shared" ref="AZ33" si="165">AVERAGEA(AZ24:AZ32)</f>
        <v>0.44070319542942682</v>
      </c>
      <c r="BA33" s="45">
        <f t="shared" ref="BA33" si="166">AVERAGEA(BA24:BA32)</f>
        <v>1.4182088249824947</v>
      </c>
      <c r="BB33" s="45">
        <f t="shared" ref="BB33" si="167">AVERAGEA(BB24:BB32)</f>
        <v>0.95088133425111054</v>
      </c>
      <c r="BC33" s="45">
        <f t="shared" ref="BC33" si="168">AVERAGEA(BC24:BC32)</f>
        <v>24.607929268845758</v>
      </c>
      <c r="BD33" s="45">
        <f t="shared" ref="BD33" si="169">AVERAGEA(BD24:BD32)</f>
        <v>12.416760371534117</v>
      </c>
      <c r="BE33" s="45">
        <f t="shared" ref="BE33" si="170">AVERAGEA(BE24:BE32)</f>
        <v>130.18810184696164</v>
      </c>
      <c r="BF33" s="45">
        <f t="shared" ref="BF33" si="171">AVERAGEA(BF24:BF32)</f>
        <v>64.548242470456273</v>
      </c>
      <c r="BG33" s="45">
        <f t="shared" ref="BG33" si="172">AVERAGEA(BG24:BG32)</f>
        <v>292.84393743836216</v>
      </c>
      <c r="BH33" s="45">
        <f t="shared" ref="BH33" si="173">AVERAGEA(BH24:BH32)</f>
        <v>58.029372924353325</v>
      </c>
      <c r="BI33" s="45">
        <f t="shared" ref="BI33" si="174">AVERAGEA(BI24:BI32)</f>
        <v>504.720674705335</v>
      </c>
      <c r="BJ33" s="45">
        <f t="shared" ref="BJ33" si="175">AVERAGEA(BJ24:BJ32)</f>
        <v>87.932374289669667</v>
      </c>
      <c r="BK33" s="45">
        <f t="shared" ref="BK33" si="176">AVERAGEA(BK24:BK32)</f>
        <v>4130.7280024275979</v>
      </c>
      <c r="BL33" s="45">
        <f t="shared" ref="BL33" si="177">AVERAGEA(BL24:BL32)</f>
        <v>6.0048165557658244</v>
      </c>
      <c r="BM33" s="45">
        <f t="shared" ref="BM33" si="178">AVERAGEA(BM24:BM32)</f>
        <v>29.859242250026128</v>
      </c>
      <c r="BN33" s="45">
        <f t="shared" ref="BN33" si="179">AVERAGEA(BN24:BN32)</f>
        <v>4.0004142508131402</v>
      </c>
      <c r="BO33" s="45">
        <f>AVERAGEA(BO24:BO32)</f>
        <v>9.1868746068066356E-3</v>
      </c>
      <c r="BP33" s="45">
        <f>AVERAGEA(BP24:BP32)</f>
        <v>0.21846852787396587</v>
      </c>
      <c r="BQ33" s="45">
        <f t="shared" ref="BQ33:BR33" si="180">AVERAGEA(BQ24:BQ32)</f>
        <v>7.1237566159303475E-2</v>
      </c>
      <c r="BR33" s="45">
        <f t="shared" si="180"/>
        <v>5.1605400846271125E-2</v>
      </c>
    </row>
    <row r="34" spans="1:70" s="31" customFormat="1" ht="13.5" x14ac:dyDescent="0.25">
      <c r="A34" s="43" t="s">
        <v>181</v>
      </c>
      <c r="B34" s="29"/>
      <c r="C34" s="45">
        <f>STDEVA(C24:C32)</f>
        <v>0.28214676923615195</v>
      </c>
      <c r="D34" s="45">
        <f t="shared" ref="D34:AV34" si="181">STDEVA(D24:D32)</f>
        <v>3.3872209183163862</v>
      </c>
      <c r="E34" s="45">
        <f t="shared" si="181"/>
        <v>1.3869767273590798</v>
      </c>
      <c r="F34" s="45">
        <f t="shared" si="181"/>
        <v>2.4643010259447244</v>
      </c>
      <c r="G34" s="45">
        <f t="shared" si="181"/>
        <v>2.568022575694609E-2</v>
      </c>
      <c r="H34" s="45">
        <f t="shared" si="181"/>
        <v>2.9959760355409298E-2</v>
      </c>
      <c r="I34" s="45">
        <f t="shared" si="181"/>
        <v>0.96353614366722751</v>
      </c>
      <c r="J34" s="45">
        <f t="shared" si="181"/>
        <v>0.16179558135991065</v>
      </c>
      <c r="K34" s="45">
        <f t="shared" si="181"/>
        <v>2.5455304385454087E-2</v>
      </c>
      <c r="L34" s="45">
        <f t="shared" si="181"/>
        <v>1.3553740382750057</v>
      </c>
      <c r="M34" s="45">
        <f t="shared" si="181"/>
        <v>1.8929649378899301E-2</v>
      </c>
      <c r="N34" s="45">
        <f t="shared" si="181"/>
        <v>8.7023357152673167E-15</v>
      </c>
      <c r="O34" s="45">
        <f t="shared" si="181"/>
        <v>17.194723490828473</v>
      </c>
      <c r="P34" s="45">
        <f t="shared" ref="P34" si="182">STDEVA(P25:P32)</f>
        <v>0.12694147554758703</v>
      </c>
      <c r="Q34" s="45">
        <f t="shared" ref="Q34:R34" si="183">STDEVA(Q25:Q32)</f>
        <v>31.011238063639521</v>
      </c>
      <c r="R34" s="45">
        <f t="shared" si="183"/>
        <v>1031.9815100713222</v>
      </c>
      <c r="S34" s="45">
        <f t="shared" si="181"/>
        <v>24.794382288833862</v>
      </c>
      <c r="T34" s="45">
        <f t="shared" si="181"/>
        <v>20.990634675627525</v>
      </c>
      <c r="U34" s="45">
        <f t="shared" si="181"/>
        <v>129.51806368951009</v>
      </c>
      <c r="V34" s="45">
        <f t="shared" si="181"/>
        <v>176.26461736842455</v>
      </c>
      <c r="W34" s="45">
        <f t="shared" si="181"/>
        <v>1.8118323989383687</v>
      </c>
      <c r="X34" s="45">
        <f t="shared" si="181"/>
        <v>20.332957109426761</v>
      </c>
      <c r="Y34" s="45">
        <f t="shared" si="181"/>
        <v>5.4250417964678705</v>
      </c>
      <c r="Z34" s="45">
        <f t="shared" si="181"/>
        <v>13.821304921619458</v>
      </c>
      <c r="AA34" s="45">
        <f t="shared" si="181"/>
        <v>1.4602878576591329</v>
      </c>
      <c r="AB34" s="45">
        <f t="shared" si="181"/>
        <v>12.232708519914238</v>
      </c>
      <c r="AC34" s="45">
        <f t="shared" si="181"/>
        <v>0.83083544928511055</v>
      </c>
      <c r="AD34" s="45">
        <f t="shared" si="181"/>
        <v>2.7780744990276638</v>
      </c>
      <c r="AE34" s="45">
        <f t="shared" si="181"/>
        <v>0.41755027216903168</v>
      </c>
      <c r="AF34" s="45">
        <f t="shared" si="181"/>
        <v>1.1386844746115607</v>
      </c>
      <c r="AG34" s="45">
        <f t="shared" si="181"/>
        <v>0.59147528616218936</v>
      </c>
      <c r="AH34" s="45">
        <f t="shared" si="181"/>
        <v>0.25710350873963062</v>
      </c>
      <c r="AI34" s="45">
        <f t="shared" si="181"/>
        <v>1.2333886173329085</v>
      </c>
      <c r="AJ34" s="45">
        <f t="shared" si="181"/>
        <v>0.25161490813036752</v>
      </c>
      <c r="AK34" s="45">
        <f t="shared" si="181"/>
        <v>1.0405273814114195</v>
      </c>
      <c r="AL34" s="45">
        <f t="shared" si="181"/>
        <v>0.18531633637106562</v>
      </c>
      <c r="AM34" s="45">
        <f t="shared" si="181"/>
        <v>0.91621811087297478</v>
      </c>
      <c r="AN34" s="45">
        <f t="shared" si="181"/>
        <v>9.6666693430153106E-2</v>
      </c>
      <c r="AO34" s="45">
        <f t="shared" si="181"/>
        <v>0.87203565794721449</v>
      </c>
      <c r="AP34" s="45">
        <f t="shared" si="181"/>
        <v>0.20510121234310227</v>
      </c>
      <c r="AQ34" s="45">
        <f t="shared" si="181"/>
        <v>0.77338296814331786</v>
      </c>
      <c r="AR34" s="45">
        <f t="shared" si="181"/>
        <v>0.9939827920258183</v>
      </c>
      <c r="AS34" s="45">
        <f t="shared" si="181"/>
        <v>0</v>
      </c>
      <c r="AT34" s="45">
        <f t="shared" si="181"/>
        <v>0.11736008259660698</v>
      </c>
      <c r="AU34" s="45">
        <f t="shared" si="181"/>
        <v>0.11759393534284276</v>
      </c>
      <c r="AV34" s="45">
        <f t="shared" si="181"/>
        <v>112.07587730224844</v>
      </c>
      <c r="AW34" s="45">
        <f t="shared" ref="AW34" si="184">STDEVA(AW24:AW32)</f>
        <v>9.4205547521026495E-16</v>
      </c>
      <c r="AX34" s="45">
        <f t="shared" ref="AX34" si="185">STDEVA(AX24:AX32)</f>
        <v>386.8054800881597</v>
      </c>
      <c r="AY34" s="45">
        <f t="shared" ref="AY34" si="186">STDEVA(AY24:AY32)</f>
        <v>0.83342234970829732</v>
      </c>
      <c r="AZ34" s="45">
        <f t="shared" ref="AZ34" si="187">STDEVA(AZ24:AZ32)</f>
        <v>5.693422373057784E-2</v>
      </c>
      <c r="BA34" s="45">
        <f t="shared" ref="BA34" si="188">STDEVA(BA24:BA32)</f>
        <v>0.65145056156779324</v>
      </c>
      <c r="BB34" s="45">
        <f t="shared" ref="BB34" si="189">STDEVA(BB24:BB32)</f>
        <v>0.32137938592453802</v>
      </c>
      <c r="BC34" s="45">
        <f t="shared" ref="BC34" si="190">STDEVA(BC24:BC32)</f>
        <v>9.8054395077966117</v>
      </c>
      <c r="BD34" s="45">
        <f t="shared" ref="BD34" si="191">STDEVA(BD24:BD32)</f>
        <v>5.1581056166725272</v>
      </c>
      <c r="BE34" s="45">
        <f t="shared" ref="BE34" si="192">STDEVA(BE24:BE32)</f>
        <v>40.684620613186453</v>
      </c>
      <c r="BF34" s="45">
        <f t="shared" ref="BF34" si="193">STDEVA(BF24:BF32)</f>
        <v>15.45538245334688</v>
      </c>
      <c r="BG34" s="45">
        <f t="shared" ref="BG34" si="194">STDEVA(BG24:BG32)</f>
        <v>122.77322685697865</v>
      </c>
      <c r="BH34" s="45">
        <f t="shared" ref="BH34" si="195">STDEVA(BH24:BH32)</f>
        <v>19.333338686030608</v>
      </c>
      <c r="BI34" s="45">
        <f t="shared" ref="BI34" si="196">STDEVA(BI24:BI32)</f>
        <v>206.67245093348973</v>
      </c>
      <c r="BJ34" s="45">
        <f t="shared" ref="BJ34" si="197">STDEVA(BJ24:BJ32)</f>
        <v>62.022606612554114</v>
      </c>
      <c r="BK34" s="45">
        <f t="shared" ref="BK34" si="198">STDEVA(BK24:BK32)</f>
        <v>2201.8213103040275</v>
      </c>
      <c r="BL34" s="45">
        <f t="shared" ref="BL34" si="199">STDEVA(BL24:BL32)</f>
        <v>1.422404201070872</v>
      </c>
      <c r="BM34" s="45">
        <f t="shared" ref="BM34" si="200">STDEVA(BM24:BM32)</f>
        <v>9.1605675632074863</v>
      </c>
      <c r="BN34" s="45">
        <f t="shared" ref="BN34" si="201">STDEVA(BN24:BN32)</f>
        <v>0.65712953594660406</v>
      </c>
      <c r="BO34" s="45">
        <f>STDEVA(BO24:BO32)</f>
        <v>3.8784685384573333E-3</v>
      </c>
      <c r="BP34" s="45">
        <f>STDEVA(BP24:BP32)</f>
        <v>9.5413163539561696E-2</v>
      </c>
      <c r="BQ34" s="45">
        <f t="shared" ref="BQ34:BR34" si="202">STDEVA(BQ24:BQ32)</f>
        <v>3.8029811536133683E-2</v>
      </c>
      <c r="BR34" s="45">
        <f t="shared" si="202"/>
        <v>2.0100950810891551E-2</v>
      </c>
    </row>
    <row r="35" spans="1:70" s="31" customFormat="1" ht="13.5" x14ac:dyDescent="0.25">
      <c r="A35" s="43"/>
      <c r="B35" s="2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</row>
    <row r="36" spans="1:70" ht="13.5" x14ac:dyDescent="0.25">
      <c r="A36" s="43" t="s">
        <v>272</v>
      </c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>
        <v>29.1</v>
      </c>
      <c r="Z36" s="10"/>
      <c r="AA36" s="10">
        <v>7.23</v>
      </c>
      <c r="AB36" s="10"/>
      <c r="AC36" s="10"/>
      <c r="AD36" s="10">
        <v>16.8</v>
      </c>
      <c r="AE36" s="10"/>
      <c r="AF36" s="10">
        <v>12.4</v>
      </c>
      <c r="AG36" s="10">
        <v>3.75</v>
      </c>
      <c r="AH36" s="10">
        <v>1.33</v>
      </c>
      <c r="AI36" s="10">
        <v>4.34</v>
      </c>
      <c r="AJ36" s="10">
        <v>0.75</v>
      </c>
      <c r="AK36" s="10"/>
      <c r="AL36" s="10"/>
      <c r="AM36" s="10"/>
      <c r="AN36" s="10"/>
      <c r="AO36" s="10">
        <v>2.91</v>
      </c>
      <c r="AP36" s="45">
        <v>0.44500000000000001</v>
      </c>
      <c r="AQ36" s="45">
        <v>2.65</v>
      </c>
      <c r="AR36" s="10"/>
      <c r="AS36" s="14"/>
      <c r="AT36" s="90">
        <v>0.63</v>
      </c>
      <c r="AU36" s="45">
        <v>0.79</v>
      </c>
      <c r="AV36" s="10"/>
      <c r="AW36" s="10"/>
      <c r="AX36" s="37">
        <f>(Y36*0.9+248*0.1)*71.3</f>
        <v>3635.587</v>
      </c>
      <c r="AY36" s="37">
        <f>(AD36*0.9+216*0.1)*0.3</f>
        <v>11.016</v>
      </c>
      <c r="AZ36" s="37">
        <f>(AF36*0.9+127*0.1)*0.05</f>
        <v>1.1930000000000001</v>
      </c>
      <c r="BA36" s="37">
        <f>(AG36*0.9+39*0.1)*0.68</f>
        <v>4.947000000000001</v>
      </c>
      <c r="BB36" s="37">
        <f>(AH36*0.9+2.82*0.1)*1.25</f>
        <v>1.8487500000000001</v>
      </c>
      <c r="BC36" s="37">
        <f>(AI36*0.9+45.5*0.1)*7.95</f>
        <v>67.225200000000001</v>
      </c>
      <c r="BD36" s="37">
        <f>(AJ36*0.9+7.65*0.1)*20.5</f>
        <v>29.520000000000003</v>
      </c>
      <c r="BI36" s="37">
        <f>(AO36*0.9+25.6*0.1)*237</f>
        <v>1227.423</v>
      </c>
      <c r="BJ36" s="37">
        <f>(AP36*0.9+3.42*0.1)*302.4</f>
        <v>224.53200000000001</v>
      </c>
      <c r="BK36" s="37">
        <f>(AQ36*0.9+28.6*0.1)*2847</f>
        <v>14932.514999999999</v>
      </c>
      <c r="BL36" s="37">
        <f>(AT36*0.9+14.7*0.1)*12.12</f>
        <v>24.688439999999996</v>
      </c>
      <c r="BM36" s="37">
        <f>(AU36*0.9+3.96*0.1)*77.9</f>
        <v>86.235300000000024</v>
      </c>
      <c r="BN36" s="37">
        <f>(AA36*0.9+80.2*0.1)*0.45</f>
        <v>6.5371500000000005</v>
      </c>
      <c r="BO36" s="91">
        <f t="shared" ref="BO36" si="203">BN36/BI36</f>
        <v>5.3259145380199005E-3</v>
      </c>
      <c r="BP36" s="10">
        <f t="shared" ref="BP36" si="204">BL36/BM36</f>
        <v>0.28629157665132482</v>
      </c>
      <c r="BQ36" s="40">
        <f t="shared" ref="BQ36" si="205">BM36/BI36</f>
        <v>7.0257197396496579E-2</v>
      </c>
      <c r="BR36" s="10">
        <f t="shared" ref="BR36" si="206">BC36/BI36</f>
        <v>5.4769382682253794E-2</v>
      </c>
    </row>
    <row r="37" spans="1:70" ht="13.5" x14ac:dyDescent="0.25">
      <c r="A37" s="43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45"/>
      <c r="AQ37" s="45"/>
      <c r="AR37" s="10"/>
      <c r="AS37" s="14"/>
      <c r="AT37" s="90"/>
      <c r="AU37" s="45"/>
      <c r="AV37" s="10"/>
      <c r="AW37" s="10"/>
      <c r="AX37" s="37"/>
      <c r="AY37" s="37"/>
      <c r="AZ37" s="37"/>
      <c r="BA37" s="37"/>
      <c r="BB37" s="37"/>
      <c r="BC37" s="37"/>
      <c r="BD37" s="37"/>
      <c r="BI37" s="37"/>
      <c r="BJ37" s="37"/>
      <c r="BK37" s="37"/>
      <c r="BL37" s="37"/>
      <c r="BM37" s="37"/>
      <c r="BN37" s="37"/>
    </row>
    <row r="38" spans="1:70" x14ac:dyDescent="0.2">
      <c r="A38" s="23" t="s">
        <v>190</v>
      </c>
      <c r="B38" s="10"/>
      <c r="C38" s="12">
        <f>AVERAGEA(C4,C6:C13,C17:C18,C22,C24:C32)</f>
        <v>2.6437278185954334</v>
      </c>
      <c r="D38" s="12">
        <f t="shared" ref="D38:M38" si="207">AVERAGEA(D4,D6:D13,D17:D18,D22,D24:D32)</f>
        <v>5.4835896466524208</v>
      </c>
      <c r="E38" s="12">
        <f t="shared" si="207"/>
        <v>12.534908256878079</v>
      </c>
      <c r="F38" s="12">
        <f t="shared" si="207"/>
        <v>64.781660947717938</v>
      </c>
      <c r="G38" s="12">
        <f t="shared" si="207"/>
        <v>0.25573597247463242</v>
      </c>
      <c r="H38" s="12">
        <f t="shared" si="207"/>
        <v>0.21998749001285595</v>
      </c>
      <c r="I38" s="12">
        <f t="shared" si="207"/>
        <v>6.9356888562697554</v>
      </c>
      <c r="J38" s="12">
        <f t="shared" si="207"/>
        <v>1.0125984339331371</v>
      </c>
      <c r="K38" s="12">
        <f t="shared" si="207"/>
        <v>0.1333252373599314</v>
      </c>
      <c r="L38" s="12">
        <f t="shared" si="207"/>
        <v>5.3149385584562525</v>
      </c>
      <c r="M38" s="12">
        <f t="shared" si="207"/>
        <v>5.4088725546667146E-2</v>
      </c>
      <c r="N38" s="12"/>
      <c r="O38" s="12">
        <f t="shared" ref="O38:P38" si="208">AVERAGEA(O4,O6:O13,O17:O18,O22,O24:O32)</f>
        <v>60.680516213358224</v>
      </c>
      <c r="P38" s="12">
        <f t="shared" si="208"/>
        <v>1.1737435473275197</v>
      </c>
      <c r="Q38" s="12">
        <f t="shared" ref="Q38:R38" si="209">AVERAGEA(Q4,Q6:Q13,Q17:Q18,Q22,Q24:Q32)</f>
        <v>55.325603168219814</v>
      </c>
      <c r="R38" s="12">
        <f t="shared" si="209"/>
        <v>6068.9975880645425</v>
      </c>
      <c r="S38" s="12">
        <f t="shared" ref="S38:AV38" si="210">AVERAGEA(S4,S6:S13,S17:S18,S22,S24:S32)</f>
        <v>266.91170572410965</v>
      </c>
      <c r="T38" s="12">
        <f t="shared" si="210"/>
        <v>24.432332195931025</v>
      </c>
      <c r="U38" s="12">
        <f t="shared" si="210"/>
        <v>388.58302142927846</v>
      </c>
      <c r="V38" s="12">
        <f t="shared" si="210"/>
        <v>209.12156487171242</v>
      </c>
      <c r="W38" s="12">
        <f t="shared" si="210"/>
        <v>7.1799033485686703</v>
      </c>
      <c r="X38" s="12">
        <f t="shared" si="210"/>
        <v>118.73388401803111</v>
      </c>
      <c r="Y38" s="12">
        <f t="shared" si="210"/>
        <v>22.051075282294534</v>
      </c>
      <c r="Z38" s="12">
        <f t="shared" si="210"/>
        <v>78.467937589989063</v>
      </c>
      <c r="AA38" s="12">
        <f t="shared" si="210"/>
        <v>9.1177866294456784</v>
      </c>
      <c r="AB38" s="12">
        <f t="shared" si="210"/>
        <v>63.040277667155316</v>
      </c>
      <c r="AC38" s="12">
        <f t="shared" si="210"/>
        <v>5.5748000968559834</v>
      </c>
      <c r="AD38" s="12">
        <f t="shared" si="210"/>
        <v>13.46516077861086</v>
      </c>
      <c r="AE38" s="12">
        <f t="shared" si="210"/>
        <v>1.8455736102773292</v>
      </c>
      <c r="AF38" s="12">
        <f t="shared" si="210"/>
        <v>9.5240823324070956</v>
      </c>
      <c r="AG38" s="12">
        <f t="shared" si="210"/>
        <v>2.8397501738783046</v>
      </c>
      <c r="AH38" s="12">
        <f t="shared" si="210"/>
        <v>0.75332626058756458</v>
      </c>
      <c r="AI38" s="12">
        <f t="shared" si="210"/>
        <v>3.0638808941424056</v>
      </c>
      <c r="AJ38" s="12">
        <f t="shared" si="210"/>
        <v>0.63799059023385329</v>
      </c>
      <c r="AK38" s="12">
        <f t="shared" si="210"/>
        <v>3.5900430820278135</v>
      </c>
      <c r="AL38" s="12">
        <f t="shared" si="210"/>
        <v>0.82634493423517597</v>
      </c>
      <c r="AM38" s="12">
        <f t="shared" si="210"/>
        <v>1.8381042132201157</v>
      </c>
      <c r="AN38" s="12">
        <f t="shared" si="210"/>
        <v>0.27824259100522369</v>
      </c>
      <c r="AO38" s="12">
        <f t="shared" si="210"/>
        <v>1.9568271004131543</v>
      </c>
      <c r="AP38" s="12">
        <f t="shared" si="210"/>
        <v>0.29452209962235215</v>
      </c>
      <c r="AQ38" s="12">
        <f t="shared" si="210"/>
        <v>1.8656902549886976</v>
      </c>
      <c r="AR38" s="12">
        <f t="shared" si="210"/>
        <v>4.0044931543163482</v>
      </c>
      <c r="AS38" s="12">
        <f t="shared" si="210"/>
        <v>1.4340821155567274</v>
      </c>
      <c r="AT38" s="12">
        <f t="shared" si="210"/>
        <v>0.49327047928597606</v>
      </c>
      <c r="AU38" s="12">
        <f t="shared" si="210"/>
        <v>0.32371394874240661</v>
      </c>
      <c r="AV38" s="12">
        <f t="shared" si="210"/>
        <v>1116.1051987670069</v>
      </c>
      <c r="AW38" s="12"/>
    </row>
    <row r="39" spans="1:70" x14ac:dyDescent="0.2">
      <c r="A39" s="23" t="s">
        <v>197</v>
      </c>
      <c r="B39" s="10"/>
      <c r="C39" s="12">
        <f>STDEVA(C4,C6:C13,C17:C18,C22,C24:C32)</f>
        <v>0.71008874460068894</v>
      </c>
      <c r="D39" s="12">
        <f t="shared" ref="D39:M39" si="211">STDEVA(D4,D6:D13,D17:D18,D22,D24:D32)</f>
        <v>2.9534230152738061</v>
      </c>
      <c r="E39" s="12">
        <f t="shared" si="211"/>
        <v>1.8226498517168401</v>
      </c>
      <c r="F39" s="12">
        <f t="shared" si="211"/>
        <v>4.3984236492452391</v>
      </c>
      <c r="G39" s="12">
        <f t="shared" si="211"/>
        <v>9.1367114932238258E-2</v>
      </c>
      <c r="H39" s="12">
        <f t="shared" si="211"/>
        <v>7.3021106225735335E-2</v>
      </c>
      <c r="I39" s="12">
        <f t="shared" si="211"/>
        <v>1.3267210370882905</v>
      </c>
      <c r="J39" s="12">
        <f t="shared" si="211"/>
        <v>0.26970240678181312</v>
      </c>
      <c r="K39" s="12">
        <f t="shared" si="211"/>
        <v>2.9639390965462024E-2</v>
      </c>
      <c r="L39" s="12">
        <f t="shared" si="211"/>
        <v>1.905591381116776</v>
      </c>
      <c r="M39" s="12">
        <f t="shared" si="211"/>
        <v>2.6868396703390845E-2</v>
      </c>
      <c r="N39" s="12"/>
      <c r="O39" s="12">
        <f t="shared" ref="O39:P39" si="212">STDEVA(O4,O6:O13,O17:O18,O22,O24:O32)</f>
        <v>14.958557380558691</v>
      </c>
      <c r="P39" s="12">
        <f t="shared" si="212"/>
        <v>0.16965583082404714</v>
      </c>
      <c r="Q39" s="12">
        <f t="shared" ref="Q39:R39" si="213">STDEVA(Q4,Q6:Q13,Q17:Q18,Q22,Q24:Q32)</f>
        <v>30.862471415088532</v>
      </c>
      <c r="R39" s="12">
        <f t="shared" si="213"/>
        <v>1616.4584117479606</v>
      </c>
      <c r="S39" s="12">
        <f t="shared" ref="S39:AV39" si="214">STDEVA(S4,S6:S13,S17:S18,S22,S24:S32)</f>
        <v>101.73496441933307</v>
      </c>
      <c r="T39" s="12">
        <f t="shared" si="214"/>
        <v>18.575580701841844</v>
      </c>
      <c r="U39" s="12">
        <f t="shared" si="214"/>
        <v>167.34833326093658</v>
      </c>
      <c r="V39" s="12">
        <f t="shared" si="214"/>
        <v>150.61339983331257</v>
      </c>
      <c r="W39" s="12">
        <f t="shared" si="214"/>
        <v>2.7383984217921697</v>
      </c>
      <c r="X39" s="12">
        <f t="shared" si="214"/>
        <v>28.422090687444271</v>
      </c>
      <c r="Y39" s="12">
        <f t="shared" si="214"/>
        <v>5.4294107230316166</v>
      </c>
      <c r="Z39" s="12">
        <f t="shared" si="214"/>
        <v>16.969842397324353</v>
      </c>
      <c r="AA39" s="12">
        <f t="shared" si="214"/>
        <v>2.2008373619643455</v>
      </c>
      <c r="AB39" s="12">
        <f t="shared" si="214"/>
        <v>15.804032502495083</v>
      </c>
      <c r="AC39" s="12">
        <f t="shared" si="214"/>
        <v>1.3773845600130845</v>
      </c>
      <c r="AD39" s="12">
        <f t="shared" si="214"/>
        <v>3.3122678317913068</v>
      </c>
      <c r="AE39" s="12">
        <f t="shared" si="214"/>
        <v>0.61082293872061466</v>
      </c>
      <c r="AF39" s="12">
        <f t="shared" si="214"/>
        <v>1.8948557249174514</v>
      </c>
      <c r="AG39" s="12">
        <f t="shared" si="214"/>
        <v>1.0088156847885033</v>
      </c>
      <c r="AH39" s="12">
        <f t="shared" si="214"/>
        <v>0.35084853339215699</v>
      </c>
      <c r="AI39" s="12">
        <f t="shared" si="214"/>
        <v>1.0928573637148264</v>
      </c>
      <c r="AJ39" s="12">
        <f t="shared" si="214"/>
        <v>0.20593798385296214</v>
      </c>
      <c r="AK39" s="12">
        <f t="shared" si="214"/>
        <v>1.1368054156867879</v>
      </c>
      <c r="AL39" s="12">
        <f t="shared" si="214"/>
        <v>0.25635186940296006</v>
      </c>
      <c r="AM39" s="12">
        <f t="shared" si="214"/>
        <v>1.0266929574104922</v>
      </c>
      <c r="AN39" s="12">
        <f t="shared" si="214"/>
        <v>0.17595384873990988</v>
      </c>
      <c r="AO39" s="12">
        <f t="shared" si="214"/>
        <v>0.79343201364044136</v>
      </c>
      <c r="AP39" s="12">
        <f t="shared" si="214"/>
        <v>0.17472704993682628</v>
      </c>
      <c r="AQ39" s="12">
        <f t="shared" si="214"/>
        <v>1.00726417389826</v>
      </c>
      <c r="AR39" s="12">
        <f t="shared" si="214"/>
        <v>1.682586212465893</v>
      </c>
      <c r="AS39" s="12">
        <f t="shared" si="214"/>
        <v>2.0616024729992644</v>
      </c>
      <c r="AT39" s="12">
        <f t="shared" si="214"/>
        <v>0.19527190228511945</v>
      </c>
      <c r="AU39" s="12">
        <f t="shared" si="214"/>
        <v>0.16981302909849266</v>
      </c>
      <c r="AV39" s="12">
        <f t="shared" si="214"/>
        <v>398.75231859424588</v>
      </c>
      <c r="AW39" s="12"/>
    </row>
    <row r="40" spans="1:70" x14ac:dyDescent="0.2"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4"/>
      <c r="AT40" s="14"/>
      <c r="AU40" s="10"/>
      <c r="AV40" s="10"/>
      <c r="AW40" s="10"/>
    </row>
    <row r="41" spans="1:70" x14ac:dyDescent="0.2">
      <c r="A41" s="23" t="s">
        <v>228</v>
      </c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4"/>
      <c r="AT41" s="14"/>
      <c r="AU41" s="10"/>
      <c r="AV41" s="10"/>
      <c r="AW41" s="10"/>
    </row>
    <row r="42" spans="1:70" x14ac:dyDescent="0.2">
      <c r="A42" s="20" t="s">
        <v>274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4"/>
      <c r="AT42" s="14"/>
      <c r="AU42" s="10"/>
      <c r="AV42" s="10"/>
      <c r="AW42" s="10"/>
    </row>
    <row r="43" spans="1:70" x14ac:dyDescent="0.2">
      <c r="A43" s="20" t="s">
        <v>273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4"/>
      <c r="AT43" s="14"/>
      <c r="AU43" s="10"/>
      <c r="AV43" s="10"/>
      <c r="AW43" s="10"/>
    </row>
    <row r="44" spans="1:70" x14ac:dyDescent="0.2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4"/>
      <c r="AT44" s="14"/>
      <c r="AU44" s="10"/>
      <c r="AV44" s="10"/>
      <c r="AW44" s="10"/>
    </row>
    <row r="45" spans="1:70" x14ac:dyDescent="0.2">
      <c r="A45" s="2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4"/>
      <c r="AT45" s="14"/>
      <c r="AU45" s="10"/>
      <c r="AV45" s="10"/>
      <c r="AW45" s="10"/>
    </row>
    <row r="46" spans="1:70" x14ac:dyDescent="0.2">
      <c r="A46" s="2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4"/>
      <c r="AT46" s="14"/>
      <c r="AU46" s="10"/>
      <c r="AV46" s="10"/>
      <c r="AW46" s="10"/>
    </row>
    <row r="47" spans="1:70" x14ac:dyDescent="0.2">
      <c r="A47" s="22"/>
    </row>
    <row r="48" spans="1:70" x14ac:dyDescent="0.2">
      <c r="A48" s="22"/>
    </row>
    <row r="49" spans="1:69" x14ac:dyDescent="0.2">
      <c r="A49" s="22"/>
    </row>
    <row r="50" spans="1:69" x14ac:dyDescent="0.2">
      <c r="A50" s="22"/>
    </row>
    <row r="51" spans="1:69" x14ac:dyDescent="0.2">
      <c r="A51" s="22"/>
    </row>
    <row r="52" spans="1:69" x14ac:dyDescent="0.2">
      <c r="A52" s="22"/>
    </row>
    <row r="53" spans="1:69" x14ac:dyDescent="0.2">
      <c r="A53" s="22"/>
    </row>
    <row r="54" spans="1:69" s="3" customFormat="1" x14ac:dyDescent="0.2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N54" s="9"/>
      <c r="BQ54" s="39"/>
    </row>
    <row r="55" spans="1:69" s="10" customFormat="1" x14ac:dyDescent="0.2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36"/>
      <c r="AY55" s="36"/>
      <c r="AZ55" s="12"/>
      <c r="BA55" s="12"/>
      <c r="BD55" s="12"/>
      <c r="BE55" s="12"/>
      <c r="BG55" s="12"/>
      <c r="BH55" s="12"/>
      <c r="BI55" s="12"/>
      <c r="BK55" s="12"/>
      <c r="BQ55" s="41"/>
    </row>
    <row r="56" spans="1:69" s="10" customFormat="1" x14ac:dyDescent="0.2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36"/>
      <c r="AY56" s="36"/>
      <c r="AZ56" s="12"/>
      <c r="BA56" s="12"/>
      <c r="BD56" s="12"/>
      <c r="BE56" s="12"/>
      <c r="BG56" s="12"/>
      <c r="BH56" s="12"/>
      <c r="BI56" s="12"/>
      <c r="BK56" s="12"/>
      <c r="BQ56" s="41"/>
    </row>
    <row r="57" spans="1:69" s="10" customFormat="1" x14ac:dyDescent="0.2">
      <c r="A57" s="2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36"/>
      <c r="AY57" s="36"/>
      <c r="AZ57" s="12"/>
      <c r="BA57" s="12"/>
      <c r="BD57" s="12"/>
      <c r="BE57" s="12"/>
      <c r="BG57" s="12"/>
      <c r="BH57" s="12"/>
      <c r="BI57" s="12"/>
      <c r="BK57" s="12"/>
      <c r="BQ57" s="41"/>
    </row>
    <row r="58" spans="1:69" s="10" customFormat="1" x14ac:dyDescent="0.2">
      <c r="A58" s="2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36"/>
      <c r="AY58" s="36"/>
      <c r="AZ58" s="12"/>
      <c r="BA58" s="12"/>
      <c r="BD58" s="12"/>
      <c r="BE58" s="12"/>
      <c r="BG58" s="12"/>
      <c r="BH58" s="12"/>
      <c r="BI58" s="12"/>
      <c r="BK58" s="12"/>
      <c r="BQ58" s="41"/>
    </row>
    <row r="59" spans="1:69" s="10" customFormat="1" x14ac:dyDescent="0.2">
      <c r="A59" s="2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36"/>
      <c r="AY59" s="36"/>
      <c r="AZ59" s="12"/>
      <c r="BA59" s="12"/>
      <c r="BD59" s="12"/>
      <c r="BE59" s="12"/>
      <c r="BG59" s="12"/>
      <c r="BH59" s="12"/>
      <c r="BI59" s="12"/>
      <c r="BK59" s="12"/>
      <c r="BQ59" s="41"/>
    </row>
    <row r="60" spans="1:69" s="10" customFormat="1" x14ac:dyDescent="0.2">
      <c r="A60" s="2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36"/>
      <c r="AY60" s="36"/>
      <c r="AZ60" s="12"/>
      <c r="BA60" s="12"/>
      <c r="BD60" s="12"/>
      <c r="BE60" s="12"/>
      <c r="BG60" s="12"/>
      <c r="BH60" s="12"/>
      <c r="BI60" s="12"/>
      <c r="BK60" s="12"/>
      <c r="BQ60" s="41"/>
    </row>
    <row r="61" spans="1:69" s="10" customFormat="1" x14ac:dyDescent="0.2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36"/>
      <c r="AY61" s="36"/>
      <c r="AZ61" s="12"/>
      <c r="BA61" s="12"/>
      <c r="BD61" s="12"/>
      <c r="BE61" s="12"/>
      <c r="BG61" s="12"/>
      <c r="BH61" s="12"/>
      <c r="BI61" s="12"/>
      <c r="BK61" s="12"/>
      <c r="BQ61" s="41"/>
    </row>
    <row r="62" spans="1:69" s="10" customFormat="1" x14ac:dyDescent="0.2">
      <c r="A62" s="2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36"/>
      <c r="AY62" s="36"/>
      <c r="AZ62" s="12"/>
      <c r="BA62" s="12"/>
      <c r="BD62" s="12"/>
      <c r="BE62" s="12"/>
      <c r="BG62" s="12"/>
      <c r="BH62" s="12"/>
      <c r="BI62" s="12"/>
      <c r="BK62" s="12"/>
      <c r="BQ62" s="41"/>
    </row>
    <row r="63" spans="1:69" s="10" customFormat="1" x14ac:dyDescent="0.2">
      <c r="A63" s="2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36"/>
      <c r="AY63" s="36"/>
      <c r="AZ63" s="12"/>
      <c r="BA63" s="12"/>
      <c r="BD63" s="12"/>
      <c r="BE63" s="12"/>
      <c r="BG63" s="12"/>
      <c r="BH63" s="12"/>
      <c r="BI63" s="12"/>
      <c r="BK63" s="12"/>
      <c r="BQ63" s="41"/>
    </row>
    <row r="64" spans="1:69" s="10" customFormat="1" x14ac:dyDescent="0.2">
      <c r="A64" s="2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36"/>
      <c r="AY64" s="36"/>
      <c r="AZ64" s="12"/>
      <c r="BA64" s="12"/>
      <c r="BD64" s="12"/>
      <c r="BE64" s="12"/>
      <c r="BG64" s="12"/>
      <c r="BH64" s="12"/>
      <c r="BI64" s="12"/>
      <c r="BK64" s="12"/>
      <c r="BQ64" s="41"/>
    </row>
    <row r="65" spans="1:69" s="10" customFormat="1" x14ac:dyDescent="0.2">
      <c r="A65" s="2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36"/>
      <c r="AY65" s="36"/>
      <c r="AZ65" s="12"/>
      <c r="BA65" s="12"/>
      <c r="BD65" s="12"/>
      <c r="BE65" s="12"/>
      <c r="BG65" s="12"/>
      <c r="BH65" s="12"/>
      <c r="BI65" s="12"/>
      <c r="BK65" s="12"/>
      <c r="BQ65" s="41"/>
    </row>
    <row r="66" spans="1:69" s="10" customFormat="1" x14ac:dyDescent="0.2">
      <c r="A66" s="2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36"/>
      <c r="AY66" s="36"/>
      <c r="AZ66" s="12"/>
      <c r="BA66" s="12"/>
      <c r="BD66" s="12"/>
      <c r="BE66" s="12"/>
      <c r="BG66" s="12"/>
      <c r="BH66" s="12"/>
      <c r="BI66" s="12"/>
      <c r="BK66" s="12"/>
      <c r="BQ66" s="41"/>
    </row>
    <row r="67" spans="1:69" x14ac:dyDescent="0.2">
      <c r="A67" s="25"/>
    </row>
    <row r="68" spans="1:69" x14ac:dyDescent="0.2">
      <c r="A68" s="2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2"/>
      <c r="AY68" s="12"/>
    </row>
    <row r="69" spans="1:69" x14ac:dyDescent="0.2">
      <c r="A69" s="2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2"/>
      <c r="AY69" s="12"/>
    </row>
    <row r="70" spans="1:69" x14ac:dyDescent="0.2">
      <c r="A70" s="2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2"/>
      <c r="AY70" s="12"/>
    </row>
    <row r="71" spans="1:69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2"/>
      <c r="AY71" s="12"/>
    </row>
    <row r="72" spans="1:69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2"/>
      <c r="AY72" s="12"/>
    </row>
    <row r="73" spans="1:69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2"/>
      <c r="AY73" s="12"/>
    </row>
    <row r="74" spans="1:69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2"/>
      <c r="AY74" s="12"/>
    </row>
    <row r="75" spans="1:69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2"/>
      <c r="AY75" s="12"/>
    </row>
    <row r="76" spans="1:69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2"/>
      <c r="AY76" s="12"/>
    </row>
    <row r="77" spans="1:69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2"/>
      <c r="AY77" s="12"/>
    </row>
    <row r="78" spans="1:69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2"/>
      <c r="AY78" s="12"/>
    </row>
    <row r="79" spans="1:69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2"/>
      <c r="AY79" s="12"/>
    </row>
    <row r="80" spans="1:69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2"/>
      <c r="AY80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4"/>
  <sheetViews>
    <sheetView workbookViewId="0"/>
  </sheetViews>
  <sheetFormatPr defaultColWidth="11.42578125" defaultRowHeight="12.75" x14ac:dyDescent="0.2"/>
  <cols>
    <col min="1" max="1" width="13.85546875" style="1" customWidth="1"/>
    <col min="2" max="2" width="22" style="1" customWidth="1"/>
    <col min="3" max="4" width="17.85546875" style="6" customWidth="1"/>
    <col min="5" max="7" width="11.42578125" style="6"/>
    <col min="8" max="9" width="11.42578125" style="1"/>
    <col min="10" max="16384" width="11.42578125" style="6"/>
  </cols>
  <sheetData>
    <row r="1" spans="1:10" s="1" customFormat="1" ht="15.75" x14ac:dyDescent="0.25">
      <c r="A1" s="27" t="s">
        <v>233</v>
      </c>
      <c r="B1" s="3"/>
      <c r="C1" s="3"/>
      <c r="D1" s="3"/>
      <c r="E1" s="3"/>
      <c r="F1" s="3"/>
    </row>
    <row r="2" spans="1:10" x14ac:dyDescent="0.2">
      <c r="A2" s="3"/>
      <c r="B2" s="3"/>
      <c r="C2" s="3"/>
      <c r="D2" s="3"/>
      <c r="E2" s="3"/>
      <c r="F2" s="3"/>
    </row>
    <row r="3" spans="1:10" x14ac:dyDescent="0.2">
      <c r="A3" s="3" t="s">
        <v>0</v>
      </c>
      <c r="B3" s="2"/>
      <c r="C3" s="3" t="s">
        <v>168</v>
      </c>
      <c r="D3" s="3"/>
      <c r="E3" s="3"/>
      <c r="F3" s="3"/>
    </row>
    <row r="4" spans="1:10" x14ac:dyDescent="0.2">
      <c r="A4" s="3"/>
      <c r="B4" s="2"/>
      <c r="C4" s="3" t="s">
        <v>182</v>
      </c>
      <c r="D4" s="3"/>
      <c r="E4" s="3"/>
      <c r="F4" s="3"/>
    </row>
    <row r="5" spans="1:10" x14ac:dyDescent="0.2">
      <c r="A5" s="5" t="s">
        <v>50</v>
      </c>
      <c r="B5" s="4"/>
      <c r="C5" s="5" t="s">
        <v>51</v>
      </c>
      <c r="D5" s="5" t="s">
        <v>52</v>
      </c>
      <c r="E5" s="3"/>
      <c r="F5" s="3"/>
    </row>
    <row r="6" spans="1:10" x14ac:dyDescent="0.2">
      <c r="A6" s="3" t="s">
        <v>113</v>
      </c>
      <c r="B6" s="2" t="s">
        <v>53</v>
      </c>
      <c r="C6" s="6">
        <v>800</v>
      </c>
      <c r="D6" s="6">
        <v>700</v>
      </c>
      <c r="E6" s="9"/>
      <c r="F6" s="9"/>
    </row>
    <row r="7" spans="1:10" x14ac:dyDescent="0.2">
      <c r="A7" s="3" t="s">
        <v>115</v>
      </c>
      <c r="B7" s="2" t="s">
        <v>54</v>
      </c>
      <c r="C7" s="6">
        <v>0.2</v>
      </c>
      <c r="D7" s="6">
        <v>0.2</v>
      </c>
    </row>
    <row r="8" spans="1:10" x14ac:dyDescent="0.2">
      <c r="A8" s="3" t="s">
        <v>55</v>
      </c>
      <c r="B8" s="2"/>
      <c r="C8" s="6" t="s">
        <v>166</v>
      </c>
      <c r="D8" s="6" t="s">
        <v>166</v>
      </c>
    </row>
    <row r="9" spans="1:10" x14ac:dyDescent="0.2">
      <c r="A9" s="3" t="s">
        <v>56</v>
      </c>
      <c r="B9" s="2" t="s">
        <v>106</v>
      </c>
      <c r="C9" s="6">
        <v>800</v>
      </c>
      <c r="D9" s="6">
        <v>745</v>
      </c>
    </row>
    <row r="10" spans="1:10" x14ac:dyDescent="0.2">
      <c r="A10" s="3"/>
      <c r="B10" s="2" t="s">
        <v>57</v>
      </c>
      <c r="C10" s="6">
        <v>13</v>
      </c>
      <c r="D10" s="6">
        <v>0.6</v>
      </c>
    </row>
    <row r="11" spans="1:10" x14ac:dyDescent="0.2">
      <c r="A11" s="3"/>
      <c r="B11" s="2" t="s">
        <v>107</v>
      </c>
      <c r="C11" s="6">
        <v>96.1</v>
      </c>
      <c r="D11" s="6">
        <v>97.4</v>
      </c>
    </row>
    <row r="12" spans="1:10" x14ac:dyDescent="0.2">
      <c r="A12" s="3" t="s">
        <v>58</v>
      </c>
      <c r="B12" s="2" t="s">
        <v>106</v>
      </c>
      <c r="C12" s="6">
        <v>800</v>
      </c>
      <c r="D12" s="6">
        <v>780</v>
      </c>
    </row>
    <row r="13" spans="1:10" ht="15" x14ac:dyDescent="0.25">
      <c r="A13" s="3"/>
      <c r="B13" s="2" t="s">
        <v>57</v>
      </c>
      <c r="C13" s="6">
        <v>4.5999999999999996</v>
      </c>
      <c r="D13" s="6">
        <v>9.8000000000000007</v>
      </c>
      <c r="E13"/>
      <c r="F13"/>
      <c r="G13"/>
      <c r="H13"/>
      <c r="I13"/>
      <c r="J13"/>
    </row>
    <row r="14" spans="1:10" ht="15" x14ac:dyDescent="0.25">
      <c r="A14" s="3"/>
      <c r="B14" s="2" t="s">
        <v>59</v>
      </c>
      <c r="C14" s="6">
        <v>2.6</v>
      </c>
      <c r="D14" s="6">
        <v>62</v>
      </c>
      <c r="E14"/>
      <c r="F14"/>
      <c r="G14"/>
      <c r="H14"/>
      <c r="I14"/>
      <c r="J14"/>
    </row>
    <row r="15" spans="1:10" x14ac:dyDescent="0.2">
      <c r="A15" s="3"/>
      <c r="B15" s="2" t="s">
        <v>107</v>
      </c>
      <c r="C15" s="6">
        <v>2</v>
      </c>
      <c r="D15" s="6">
        <v>7.4</v>
      </c>
    </row>
    <row r="16" spans="1:10" x14ac:dyDescent="0.2">
      <c r="A16" s="3"/>
      <c r="B16" s="2" t="s">
        <v>60</v>
      </c>
      <c r="C16" s="6">
        <v>13</v>
      </c>
      <c r="D16" s="6">
        <v>14</v>
      </c>
    </row>
    <row r="17" spans="1:9" x14ac:dyDescent="0.2">
      <c r="A17" s="3"/>
      <c r="B17" s="2" t="s">
        <v>61</v>
      </c>
      <c r="C17" s="6">
        <v>71</v>
      </c>
      <c r="D17" s="6">
        <v>8.6999999999999993</v>
      </c>
    </row>
    <row r="18" spans="1:9" x14ac:dyDescent="0.2">
      <c r="A18" s="3"/>
      <c r="B18" s="2" t="s">
        <v>62</v>
      </c>
      <c r="C18" s="6" t="s">
        <v>4</v>
      </c>
      <c r="D18" s="6" t="s">
        <v>4</v>
      </c>
    </row>
    <row r="19" spans="1:9" x14ac:dyDescent="0.2">
      <c r="A19" s="3"/>
      <c r="B19" s="2" t="s">
        <v>63</v>
      </c>
      <c r="C19" s="6">
        <v>1</v>
      </c>
      <c r="D19" s="6">
        <v>5</v>
      </c>
    </row>
    <row r="20" spans="1:9" x14ac:dyDescent="0.2">
      <c r="A20" s="3"/>
      <c r="B20" s="2" t="s">
        <v>64</v>
      </c>
      <c r="C20" s="6">
        <v>2.8</v>
      </c>
      <c r="D20" s="6">
        <v>3.1</v>
      </c>
    </row>
    <row r="21" spans="1:9" x14ac:dyDescent="0.2">
      <c r="A21" s="3" t="s">
        <v>65</v>
      </c>
      <c r="B21" s="2" t="s">
        <v>106</v>
      </c>
      <c r="C21" s="6">
        <v>800</v>
      </c>
      <c r="D21" s="6">
        <v>700</v>
      </c>
    </row>
    <row r="22" spans="1:9" x14ac:dyDescent="0.2">
      <c r="A22" s="3"/>
      <c r="B22" s="2" t="s">
        <v>57</v>
      </c>
      <c r="C22" s="6">
        <v>2.5</v>
      </c>
      <c r="D22" s="6">
        <v>3.5</v>
      </c>
    </row>
    <row r="23" spans="1:9" ht="15" x14ac:dyDescent="0.25">
      <c r="A23" s="3"/>
      <c r="B23" s="2" t="s">
        <v>66</v>
      </c>
      <c r="C23" s="6">
        <v>2.7</v>
      </c>
      <c r="D23" s="6">
        <v>2</v>
      </c>
      <c r="E23"/>
      <c r="F23"/>
      <c r="G23"/>
      <c r="H23"/>
    </row>
    <row r="24" spans="1:9" ht="15" x14ac:dyDescent="0.25">
      <c r="A24" s="3"/>
      <c r="B24" s="2" t="s">
        <v>67</v>
      </c>
      <c r="C24" s="6" t="s">
        <v>4</v>
      </c>
      <c r="D24" s="6" t="s">
        <v>4</v>
      </c>
      <c r="E24"/>
      <c r="F24"/>
      <c r="G24"/>
      <c r="H24"/>
    </row>
    <row r="25" spans="1:9" x14ac:dyDescent="0.2">
      <c r="A25" s="3"/>
      <c r="B25" s="2" t="s">
        <v>68</v>
      </c>
      <c r="C25" s="6">
        <v>78</v>
      </c>
      <c r="D25" s="6">
        <v>84</v>
      </c>
    </row>
    <row r="26" spans="1:9" x14ac:dyDescent="0.2">
      <c r="A26" s="3"/>
      <c r="B26" s="2" t="s">
        <v>69</v>
      </c>
      <c r="C26" s="6">
        <v>17</v>
      </c>
      <c r="D26" s="6">
        <v>15</v>
      </c>
    </row>
    <row r="27" spans="1:9" x14ac:dyDescent="0.2">
      <c r="A27" s="3"/>
      <c r="B27" s="2" t="s">
        <v>70</v>
      </c>
      <c r="C27" s="6">
        <v>14</v>
      </c>
      <c r="D27" s="6">
        <v>9</v>
      </c>
    </row>
    <row r="28" spans="1:9" x14ac:dyDescent="0.2">
      <c r="A28" s="3" t="s">
        <v>71</v>
      </c>
      <c r="B28" s="2" t="s">
        <v>106</v>
      </c>
      <c r="C28" s="6">
        <v>775</v>
      </c>
      <c r="D28" s="6">
        <v>700</v>
      </c>
    </row>
    <row r="29" spans="1:9" ht="15" x14ac:dyDescent="0.25">
      <c r="A29" s="3"/>
      <c r="B29" s="2" t="s">
        <v>57</v>
      </c>
      <c r="C29" s="6">
        <v>17</v>
      </c>
      <c r="D29" s="6">
        <v>18</v>
      </c>
      <c r="E29"/>
      <c r="F29"/>
    </row>
    <row r="30" spans="1:9" ht="15" x14ac:dyDescent="0.25">
      <c r="A30" s="3"/>
      <c r="B30" s="2" t="s">
        <v>72</v>
      </c>
      <c r="C30" s="6">
        <v>0.7</v>
      </c>
      <c r="D30" s="6">
        <v>2.4</v>
      </c>
      <c r="E30"/>
      <c r="F30"/>
    </row>
    <row r="31" spans="1:9" x14ac:dyDescent="0.2">
      <c r="A31" s="3"/>
      <c r="B31" s="2" t="s">
        <v>73</v>
      </c>
      <c r="C31" s="6">
        <v>9</v>
      </c>
      <c r="D31" s="6">
        <v>9</v>
      </c>
    </row>
    <row r="32" spans="1:9" ht="15" x14ac:dyDescent="0.25">
      <c r="A32" s="3"/>
      <c r="B32" s="2" t="s">
        <v>74</v>
      </c>
      <c r="C32" s="6">
        <v>91</v>
      </c>
      <c r="D32" s="6">
        <v>89</v>
      </c>
      <c r="E32"/>
      <c r="F32"/>
      <c r="G32"/>
      <c r="H32"/>
      <c r="I32"/>
    </row>
    <row r="33" spans="1:9" ht="15" x14ac:dyDescent="0.25">
      <c r="A33" s="3" t="s">
        <v>229</v>
      </c>
      <c r="B33" s="2" t="s">
        <v>106</v>
      </c>
      <c r="C33" s="6">
        <v>800</v>
      </c>
      <c r="D33" s="6">
        <v>700</v>
      </c>
      <c r="E33"/>
      <c r="F33"/>
      <c r="G33"/>
      <c r="H33"/>
      <c r="I33"/>
    </row>
    <row r="34" spans="1:9" ht="15" x14ac:dyDescent="0.25">
      <c r="A34" s="3"/>
      <c r="B34" s="2" t="s">
        <v>57</v>
      </c>
      <c r="C34" s="6">
        <v>22</v>
      </c>
      <c r="D34" s="6">
        <v>43</v>
      </c>
      <c r="E34"/>
      <c r="F34"/>
      <c r="G34"/>
      <c r="H34"/>
      <c r="I34"/>
    </row>
    <row r="35" spans="1:9" ht="15" x14ac:dyDescent="0.25">
      <c r="A35" s="3"/>
      <c r="B35" s="2" t="s">
        <v>75</v>
      </c>
      <c r="C35" s="6">
        <v>49</v>
      </c>
      <c r="D35" s="6">
        <v>52</v>
      </c>
      <c r="E35"/>
      <c r="F35"/>
      <c r="G35"/>
      <c r="H35"/>
      <c r="I35"/>
    </row>
    <row r="36" spans="1:9" ht="15" x14ac:dyDescent="0.25">
      <c r="A36" s="3"/>
      <c r="B36" s="2" t="s">
        <v>76</v>
      </c>
      <c r="C36" s="6">
        <v>50</v>
      </c>
      <c r="D36" s="6">
        <v>47</v>
      </c>
      <c r="E36"/>
      <c r="F36"/>
      <c r="G36"/>
      <c r="H36"/>
      <c r="I36"/>
    </row>
    <row r="37" spans="1:9" x14ac:dyDescent="0.2">
      <c r="A37" s="3"/>
      <c r="B37" s="2" t="s">
        <v>77</v>
      </c>
      <c r="C37" s="6">
        <v>0.1</v>
      </c>
      <c r="D37" s="6">
        <v>1</v>
      </c>
    </row>
    <row r="38" spans="1:9" x14ac:dyDescent="0.2">
      <c r="A38" s="3" t="s">
        <v>78</v>
      </c>
      <c r="B38" s="2" t="s">
        <v>106</v>
      </c>
      <c r="C38" s="6">
        <v>785</v>
      </c>
      <c r="D38" s="6">
        <v>700</v>
      </c>
    </row>
    <row r="39" spans="1:9" x14ac:dyDescent="0.2">
      <c r="A39" s="3"/>
      <c r="B39" s="2" t="s">
        <v>57</v>
      </c>
      <c r="C39" s="6">
        <v>0.05</v>
      </c>
      <c r="D39" s="6">
        <v>0.8</v>
      </c>
    </row>
    <row r="40" spans="1:9" x14ac:dyDescent="0.2">
      <c r="A40" s="3" t="s">
        <v>79</v>
      </c>
      <c r="B40" s="2" t="s">
        <v>106</v>
      </c>
      <c r="C40" s="6">
        <v>760</v>
      </c>
      <c r="D40" s="6">
        <v>700</v>
      </c>
    </row>
    <row r="41" spans="1:9" ht="15" x14ac:dyDescent="0.25">
      <c r="A41" s="3"/>
      <c r="B41" s="2" t="s">
        <v>57</v>
      </c>
      <c r="C41" s="6">
        <v>0.6</v>
      </c>
      <c r="D41" s="6">
        <v>3.1</v>
      </c>
      <c r="E41"/>
    </row>
    <row r="42" spans="1:9" ht="15" x14ac:dyDescent="0.25">
      <c r="A42" s="3"/>
      <c r="B42" s="2" t="s">
        <v>80</v>
      </c>
      <c r="C42" s="6">
        <v>0.2</v>
      </c>
      <c r="D42" s="6">
        <v>0.2</v>
      </c>
      <c r="E42"/>
    </row>
    <row r="43" spans="1:9" ht="15" x14ac:dyDescent="0.25">
      <c r="A43" s="3"/>
      <c r="B43" s="2" t="s">
        <v>81</v>
      </c>
      <c r="C43" s="6">
        <v>99.8</v>
      </c>
      <c r="D43" s="6">
        <v>99.8</v>
      </c>
      <c r="E43"/>
    </row>
    <row r="44" spans="1:9" x14ac:dyDescent="0.2">
      <c r="A44" s="3" t="s">
        <v>82</v>
      </c>
      <c r="B44" s="2" t="s">
        <v>106</v>
      </c>
      <c r="C44" s="6">
        <v>795</v>
      </c>
      <c r="D44" s="6">
        <v>700</v>
      </c>
    </row>
    <row r="45" spans="1:9" x14ac:dyDescent="0.2">
      <c r="A45" s="3"/>
      <c r="B45" s="2" t="s">
        <v>57</v>
      </c>
      <c r="C45" s="6">
        <v>6.6</v>
      </c>
      <c r="D45" s="6">
        <v>29.7</v>
      </c>
    </row>
    <row r="46" spans="1:9" ht="15" x14ac:dyDescent="0.25">
      <c r="A46" s="3" t="s">
        <v>267</v>
      </c>
      <c r="B46" s="2" t="s">
        <v>106</v>
      </c>
      <c r="C46" s="6">
        <v>790</v>
      </c>
      <c r="D46" s="6">
        <v>700</v>
      </c>
      <c r="E46"/>
      <c r="F46"/>
      <c r="G46"/>
      <c r="H46"/>
    </row>
    <row r="47" spans="1:9" ht="15" x14ac:dyDescent="0.25">
      <c r="A47" s="3"/>
      <c r="B47" s="2" t="s">
        <v>57</v>
      </c>
      <c r="C47" s="6">
        <v>1.6</v>
      </c>
      <c r="D47" s="6">
        <v>2.2999999999999998</v>
      </c>
      <c r="E47"/>
      <c r="F47"/>
      <c r="G47"/>
      <c r="H47"/>
    </row>
    <row r="48" spans="1:9" ht="15" x14ac:dyDescent="0.25">
      <c r="A48" s="3"/>
      <c r="B48" s="2" t="s">
        <v>83</v>
      </c>
      <c r="C48" s="6">
        <v>22</v>
      </c>
      <c r="D48" s="6">
        <v>19</v>
      </c>
      <c r="E48"/>
      <c r="F48"/>
      <c r="G48"/>
      <c r="H48"/>
    </row>
    <row r="49" spans="1:11" ht="15" x14ac:dyDescent="0.25">
      <c r="A49" s="3"/>
      <c r="B49" s="2" t="s">
        <v>84</v>
      </c>
      <c r="C49" s="6">
        <v>23</v>
      </c>
      <c r="D49" s="6">
        <v>28</v>
      </c>
      <c r="E49"/>
      <c r="F49"/>
      <c r="G49"/>
      <c r="H49"/>
    </row>
    <row r="50" spans="1:11" ht="15" x14ac:dyDescent="0.25">
      <c r="A50" s="3"/>
      <c r="B50" s="2" t="s">
        <v>85</v>
      </c>
      <c r="C50" s="6">
        <v>49</v>
      </c>
      <c r="D50" s="6">
        <v>35</v>
      </c>
      <c r="E50"/>
      <c r="F50"/>
      <c r="G50"/>
      <c r="H50"/>
    </row>
    <row r="51" spans="1:11" x14ac:dyDescent="0.2">
      <c r="A51" s="3"/>
      <c r="B51" s="2" t="s">
        <v>86</v>
      </c>
      <c r="C51" s="6">
        <v>4</v>
      </c>
      <c r="D51" s="6">
        <v>16</v>
      </c>
    </row>
    <row r="52" spans="1:11" x14ac:dyDescent="0.2">
      <c r="A52" s="3"/>
      <c r="B52" s="2" t="s">
        <v>87</v>
      </c>
      <c r="C52" s="6">
        <v>3</v>
      </c>
      <c r="D52" s="6">
        <v>3</v>
      </c>
    </row>
    <row r="53" spans="1:11" x14ac:dyDescent="0.2">
      <c r="A53" s="3" t="s">
        <v>183</v>
      </c>
      <c r="B53" s="2" t="s">
        <v>106</v>
      </c>
      <c r="C53" s="6">
        <v>650</v>
      </c>
      <c r="D53" s="6">
        <v>650</v>
      </c>
    </row>
    <row r="54" spans="1:11" x14ac:dyDescent="0.2">
      <c r="A54" s="3"/>
      <c r="B54" s="2" t="s">
        <v>57</v>
      </c>
      <c r="C54" s="6">
        <v>0.96</v>
      </c>
      <c r="D54" s="6">
        <v>0.96</v>
      </c>
    </row>
    <row r="55" spans="1:11" ht="15" x14ac:dyDescent="0.25">
      <c r="A55" s="3" t="s">
        <v>184</v>
      </c>
      <c r="B55" s="2" t="s">
        <v>106</v>
      </c>
      <c r="C55" s="6">
        <v>650</v>
      </c>
      <c r="D55" s="6">
        <v>650</v>
      </c>
      <c r="F55"/>
      <c r="G55"/>
      <c r="H55"/>
      <c r="I55"/>
      <c r="J55"/>
      <c r="K55"/>
    </row>
    <row r="56" spans="1:11" ht="15" x14ac:dyDescent="0.25">
      <c r="A56" s="3"/>
      <c r="B56" s="2" t="s">
        <v>57</v>
      </c>
      <c r="C56" s="6">
        <v>0.9</v>
      </c>
      <c r="D56" s="6">
        <v>0.1</v>
      </c>
      <c r="F56"/>
      <c r="G56"/>
      <c r="H56"/>
      <c r="I56"/>
      <c r="J56"/>
      <c r="K56"/>
    </row>
    <row r="57" spans="1:11" ht="15" x14ac:dyDescent="0.25">
      <c r="A57" s="3"/>
      <c r="B57" s="2" t="s">
        <v>75</v>
      </c>
      <c r="C57" s="6">
        <v>20</v>
      </c>
      <c r="D57" s="6">
        <v>24</v>
      </c>
      <c r="F57"/>
      <c r="G57"/>
      <c r="H57"/>
      <c r="I57"/>
      <c r="J57"/>
      <c r="K57"/>
    </row>
    <row r="58" spans="1:11" ht="15" x14ac:dyDescent="0.25">
      <c r="A58" s="3"/>
      <c r="B58" s="2" t="s">
        <v>76</v>
      </c>
      <c r="C58" s="6">
        <v>0.8</v>
      </c>
      <c r="D58" s="6">
        <v>0.7</v>
      </c>
      <c r="F58"/>
      <c r="G58"/>
      <c r="H58"/>
      <c r="I58"/>
      <c r="J58"/>
      <c r="K58"/>
    </row>
    <row r="59" spans="1:11" ht="15" x14ac:dyDescent="0.25">
      <c r="A59" s="3"/>
      <c r="B59" s="2" t="s">
        <v>77</v>
      </c>
      <c r="C59" s="6">
        <v>79</v>
      </c>
      <c r="D59" s="6">
        <v>76</v>
      </c>
      <c r="F59"/>
      <c r="G59"/>
      <c r="H59"/>
      <c r="I59"/>
      <c r="J59"/>
      <c r="K59"/>
    </row>
    <row r="60" spans="1:11" x14ac:dyDescent="0.2">
      <c r="A60" s="3" t="s">
        <v>88</v>
      </c>
      <c r="B60" s="2" t="s">
        <v>106</v>
      </c>
      <c r="C60" s="6">
        <v>800</v>
      </c>
      <c r="D60" s="6">
        <v>700</v>
      </c>
    </row>
    <row r="61" spans="1:11" x14ac:dyDescent="0.2">
      <c r="A61" s="3"/>
      <c r="B61" s="2" t="s">
        <v>57</v>
      </c>
      <c r="C61" s="6">
        <v>2.2999999999999998</v>
      </c>
      <c r="D61" s="6">
        <v>5.6</v>
      </c>
    </row>
    <row r="63" spans="1:11" x14ac:dyDescent="0.2">
      <c r="A63" s="1" t="s">
        <v>232</v>
      </c>
    </row>
    <row r="64" spans="1:11" x14ac:dyDescent="0.2">
      <c r="A64" s="1" t="s">
        <v>156</v>
      </c>
    </row>
    <row r="65" spans="1:5" x14ac:dyDescent="0.2">
      <c r="A65" s="1" t="s">
        <v>275</v>
      </c>
    </row>
    <row r="66" spans="1:5" ht="16.5" x14ac:dyDescent="0.25">
      <c r="A66" s="1" t="s">
        <v>167</v>
      </c>
    </row>
    <row r="67" spans="1:5" ht="14.25" x14ac:dyDescent="0.25">
      <c r="A67" s="1" t="s">
        <v>268</v>
      </c>
    </row>
    <row r="68" spans="1:5" ht="15.75" x14ac:dyDescent="0.25">
      <c r="A68" s="27"/>
      <c r="B68" s="3"/>
      <c r="C68" s="3"/>
      <c r="D68" s="3"/>
      <c r="E68" s="9"/>
    </row>
    <row r="69" spans="1:5" x14ac:dyDescent="0.2">
      <c r="A69" s="3"/>
      <c r="B69" s="3"/>
      <c r="C69" s="3"/>
      <c r="D69" s="3"/>
      <c r="E69" s="9"/>
    </row>
    <row r="70" spans="1:5" x14ac:dyDescent="0.2">
      <c r="A70" s="3"/>
      <c r="B70" s="3"/>
      <c r="C70" s="3"/>
      <c r="D70" s="3"/>
      <c r="E70" s="9"/>
    </row>
    <row r="71" spans="1:5" x14ac:dyDescent="0.2">
      <c r="A71" s="3"/>
      <c r="B71" s="3"/>
      <c r="C71" s="3"/>
      <c r="D71" s="3"/>
      <c r="E71" s="9"/>
    </row>
    <row r="72" spans="1:5" x14ac:dyDescent="0.2">
      <c r="A72" s="3"/>
      <c r="B72" s="3"/>
      <c r="C72" s="9"/>
      <c r="D72" s="9"/>
      <c r="E72" s="9"/>
    </row>
    <row r="73" spans="1:5" x14ac:dyDescent="0.2">
      <c r="A73" s="3"/>
      <c r="B73" s="3"/>
      <c r="C73" s="9"/>
      <c r="D73" s="9"/>
      <c r="E73" s="9"/>
    </row>
    <row r="74" spans="1:5" x14ac:dyDescent="0.2">
      <c r="A74" s="3"/>
      <c r="B74" s="3"/>
      <c r="C74" s="9"/>
      <c r="D74" s="9"/>
      <c r="E74" s="9"/>
    </row>
    <row r="75" spans="1:5" x14ac:dyDescent="0.2">
      <c r="A75" s="3"/>
      <c r="B75" s="3"/>
      <c r="C75" s="9"/>
      <c r="D75" s="9"/>
      <c r="E75" s="9"/>
    </row>
    <row r="76" spans="1:5" x14ac:dyDescent="0.2">
      <c r="A76" s="3"/>
      <c r="B76" s="3"/>
      <c r="C76" s="10"/>
      <c r="D76" s="10"/>
      <c r="E76" s="9"/>
    </row>
    <row r="77" spans="1:5" x14ac:dyDescent="0.2">
      <c r="A77" s="3"/>
      <c r="B77" s="3"/>
      <c r="C77" s="10"/>
      <c r="D77" s="10"/>
      <c r="E77" s="9"/>
    </row>
    <row r="78" spans="1:5" x14ac:dyDescent="0.2">
      <c r="A78" s="3"/>
      <c r="B78" s="3"/>
      <c r="C78" s="10"/>
      <c r="D78" s="10"/>
      <c r="E78" s="9"/>
    </row>
    <row r="79" spans="1:5" x14ac:dyDescent="0.2">
      <c r="A79" s="3"/>
      <c r="B79" s="3"/>
      <c r="C79" s="9"/>
      <c r="D79" s="9"/>
      <c r="E79" s="9"/>
    </row>
    <row r="80" spans="1:5" x14ac:dyDescent="0.2">
      <c r="A80" s="3"/>
      <c r="B80" s="3"/>
      <c r="C80" s="9"/>
      <c r="D80" s="10"/>
      <c r="E80" s="9"/>
    </row>
    <row r="81" spans="1:5" x14ac:dyDescent="0.2">
      <c r="A81" s="3"/>
      <c r="B81" s="3"/>
      <c r="C81" s="9"/>
      <c r="D81" s="10"/>
      <c r="E81" s="9"/>
    </row>
    <row r="82" spans="1:5" x14ac:dyDescent="0.2">
      <c r="A82" s="3"/>
      <c r="B82" s="3"/>
      <c r="C82" s="9"/>
      <c r="D82" s="10"/>
      <c r="E82" s="9"/>
    </row>
    <row r="83" spans="1:5" x14ac:dyDescent="0.2">
      <c r="A83" s="3"/>
      <c r="B83" s="3"/>
      <c r="C83" s="9"/>
      <c r="D83" s="10"/>
      <c r="E83" s="9"/>
    </row>
    <row r="84" spans="1:5" x14ac:dyDescent="0.2">
      <c r="A84" s="3"/>
      <c r="B84" s="3"/>
      <c r="C84" s="9"/>
      <c r="D84" s="10"/>
      <c r="E84" s="9"/>
    </row>
    <row r="85" spans="1:5" x14ac:dyDescent="0.2">
      <c r="A85" s="3"/>
      <c r="B85" s="3"/>
      <c r="C85" s="9"/>
      <c r="D85" s="10"/>
      <c r="E85" s="9"/>
    </row>
    <row r="86" spans="1:5" x14ac:dyDescent="0.2">
      <c r="A86" s="3"/>
      <c r="B86" s="3"/>
      <c r="C86" s="9"/>
      <c r="D86" s="10"/>
      <c r="E86" s="9"/>
    </row>
    <row r="87" spans="1:5" x14ac:dyDescent="0.2">
      <c r="A87" s="3"/>
      <c r="B87" s="3"/>
      <c r="C87" s="9"/>
      <c r="D87" s="10"/>
      <c r="E87" s="9"/>
    </row>
    <row r="88" spans="1:5" x14ac:dyDescent="0.2">
      <c r="A88" s="3"/>
      <c r="B88" s="3"/>
      <c r="C88" s="9"/>
      <c r="D88" s="10"/>
      <c r="E88" s="9"/>
    </row>
    <row r="89" spans="1:5" x14ac:dyDescent="0.2">
      <c r="A89" s="3"/>
      <c r="B89" s="3"/>
      <c r="C89" s="9"/>
      <c r="D89" s="10"/>
      <c r="E89" s="9"/>
    </row>
    <row r="90" spans="1:5" x14ac:dyDescent="0.2">
      <c r="A90" s="3"/>
      <c r="B90" s="3"/>
      <c r="C90" s="9"/>
      <c r="D90" s="10"/>
      <c r="E90" s="9"/>
    </row>
    <row r="91" spans="1:5" x14ac:dyDescent="0.2">
      <c r="A91" s="3"/>
      <c r="B91" s="3"/>
      <c r="C91" s="9"/>
      <c r="D91" s="10"/>
      <c r="E91" s="9"/>
    </row>
    <row r="92" spans="1:5" x14ac:dyDescent="0.2">
      <c r="A92" s="3"/>
      <c r="B92" s="3"/>
      <c r="C92" s="9"/>
      <c r="D92" s="9"/>
      <c r="E92" s="9"/>
    </row>
    <row r="93" spans="1:5" x14ac:dyDescent="0.2">
      <c r="A93" s="3"/>
      <c r="B93" s="3"/>
      <c r="C93" s="10"/>
      <c r="D93" s="10"/>
      <c r="E93" s="9"/>
    </row>
    <row r="94" spans="1:5" x14ac:dyDescent="0.2">
      <c r="A94" s="3"/>
      <c r="B94" s="3"/>
      <c r="C94" s="10"/>
      <c r="D94" s="10"/>
      <c r="E94" s="9"/>
    </row>
    <row r="95" spans="1:5" x14ac:dyDescent="0.2">
      <c r="A95" s="3"/>
      <c r="B95" s="3"/>
      <c r="C95" s="10"/>
      <c r="D95" s="10"/>
      <c r="E95" s="9"/>
    </row>
    <row r="96" spans="1:5" x14ac:dyDescent="0.2">
      <c r="A96" s="3"/>
      <c r="B96" s="3"/>
      <c r="C96" s="10"/>
      <c r="D96" s="10"/>
      <c r="E96" s="9"/>
    </row>
    <row r="97" spans="1:5" x14ac:dyDescent="0.2">
      <c r="A97" s="3"/>
      <c r="B97" s="3"/>
      <c r="C97" s="10"/>
      <c r="D97" s="10"/>
      <c r="E97" s="9"/>
    </row>
    <row r="98" spans="1:5" x14ac:dyDescent="0.2">
      <c r="A98" s="3"/>
      <c r="B98" s="3"/>
      <c r="C98" s="10"/>
      <c r="D98" s="10"/>
      <c r="E98" s="9"/>
    </row>
    <row r="99" spans="1:5" x14ac:dyDescent="0.2">
      <c r="A99" s="3"/>
      <c r="B99" s="3"/>
      <c r="C99" s="10"/>
      <c r="D99" s="10"/>
      <c r="E99" s="9"/>
    </row>
    <row r="100" spans="1:5" x14ac:dyDescent="0.2">
      <c r="A100" s="3"/>
      <c r="B100" s="3"/>
      <c r="C100" s="10"/>
      <c r="D100" s="10"/>
      <c r="E100" s="9"/>
    </row>
    <row r="101" spans="1:5" x14ac:dyDescent="0.2">
      <c r="A101" s="3"/>
      <c r="B101" s="3"/>
      <c r="C101" s="9"/>
      <c r="D101" s="9"/>
      <c r="E101" s="9"/>
    </row>
    <row r="102" spans="1:5" x14ac:dyDescent="0.2">
      <c r="A102" s="3"/>
      <c r="B102" s="3"/>
      <c r="C102" s="10"/>
      <c r="D102" s="10"/>
      <c r="E102" s="9"/>
    </row>
    <row r="103" spans="1:5" x14ac:dyDescent="0.2">
      <c r="A103" s="3"/>
      <c r="B103" s="3"/>
      <c r="C103" s="9"/>
      <c r="D103" s="9"/>
      <c r="E103" s="9"/>
    </row>
    <row r="104" spans="1:5" x14ac:dyDescent="0.2">
      <c r="A104" s="3"/>
      <c r="B104" s="3"/>
      <c r="C104" s="9"/>
      <c r="D104" s="9"/>
      <c r="E104" s="9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workbookViewId="0"/>
  </sheetViews>
  <sheetFormatPr defaultColWidth="11.42578125" defaultRowHeight="12.75" x14ac:dyDescent="0.2"/>
  <cols>
    <col min="1" max="1" width="11.42578125" style="1"/>
    <col min="2" max="2" width="12.42578125" style="6" bestFit="1" customWidth="1"/>
    <col min="3" max="6" width="11.42578125" style="6"/>
    <col min="7" max="7" width="12.140625" style="6" customWidth="1"/>
    <col min="8" max="16384" width="11.42578125" style="6"/>
  </cols>
  <sheetData>
    <row r="1" spans="1:9" s="1" customFormat="1" ht="15.75" x14ac:dyDescent="0.25">
      <c r="A1" s="26" t="s">
        <v>157</v>
      </c>
    </row>
    <row r="3" spans="1:9" s="1" customFormat="1" x14ac:dyDescent="0.2">
      <c r="A3" s="2" t="s">
        <v>89</v>
      </c>
      <c r="B3" s="3" t="s">
        <v>90</v>
      </c>
      <c r="C3" s="3"/>
      <c r="D3" s="3"/>
      <c r="E3" s="3"/>
      <c r="F3" s="3"/>
      <c r="G3" s="3"/>
      <c r="H3" s="3"/>
      <c r="I3" s="3"/>
    </row>
    <row r="4" spans="1:9" x14ac:dyDescent="0.2">
      <c r="A4" s="33"/>
      <c r="B4" s="13" t="s">
        <v>131</v>
      </c>
      <c r="C4" s="13" t="s">
        <v>91</v>
      </c>
      <c r="D4" s="13" t="s">
        <v>92</v>
      </c>
      <c r="E4" s="13" t="s">
        <v>93</v>
      </c>
      <c r="F4" s="13" t="s">
        <v>94</v>
      </c>
      <c r="G4" s="13" t="s">
        <v>105</v>
      </c>
      <c r="H4" s="13" t="s">
        <v>95</v>
      </c>
    </row>
    <row r="5" spans="1:9" x14ac:dyDescent="0.2">
      <c r="A5" s="34">
        <v>600</v>
      </c>
      <c r="B5" s="15">
        <v>32.782256203987302</v>
      </c>
      <c r="C5" s="15">
        <v>58.5503694270163</v>
      </c>
      <c r="D5" s="15">
        <v>104.573209931265</v>
      </c>
      <c r="E5" s="15">
        <v>186.771771764135</v>
      </c>
      <c r="F5" s="15">
        <v>333.58156215002703</v>
      </c>
      <c r="G5" s="15">
        <f>(0.5+0.0013*A5)</f>
        <v>1.2799999999999998</v>
      </c>
      <c r="H5" s="15">
        <f>500000/(EXP(10108/($A5+273.16)-1.16*(G5-1)-1.48))</f>
        <v>28.526114928741713</v>
      </c>
    </row>
    <row r="6" spans="1:9" x14ac:dyDescent="0.2">
      <c r="A6" s="32">
        <v>650</v>
      </c>
      <c r="B6" s="15">
        <v>61.3685124359016</v>
      </c>
      <c r="C6" s="15">
        <v>109.60652164848401</v>
      </c>
      <c r="D6" s="15">
        <v>195.761459925032</v>
      </c>
      <c r="E6" s="15">
        <v>349.63749068584701</v>
      </c>
      <c r="F6" s="15">
        <v>624.46599519594599</v>
      </c>
      <c r="G6" s="15">
        <f t="shared" ref="G6:G13" si="0">(0.5+0.0013*A5)</f>
        <v>1.2799999999999998</v>
      </c>
      <c r="H6" s="15">
        <f t="shared" ref="H6:H13" si="1">500000/(EXP(10108/($A6+273.16)-1.16*(G6-1)-1.48))</f>
        <v>53.400253085367638</v>
      </c>
    </row>
    <row r="7" spans="1:9" x14ac:dyDescent="0.2">
      <c r="A7" s="32">
        <v>700</v>
      </c>
      <c r="B7" s="15">
        <v>107.713555115525</v>
      </c>
      <c r="C7" s="15">
        <v>192.380548949044</v>
      </c>
      <c r="D7" s="15">
        <v>343.59905375178801</v>
      </c>
      <c r="E7" s="15">
        <v>613.68111477005198</v>
      </c>
      <c r="F7" s="15">
        <v>1096.05805520486</v>
      </c>
      <c r="G7" s="15">
        <f t="shared" si="0"/>
        <v>1.345</v>
      </c>
      <c r="H7" s="15">
        <f t="shared" si="1"/>
        <v>101.06684906102677</v>
      </c>
    </row>
    <row r="8" spans="1:9" x14ac:dyDescent="0.2">
      <c r="A8" s="32">
        <v>750</v>
      </c>
      <c r="B8" s="15">
        <v>178.94330812406901</v>
      </c>
      <c r="C8" s="15">
        <v>319.59962523513798</v>
      </c>
      <c r="D8" s="15">
        <v>570.81721312327795</v>
      </c>
      <c r="E8" s="15">
        <v>1019.50147957183</v>
      </c>
      <c r="F8" s="15">
        <v>1820.8688227218499</v>
      </c>
      <c r="G8" s="15">
        <f t="shared" si="0"/>
        <v>1.41</v>
      </c>
      <c r="H8" s="15">
        <f t="shared" si="1"/>
        <v>181.04861710269765</v>
      </c>
    </row>
    <row r="9" spans="1:9" x14ac:dyDescent="0.2">
      <c r="A9" s="32">
        <v>800</v>
      </c>
      <c r="B9" s="15">
        <v>283.54284418682698</v>
      </c>
      <c r="C9" s="15">
        <v>506.418416481853</v>
      </c>
      <c r="D9" s="15">
        <v>904.48275387618503</v>
      </c>
      <c r="E9" s="15">
        <v>1615.4409583735301</v>
      </c>
      <c r="F9" s="15">
        <v>2885.2396342628499</v>
      </c>
      <c r="G9" s="15">
        <f t="shared" si="0"/>
        <v>1.4750000000000001</v>
      </c>
      <c r="H9" s="15">
        <f t="shared" si="1"/>
        <v>309.3430967725958</v>
      </c>
    </row>
    <row r="10" spans="1:9" x14ac:dyDescent="0.2">
      <c r="A10" s="32">
        <v>850</v>
      </c>
      <c r="B10" s="15">
        <v>431.24440785255598</v>
      </c>
      <c r="C10" s="15">
        <v>770.21908547072201</v>
      </c>
      <c r="D10" s="15">
        <v>1375.6408867478899</v>
      </c>
      <c r="E10" s="15">
        <v>2456.94749064283</v>
      </c>
      <c r="F10" s="15">
        <v>4388.2026406230598</v>
      </c>
      <c r="G10" s="15">
        <f t="shared" si="0"/>
        <v>1.54</v>
      </c>
      <c r="H10" s="15">
        <f t="shared" si="1"/>
        <v>507.32667690686748</v>
      </c>
    </row>
    <row r="11" spans="1:9" x14ac:dyDescent="0.2">
      <c r="A11" s="32">
        <v>900</v>
      </c>
      <c r="B11" s="15">
        <v>632.856932466751</v>
      </c>
      <c r="C11" s="15">
        <v>1130.30680255222</v>
      </c>
      <c r="D11" s="15">
        <v>2018.7713878965001</v>
      </c>
      <c r="E11" s="15">
        <v>3605.6032816818101</v>
      </c>
      <c r="F11" s="15">
        <v>6439.7460271222999</v>
      </c>
      <c r="G11" s="15">
        <f t="shared" si="0"/>
        <v>1.605</v>
      </c>
      <c r="H11" s="15">
        <f t="shared" si="1"/>
        <v>802.80980088170236</v>
      </c>
    </row>
    <row r="12" spans="1:9" x14ac:dyDescent="0.2">
      <c r="A12" s="32">
        <v>950</v>
      </c>
      <c r="B12" s="15">
        <v>900.05387013259201</v>
      </c>
      <c r="C12" s="15">
        <v>1607.5308018021501</v>
      </c>
      <c r="D12" s="15">
        <v>2871.1117906331101</v>
      </c>
      <c r="E12" s="15">
        <v>5127.9159970503997</v>
      </c>
      <c r="F12" s="15">
        <v>9158.6550403900892</v>
      </c>
      <c r="G12" s="15">
        <f t="shared" si="0"/>
        <v>1.67</v>
      </c>
      <c r="H12" s="15">
        <f t="shared" si="1"/>
        <v>1231.1724173312168</v>
      </c>
    </row>
    <row r="13" spans="1:9" x14ac:dyDescent="0.2">
      <c r="A13" s="32">
        <v>1000</v>
      </c>
      <c r="B13" s="15">
        <v>1245.13642363701</v>
      </c>
      <c r="C13" s="15">
        <v>2223.8615041424</v>
      </c>
      <c r="D13" s="15">
        <v>3971.9021110639901</v>
      </c>
      <c r="E13" s="15">
        <v>7093.9698135376302</v>
      </c>
      <c r="F13" s="15">
        <v>12670.102713559099</v>
      </c>
      <c r="G13" s="15">
        <f t="shared" si="0"/>
        <v>1.7349999999999999</v>
      </c>
      <c r="H13" s="15">
        <f t="shared" si="1"/>
        <v>1836.584250197255</v>
      </c>
    </row>
    <row r="15" spans="1:9" x14ac:dyDescent="0.2">
      <c r="A15" s="1" t="s">
        <v>96</v>
      </c>
    </row>
    <row r="16" spans="1:9" x14ac:dyDescent="0.2">
      <c r="A16" s="1" t="s">
        <v>97</v>
      </c>
    </row>
    <row r="18" spans="1:7" ht="15.75" x14ac:dyDescent="0.25">
      <c r="A18" s="26" t="s">
        <v>158</v>
      </c>
    </row>
    <row r="20" spans="1:7" x14ac:dyDescent="0.2">
      <c r="A20" s="2" t="s">
        <v>89</v>
      </c>
      <c r="B20" s="3" t="s">
        <v>90</v>
      </c>
      <c r="C20" s="3"/>
      <c r="D20" s="3"/>
      <c r="E20" s="3"/>
      <c r="F20" s="3"/>
      <c r="G20" s="3"/>
    </row>
    <row r="21" spans="1:7" x14ac:dyDescent="0.2">
      <c r="A21" s="4"/>
      <c r="B21" s="5" t="s">
        <v>131</v>
      </c>
      <c r="C21" s="5" t="s">
        <v>91</v>
      </c>
      <c r="D21" s="5" t="s">
        <v>92</v>
      </c>
      <c r="E21" s="5" t="s">
        <v>93</v>
      </c>
      <c r="F21" s="5" t="s">
        <v>94</v>
      </c>
      <c r="G21" s="3"/>
    </row>
    <row r="22" spans="1:7" x14ac:dyDescent="0.2">
      <c r="A22" s="34">
        <v>600</v>
      </c>
      <c r="B22" s="15">
        <v>12.0404230834882</v>
      </c>
      <c r="C22" s="15">
        <v>18.416915797197301</v>
      </c>
      <c r="D22" s="15">
        <v>28.170337963140199</v>
      </c>
      <c r="E22" s="15">
        <v>43.089079067098901</v>
      </c>
      <c r="F22" s="15">
        <v>65.908642533152403</v>
      </c>
    </row>
    <row r="23" spans="1:7" x14ac:dyDescent="0.2">
      <c r="A23" s="32">
        <v>650</v>
      </c>
      <c r="B23" s="15">
        <v>26.801815935043201</v>
      </c>
      <c r="C23" s="15">
        <v>40.9958008838233</v>
      </c>
      <c r="D23" s="15">
        <v>62.706784278323497</v>
      </c>
      <c r="E23" s="15">
        <v>95.915696480021793</v>
      </c>
      <c r="F23" s="15">
        <v>146.71173043118199</v>
      </c>
    </row>
    <row r="24" spans="1:7" x14ac:dyDescent="0.2">
      <c r="A24" s="32">
        <v>700</v>
      </c>
      <c r="B24" s="15">
        <v>54.951000345986799</v>
      </c>
      <c r="C24" s="15">
        <v>84.052523680140396</v>
      </c>
      <c r="D24" s="15">
        <v>128.56593496967201</v>
      </c>
      <c r="E24" s="15">
        <v>196.65322242467499</v>
      </c>
      <c r="F24" s="15">
        <v>300.79888501671502</v>
      </c>
    </row>
    <row r="25" spans="1:7" x14ac:dyDescent="0.2">
      <c r="A25" s="32">
        <v>750</v>
      </c>
      <c r="B25" s="15">
        <v>105.029514502029</v>
      </c>
      <c r="C25" s="15">
        <v>160.65213916420001</v>
      </c>
      <c r="D25" s="15">
        <v>245.73197296398899</v>
      </c>
      <c r="E25" s="15">
        <v>375.86927165069801</v>
      </c>
      <c r="F25" s="15">
        <v>574.92603696275899</v>
      </c>
    </row>
    <row r="26" spans="1:7" x14ac:dyDescent="0.2">
      <c r="A26" s="32">
        <v>800</v>
      </c>
      <c r="B26" s="15">
        <v>188.98669469403799</v>
      </c>
      <c r="C26" s="15">
        <v>289.072237647848</v>
      </c>
      <c r="D26" s="15">
        <v>442.16212529680399</v>
      </c>
      <c r="E26" s="15">
        <v>676.32695079199004</v>
      </c>
      <c r="F26" s="15">
        <v>1034.5032244915701</v>
      </c>
    </row>
    <row r="27" spans="1:7" x14ac:dyDescent="0.2">
      <c r="A27" s="32">
        <v>850</v>
      </c>
      <c r="B27" s="15">
        <v>322.72783606869501</v>
      </c>
      <c r="C27" s="15">
        <v>493.64140620937002</v>
      </c>
      <c r="D27" s="15">
        <v>755.06916568701001</v>
      </c>
      <c r="E27" s="15">
        <v>1154.9465620180699</v>
      </c>
      <c r="F27" s="15">
        <v>1766.5951964860001</v>
      </c>
    </row>
    <row r="28" spans="1:7" x14ac:dyDescent="0.2">
      <c r="A28" s="32">
        <v>900</v>
      </c>
      <c r="B28" s="15">
        <v>526.53987511252899</v>
      </c>
      <c r="C28" s="15">
        <v>805.39034854287604</v>
      </c>
      <c r="D28" s="15">
        <v>1231.91736122053</v>
      </c>
      <c r="E28" s="15">
        <v>1884.32899353992</v>
      </c>
      <c r="F28" s="15">
        <v>2882.2515760125998</v>
      </c>
    </row>
    <row r="29" spans="1:7" x14ac:dyDescent="0.2">
      <c r="A29" s="32">
        <v>950</v>
      </c>
      <c r="B29" s="15">
        <v>825.36334308969595</v>
      </c>
      <c r="C29" s="15">
        <v>1262.46786233134</v>
      </c>
      <c r="D29" s="15">
        <v>1931.0587473549199</v>
      </c>
      <c r="E29" s="15">
        <v>2953.7289597612498</v>
      </c>
      <c r="F29" s="15">
        <v>4517.9955191330801</v>
      </c>
    </row>
    <row r="30" spans="1:7" x14ac:dyDescent="0.2">
      <c r="A30" s="32">
        <v>1000</v>
      </c>
      <c r="B30" s="15">
        <v>1248.8950495371701</v>
      </c>
      <c r="C30" s="15">
        <v>1910.2979029370799</v>
      </c>
      <c r="D30" s="15">
        <v>2921.9733710355999</v>
      </c>
      <c r="E30" s="15">
        <v>4469.4224748475599</v>
      </c>
      <c r="F30" s="15">
        <v>6836.3857989550097</v>
      </c>
    </row>
    <row r="31" spans="1:7" x14ac:dyDescent="0.2">
      <c r="A31" s="3"/>
      <c r="B31" s="17"/>
      <c r="C31" s="17"/>
      <c r="D31" s="17"/>
      <c r="E31" s="17"/>
      <c r="F31" s="17"/>
    </row>
    <row r="32" spans="1:7" x14ac:dyDescent="0.2">
      <c r="A32" s="1" t="s">
        <v>104</v>
      </c>
      <c r="B32" s="17"/>
      <c r="C32" s="17"/>
      <c r="D32" s="17"/>
      <c r="E32" s="17"/>
      <c r="F32" s="17"/>
    </row>
    <row r="33" spans="1:6" x14ac:dyDescent="0.2">
      <c r="A33" s="1" t="s">
        <v>152</v>
      </c>
      <c r="B33" s="17"/>
      <c r="C33" s="17"/>
      <c r="D33" s="17"/>
      <c r="E33" s="17"/>
      <c r="F33" s="17"/>
    </row>
    <row r="34" spans="1:6" x14ac:dyDescent="0.2">
      <c r="A34" s="3"/>
      <c r="B34" s="17"/>
      <c r="C34" s="17"/>
      <c r="D34" s="17"/>
      <c r="E34" s="17"/>
      <c r="F34" s="17"/>
    </row>
    <row r="35" spans="1:6" x14ac:dyDescent="0.2">
      <c r="A35" s="3"/>
      <c r="B35" s="17"/>
      <c r="C35" s="17"/>
      <c r="D35" s="17"/>
      <c r="E35" s="17"/>
      <c r="F35" s="17"/>
    </row>
    <row r="36" spans="1:6" x14ac:dyDescent="0.2">
      <c r="A36" s="3"/>
      <c r="B36" s="17"/>
      <c r="C36" s="17"/>
      <c r="D36" s="17"/>
      <c r="E36" s="17"/>
      <c r="F36" s="17"/>
    </row>
    <row r="37" spans="1:6" x14ac:dyDescent="0.2">
      <c r="A37" s="3"/>
      <c r="B37" s="16"/>
      <c r="C37" s="16"/>
      <c r="D37" s="16"/>
      <c r="E37" s="16"/>
      <c r="F37" s="16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Normal="100" workbookViewId="0"/>
  </sheetViews>
  <sheetFormatPr defaultColWidth="11.42578125" defaultRowHeight="12.75" x14ac:dyDescent="0.2"/>
  <cols>
    <col min="1" max="1" width="21.5703125" style="7" customWidth="1"/>
    <col min="2" max="2" width="11.42578125" style="7"/>
    <col min="3" max="3" width="11.85546875" style="7" customWidth="1"/>
    <col min="4" max="4" width="11.42578125" style="7"/>
    <col min="5" max="5" width="17" style="7" customWidth="1"/>
    <col min="6" max="6" width="12.5703125" style="7" customWidth="1"/>
    <col min="7" max="8" width="11.42578125" style="7"/>
    <col min="9" max="9" width="13.42578125" style="7" customWidth="1"/>
    <col min="10" max="16384" width="11.42578125" style="7"/>
  </cols>
  <sheetData>
    <row r="1" spans="1:10" s="57" customFormat="1" ht="15.75" x14ac:dyDescent="0.25">
      <c r="A1" s="50" t="s">
        <v>196</v>
      </c>
    </row>
    <row r="2" spans="1:10" ht="29.25" x14ac:dyDescent="0.25">
      <c r="A2" s="62" t="s">
        <v>189</v>
      </c>
      <c r="B2" s="63" t="s">
        <v>113</v>
      </c>
      <c r="C2" s="64" t="s">
        <v>202</v>
      </c>
      <c r="D2" s="65"/>
      <c r="E2" s="52" t="s">
        <v>203</v>
      </c>
      <c r="F2" s="52" t="s">
        <v>204</v>
      </c>
    </row>
    <row r="3" spans="1:10" x14ac:dyDescent="0.2">
      <c r="A3" s="66"/>
      <c r="B3" s="67" t="s">
        <v>53</v>
      </c>
      <c r="C3" s="68" t="s">
        <v>169</v>
      </c>
      <c r="D3" s="65"/>
      <c r="E3" s="68" t="s">
        <v>169</v>
      </c>
      <c r="F3" s="68" t="s">
        <v>169</v>
      </c>
    </row>
    <row r="4" spans="1:10" x14ac:dyDescent="0.2">
      <c r="A4" s="69" t="s">
        <v>262</v>
      </c>
      <c r="B4" s="70" t="s">
        <v>4</v>
      </c>
      <c r="C4" s="71" t="s">
        <v>4</v>
      </c>
      <c r="D4" s="56"/>
      <c r="E4" s="7" t="s">
        <v>269</v>
      </c>
      <c r="F4" s="7" t="s">
        <v>270</v>
      </c>
    </row>
    <row r="5" spans="1:10" x14ac:dyDescent="0.2">
      <c r="A5" s="72" t="s">
        <v>192</v>
      </c>
      <c r="B5" s="73">
        <v>750</v>
      </c>
      <c r="C5" s="7">
        <v>0.98</v>
      </c>
      <c r="E5" s="51">
        <f>6.56+C5</f>
        <v>7.5399999999999991</v>
      </c>
      <c r="F5" s="51">
        <f>6.23+C5</f>
        <v>7.2100000000000009</v>
      </c>
    </row>
    <row r="6" spans="1:10" x14ac:dyDescent="0.2">
      <c r="A6" s="74" t="s">
        <v>192</v>
      </c>
      <c r="B6" s="75">
        <v>700</v>
      </c>
      <c r="C6" s="76">
        <v>1.0900000000000001</v>
      </c>
      <c r="D6" s="76"/>
      <c r="E6" s="77">
        <f>6.56+C6</f>
        <v>7.6499999999999995</v>
      </c>
      <c r="F6" s="77">
        <f>6.23+C6</f>
        <v>7.32</v>
      </c>
    </row>
    <row r="7" spans="1:10" x14ac:dyDescent="0.2">
      <c r="A7" s="78" t="s">
        <v>174</v>
      </c>
    </row>
    <row r="8" spans="1:10" x14ac:dyDescent="0.2">
      <c r="A8" s="78" t="s">
        <v>188</v>
      </c>
    </row>
    <row r="9" spans="1:10" x14ac:dyDescent="0.2">
      <c r="A9" s="78" t="s">
        <v>153</v>
      </c>
    </row>
    <row r="10" spans="1:10" x14ac:dyDescent="0.2">
      <c r="D10" s="51"/>
      <c r="E10" s="51"/>
      <c r="F10" s="51"/>
      <c r="G10" s="51"/>
    </row>
    <row r="11" spans="1:10" s="57" customFormat="1" ht="15.75" x14ac:dyDescent="0.25">
      <c r="A11" s="50" t="s">
        <v>271</v>
      </c>
      <c r="D11" s="58"/>
      <c r="E11" s="58"/>
      <c r="F11" s="58"/>
      <c r="G11" s="58"/>
    </row>
    <row r="12" spans="1:10" s="56" customFormat="1" ht="30.75" x14ac:dyDescent="0.25">
      <c r="A12" s="49" t="s">
        <v>201</v>
      </c>
      <c r="B12" s="61" t="s">
        <v>193</v>
      </c>
      <c r="C12" s="59" t="s">
        <v>200</v>
      </c>
      <c r="D12" s="81" t="s">
        <v>194</v>
      </c>
      <c r="E12" s="81" t="s">
        <v>195</v>
      </c>
      <c r="F12" s="52" t="s">
        <v>231</v>
      </c>
      <c r="G12" s="52" t="s">
        <v>199</v>
      </c>
      <c r="H12" s="52" t="s">
        <v>206</v>
      </c>
      <c r="I12" s="52" t="s">
        <v>231</v>
      </c>
      <c r="J12" s="52" t="s">
        <v>199</v>
      </c>
    </row>
    <row r="13" spans="1:10" ht="14.25" x14ac:dyDescent="0.25">
      <c r="A13" s="79" t="s">
        <v>205</v>
      </c>
      <c r="B13" s="60">
        <v>50</v>
      </c>
      <c r="C13" s="53">
        <v>15.295565902230837</v>
      </c>
      <c r="D13" s="47">
        <f>C13-0.75</f>
        <v>14.545565902230837</v>
      </c>
      <c r="E13" s="47">
        <f>5.8*0.5+D13*0.5</f>
        <v>10.172782951115419</v>
      </c>
      <c r="F13" s="54">
        <f>E13+1</f>
        <v>11.172782951115419</v>
      </c>
      <c r="G13" s="55">
        <v>0.5</v>
      </c>
      <c r="H13" s="47">
        <f>5.8*0.2+D13*0.8</f>
        <v>12.796452721784672</v>
      </c>
      <c r="I13" s="54">
        <f>H13+1</f>
        <v>13.796452721784672</v>
      </c>
      <c r="J13" s="55">
        <v>0.5</v>
      </c>
    </row>
    <row r="14" spans="1:10" x14ac:dyDescent="0.2">
      <c r="A14" s="48"/>
      <c r="B14" s="60">
        <v>75</v>
      </c>
      <c r="C14" s="53">
        <v>12.548839825879263</v>
      </c>
      <c r="D14" s="47">
        <f t="shared" ref="D14:D18" si="0">C14-0.75</f>
        <v>11.798839825879263</v>
      </c>
      <c r="E14" s="47">
        <f t="shared" ref="E14:E18" si="1">5.8*0.5+D14*0.5</f>
        <v>8.7994199129396318</v>
      </c>
      <c r="F14" s="54">
        <f t="shared" ref="F14:F18" si="2">E14+1</f>
        <v>9.7994199129396318</v>
      </c>
      <c r="G14" s="55">
        <v>0.5</v>
      </c>
      <c r="H14" s="47">
        <f t="shared" ref="H14:H18" si="3">5.8*0.2+D14*0.8</f>
        <v>10.599071860703411</v>
      </c>
      <c r="I14" s="54">
        <f t="shared" ref="I14:I18" si="4">H14+1</f>
        <v>11.599071860703411</v>
      </c>
      <c r="J14" s="55">
        <v>0.5</v>
      </c>
    </row>
    <row r="15" spans="1:10" x14ac:dyDescent="0.2">
      <c r="A15" s="48"/>
      <c r="B15" s="60">
        <v>100</v>
      </c>
      <c r="C15" s="53">
        <v>10.216440353589299</v>
      </c>
      <c r="D15" s="47">
        <f t="shared" si="0"/>
        <v>9.4664403535892987</v>
      </c>
      <c r="E15" s="47">
        <f t="shared" si="1"/>
        <v>7.6332201767946497</v>
      </c>
      <c r="F15" s="54">
        <f t="shared" si="2"/>
        <v>8.6332201767946497</v>
      </c>
      <c r="G15" s="55">
        <v>0.5</v>
      </c>
      <c r="H15" s="47">
        <f t="shared" si="3"/>
        <v>8.7331522828714387</v>
      </c>
      <c r="I15" s="54">
        <f t="shared" si="4"/>
        <v>9.7331522828714387</v>
      </c>
      <c r="J15" s="55">
        <v>0.5</v>
      </c>
    </row>
    <row r="16" spans="1:10" x14ac:dyDescent="0.2">
      <c r="A16" s="48"/>
      <c r="B16" s="60">
        <v>125</v>
      </c>
      <c r="C16" s="53">
        <v>8.2121497187584396</v>
      </c>
      <c r="D16" s="47">
        <f t="shared" si="0"/>
        <v>7.4621497187584396</v>
      </c>
      <c r="E16" s="47">
        <f t="shared" si="1"/>
        <v>6.6310748593792201</v>
      </c>
      <c r="F16" s="54">
        <f t="shared" si="2"/>
        <v>7.6310748593792201</v>
      </c>
      <c r="G16" s="55">
        <v>0.5</v>
      </c>
      <c r="H16" s="47">
        <f t="shared" si="3"/>
        <v>7.1297197750067518</v>
      </c>
      <c r="I16" s="54">
        <f t="shared" si="4"/>
        <v>8.1297197750067518</v>
      </c>
      <c r="J16" s="55">
        <v>0.5</v>
      </c>
    </row>
    <row r="17" spans="1:10" x14ac:dyDescent="0.2">
      <c r="A17" s="48"/>
      <c r="B17" s="60">
        <v>150</v>
      </c>
      <c r="C17" s="53">
        <v>6.4719421916915358</v>
      </c>
      <c r="D17" s="47">
        <f t="shared" si="0"/>
        <v>5.7219421916915358</v>
      </c>
      <c r="E17" s="47">
        <f t="shared" si="1"/>
        <v>5.7609710958457683</v>
      </c>
      <c r="F17" s="54">
        <f t="shared" si="2"/>
        <v>6.7609710958457683</v>
      </c>
      <c r="G17" s="55">
        <v>0.5</v>
      </c>
      <c r="H17" s="47">
        <f t="shared" si="3"/>
        <v>5.7375537533532288</v>
      </c>
      <c r="I17" s="54">
        <f t="shared" si="4"/>
        <v>6.7375537533532288</v>
      </c>
      <c r="J17" s="55">
        <v>0.5</v>
      </c>
    </row>
    <row r="18" spans="1:10" x14ac:dyDescent="0.2">
      <c r="A18" s="48"/>
      <c r="B18" s="60">
        <v>175</v>
      </c>
      <c r="C18" s="53">
        <v>4.947315693539668</v>
      </c>
      <c r="D18" s="47">
        <f t="shared" si="0"/>
        <v>4.197315693539668</v>
      </c>
      <c r="E18" s="47">
        <f t="shared" si="1"/>
        <v>4.9986578467698344</v>
      </c>
      <c r="F18" s="54">
        <f t="shared" si="2"/>
        <v>5.9986578467698344</v>
      </c>
      <c r="G18" s="55">
        <v>0.5</v>
      </c>
      <c r="H18" s="47">
        <f t="shared" si="3"/>
        <v>4.5178525548317348</v>
      </c>
      <c r="I18" s="54">
        <f t="shared" si="4"/>
        <v>5.5178525548317348</v>
      </c>
      <c r="J18" s="55">
        <v>0.5</v>
      </c>
    </row>
    <row r="19" spans="1:10" x14ac:dyDescent="0.2">
      <c r="B19" s="55"/>
      <c r="C19" s="53"/>
      <c r="D19" s="47"/>
      <c r="E19" s="47"/>
      <c r="F19" s="54"/>
      <c r="G19" s="55"/>
      <c r="H19" s="56"/>
      <c r="I19" s="54"/>
      <c r="J19" s="55"/>
    </row>
    <row r="20" spans="1:10" x14ac:dyDescent="0.2">
      <c r="A20" s="80" t="s">
        <v>230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C019-F6CD-43C7-B435-B37C61807C5B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G49354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Anastassia</dc:creator>
  <cp:lastModifiedBy>Jennifer Olivarez</cp:lastModifiedBy>
  <dcterms:created xsi:type="dcterms:W3CDTF">2017-05-30T08:14:47Z</dcterms:created>
  <dcterms:modified xsi:type="dcterms:W3CDTF">2021-11-04T21:23:59Z</dcterms:modified>
</cp:coreProperties>
</file>