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4.xml" ContentType="application/vnd.openxmlformats-officedocument.drawing+xml"/>
  <Override PartName="/xl/comments1.xml" ContentType="application/vnd.openxmlformats-officedocument.spreadsheetml.comments+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5.xml" ContentType="application/vnd.openxmlformats-officedocument.drawing+xml"/>
  <Override PartName="/xl/comments2.xml" ContentType="application/vnd.openxmlformats-officedocument.spreadsheetml.comments+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6.xml" ContentType="application/vnd.openxmlformats-officedocument.drawing+xml"/>
  <Override PartName="/xl/comments3.xml" ContentType="application/vnd.openxmlformats-officedocument.spreadsheetml.comments+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7.xml" ContentType="application/vnd.openxmlformats-officedocument.drawing+xml"/>
  <Override PartName="/xl/comments4.xml" ContentType="application/vnd.openxmlformats-officedocument.spreadsheetml.comments+xml"/>
  <Override PartName="/xl/charts/chart30.xml" ContentType="application/vnd.openxmlformats-officedocument.drawingml.chart+xml"/>
  <Override PartName="/xl/charts/chart31.xml" ContentType="application/vnd.openxmlformats-officedocument.drawingml.chart+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9.xml" ContentType="application/vnd.openxmlformats-officedocument.drawing+xml"/>
  <Override PartName="/xl/comments7.xml" ContentType="application/vnd.openxmlformats-officedocument.spreadsheetml.comments+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0.xml" ContentType="application/vnd.openxmlformats-officedocument.drawing+xml"/>
  <Override PartName="/xl/comments8.xml" ContentType="application/vnd.openxmlformats-officedocument.spreadsheetml.comments+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11.xml" ContentType="application/vnd.openxmlformats-officedocument.drawing+xml"/>
  <Override PartName="/xl/comments9.xml" ContentType="application/vnd.openxmlformats-officedocument.spreadsheetml.comments+xml"/>
  <Override PartName="/xl/charts/chart42.xml" ContentType="application/vnd.openxmlformats-officedocument.drawingml.chart+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3.xml" ContentType="application/vnd.openxmlformats-officedocument.drawing+xml"/>
  <Override PartName="/xl/comments12.xml" ContentType="application/vnd.openxmlformats-officedocument.spreadsheetml.comments+xml"/>
  <Override PartName="/xl/charts/chart46.xml" ContentType="application/vnd.openxmlformats-officedocument.drawingml.chart+xml"/>
  <Override PartName="/xl/drawings/drawing14.xml" ContentType="application/vnd.openxmlformats-officedocument.drawing+xml"/>
  <Override PartName="/xl/comments13.xml" ContentType="application/vnd.openxmlformats-officedocument.spreadsheetml.comments+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5.xml" ContentType="application/vnd.openxmlformats-officedocument.drawing+xml"/>
  <Override PartName="/xl/comments14.xml" ContentType="application/vnd.openxmlformats-officedocument.spreadsheetml.comments+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6.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7.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8.xml" ContentType="application/vnd.openxmlformats-officedocument.drawing+xml"/>
  <Override PartName="/xl/comments22.xml" ContentType="application/vnd.openxmlformats-officedocument.spreadsheetml.comments+xml"/>
  <Override PartName="/xl/charts/chart65.xml" ContentType="application/vnd.openxmlformats-officedocument.drawingml.chart+xml"/>
  <Override PartName="/xl/comments23.xml" ContentType="application/vnd.openxmlformats-officedocument.spreadsheetml.comments+xml"/>
  <Override PartName="/xl/comments24.xml" ContentType="application/vnd.openxmlformats-officedocument.spreadsheetml.comments+xml"/>
  <Override PartName="/xl/drawings/drawing19.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20.xml" ContentType="application/vnd.openxmlformats-officedocument.drawing+xml"/>
  <Override PartName="/xl/charts/chart69.xml" ContentType="application/vnd.openxmlformats-officedocument.drawingml.chart+xml"/>
  <Override PartName="/xl/drawings/drawing21.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22.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23.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charts/style9.xml" ContentType="application/vnd.ms-office.chartstyle+xml"/>
  <Override PartName="/xl/charts/colors10.xml" ContentType="application/vnd.ms-office.chartcolorstyle+xml"/>
  <Override PartName="/xl/charts/style10.xml" ContentType="application/vnd.ms-office.chartstyle+xml"/>
  <Override PartName="/xl/charts/colors11.xml" ContentType="application/vnd.ms-office.chartcolorstyle+xml"/>
  <Override PartName="/xl/charts/style11.xml" ContentType="application/vnd.ms-office.chartstyle+xml"/>
  <Override PartName="/xl/charts/colors12.xml" ContentType="application/vnd.ms-office.chartcolorstyle+xml"/>
  <Override PartName="/xl/charts/style12.xml" ContentType="application/vnd.ms-office.chartstyle+xml"/>
  <Override PartName="/xl/charts/colors13.xml" ContentType="application/vnd.ms-office.chartcolorstyle+xml"/>
  <Override PartName="/xl/charts/style13.xml" ContentType="application/vnd.ms-office.chartstyle+xml"/>
  <Override PartName="/xl/charts/colors14.xml" ContentType="application/vnd.ms-office.chartcolorstyle+xml"/>
  <Override PartName="/xl/charts/style14.xml" ContentType="application/vnd.ms-office.chartstyle+xml"/>
  <Override PartName="/xl/charts/colors15.xml" ContentType="application/vnd.ms-office.chartcolorstyle+xml"/>
  <Override PartName="/xl/charts/style15.xml" ContentType="application/vnd.ms-office.chartstyle+xml"/>
  <Override PartName="/xl/charts/colors16.xml" ContentType="application/vnd.ms-office.chartcolorstyle+xml"/>
  <Override PartName="/xl/charts/style16.xml" ContentType="application/vnd.ms-office.chartstyle+xml"/>
  <Override PartName="/xl/charts/colors17.xml" ContentType="application/vnd.ms-office.chartcolorstyle+xml"/>
  <Override PartName="/xl/charts/style17.xml" ContentType="application/vnd.ms-office.chartstyle+xml"/>
  <Override PartName="/xl/charts/colors18.xml" ContentType="application/vnd.ms-office.chartcolorstyle+xml"/>
  <Override PartName="/xl/charts/style18.xml" ContentType="application/vnd.ms-office.chartstyle+xml"/>
  <Override PartName="/xl/charts/colors19.xml" ContentType="application/vnd.ms-office.chartcolorstyle+xml"/>
  <Override PartName="/xl/charts/style19.xml" ContentType="application/vnd.ms-office.chartstyle+xml"/>
  <Override PartName="/xl/charts/colors20.xml" ContentType="application/vnd.ms-office.chartcolorstyle+xml"/>
  <Override PartName="/xl/charts/style20.xml" ContentType="application/vnd.ms-office.chartstyle+xml"/>
  <Override PartName="/xl/charts/colors21.xml" ContentType="application/vnd.ms-office.chartcolorstyle+xml"/>
  <Override PartName="/xl/charts/style21.xml" ContentType="application/vnd.ms-office.chartstyle+xml"/>
  <Override PartName="/xl/charts/colors22.xml" ContentType="application/vnd.ms-office.chartcolorstyle+xml"/>
  <Override PartName="/xl/charts/style22.xml" ContentType="application/vnd.ms-office.chartstyle+xml"/>
  <Override PartName="/xl/charts/colors23.xml" ContentType="application/vnd.ms-office.chartcolorstyle+xml"/>
  <Override PartName="/xl/charts/style23.xml" ContentType="application/vnd.ms-office.chartstyle+xml"/>
  <Override PartName="/xl/charts/colors24.xml" ContentType="application/vnd.ms-office.chartcolorstyle+xml"/>
  <Override PartName="/xl/charts/style24.xml" ContentType="application/vnd.ms-office.chartstyle+xml"/>
  <Override PartName="/xl/charts/colors25.xml" ContentType="application/vnd.ms-office.chartcolorstyle+xml"/>
  <Override PartName="/xl/charts/style25.xml" ContentType="application/vnd.ms-office.chartstyle+xml"/>
  <Override PartName="/xl/charts/colors26.xml" ContentType="application/vnd.ms-office.chartcolorstyle+xml"/>
  <Override PartName="/xl/charts/style26.xml" ContentType="application/vnd.ms-office.chartstyle+xml"/>
  <Override PartName="/xl/charts/colors27.xml" ContentType="application/vnd.ms-office.chartcolorstyle+xml"/>
  <Override PartName="/xl/charts/style27.xml" ContentType="application/vnd.ms-office.chartstyle+xml"/>
  <Override PartName="/xl/charts/colors28.xml" ContentType="application/vnd.ms-office.chartcolorstyle+xml"/>
  <Override PartName="/xl/charts/style28.xml" ContentType="application/vnd.ms-office.chartstyle+xml"/>
  <Override PartName="/xl/charts/colors29.xml" ContentType="application/vnd.ms-office.chartcolorstyle+xml"/>
  <Override PartName="/xl/charts/style29.xml" ContentType="application/vnd.ms-office.chartstyle+xml"/>
  <Override PartName="/xl/charts/colors30.xml" ContentType="application/vnd.ms-office.chartcolorstyle+xml"/>
  <Override PartName="/xl/charts/style30.xml" ContentType="application/vnd.ms-office.chartstyle+xml"/>
  <Override PartName="/xl/charts/colors31.xml" ContentType="application/vnd.ms-office.chartcolorstyle+xml"/>
  <Override PartName="/xl/charts/style31.xml" ContentType="application/vnd.ms-office.chartstyle+xml"/>
  <Override PartName="/xl/charts/colors32.xml" ContentType="application/vnd.ms-office.chartcolorstyle+xml"/>
  <Override PartName="/xl/charts/style32.xml" ContentType="application/vnd.ms-office.chartstyle+xml"/>
  <Override PartName="/xl/charts/colors33.xml" ContentType="application/vnd.ms-office.chartcolorstyle+xml"/>
  <Override PartName="/xl/charts/style33.xml" ContentType="application/vnd.ms-office.chartstyle+xml"/>
  <Override PartName="/xl/charts/colors34.xml" ContentType="application/vnd.ms-office.chartcolorstyle+xml"/>
  <Override PartName="/xl/charts/style34.xml" ContentType="application/vnd.ms-office.chartstyle+xml"/>
  <Override PartName="/xl/charts/colors35.xml" ContentType="application/vnd.ms-office.chartcolorstyle+xml"/>
  <Override PartName="/xl/charts/style35.xml" ContentType="application/vnd.ms-office.chartstyle+xml"/>
  <Override PartName="/xl/charts/colors36.xml" ContentType="application/vnd.ms-office.chartcolorstyle+xml"/>
  <Override PartName="/xl/charts/style36.xml" ContentType="application/vnd.ms-office.chartstyle+xml"/>
  <Override PartName="/xl/charts/colors37.xml" ContentType="application/vnd.ms-office.chartcolorstyle+xml"/>
  <Override PartName="/xl/charts/style37.xml" ContentType="application/vnd.ms-office.chartstyle+xml"/>
  <Override PartName="/xl/charts/colors38.xml" ContentType="application/vnd.ms-office.chartcolorstyle+xml"/>
  <Override PartName="/xl/charts/style38.xml" ContentType="application/vnd.ms-office.chartstyle+xml"/>
  <Override PartName="/xl/charts/colors39.xml" ContentType="application/vnd.ms-office.chartcolorstyle+xml"/>
  <Override PartName="/xl/charts/style39.xml" ContentType="application/vnd.ms-office.chartstyle+xml"/>
  <Override PartName="/xl/charts/colors40.xml" ContentType="application/vnd.ms-office.chartcolorstyle+xml"/>
  <Override PartName="/xl/charts/style40.xml" ContentType="application/vnd.ms-office.chartstyle+xml"/>
  <Override PartName="/xl/charts/colors41.xml" ContentType="application/vnd.ms-office.chartcolorstyle+xml"/>
  <Override PartName="/xl/charts/style41.xml" ContentType="application/vnd.ms-office.chartstyle+xml"/>
  <Override PartName="/xl/charts/colors42.xml" ContentType="application/vnd.ms-office.chartcolorstyle+xml"/>
  <Override PartName="/xl/charts/style42.xml" ContentType="application/vnd.ms-office.chartstyle+xml"/>
  <Override PartName="/xl/charts/colors43.xml" ContentType="application/vnd.ms-office.chartcolorstyle+xml"/>
  <Override PartName="/xl/charts/style43.xml" ContentType="application/vnd.ms-office.chartstyle+xml"/>
  <Override PartName="/xl/charts/colors44.xml" ContentType="application/vnd.ms-office.chartcolorstyle+xml"/>
  <Override PartName="/xl/charts/style44.xml" ContentType="application/vnd.ms-office.chartstyle+xml"/>
  <Override PartName="/xl/charts/colors45.xml" ContentType="application/vnd.ms-office.chartcolorstyle+xml"/>
  <Override PartName="/xl/charts/style45.xml" ContentType="application/vnd.ms-office.chartstyle+xml"/>
  <Override PartName="/xl/charts/colors46.xml" ContentType="application/vnd.ms-office.chartcolorstyle+xml"/>
  <Override PartName="/xl/charts/style46.xml" ContentType="application/vnd.ms-office.chartstyle+xml"/>
  <Override PartName="/xl/charts/colors47.xml" ContentType="application/vnd.ms-office.chartcolorstyle+xml"/>
  <Override PartName="/xl/charts/style47.xml" ContentType="application/vnd.ms-office.chartstyle+xml"/>
  <Override PartName="/xl/charts/colors48.xml" ContentType="application/vnd.ms-office.chartcolorstyle+xml"/>
  <Override PartName="/xl/charts/style48.xml" ContentType="application/vnd.ms-office.chartstyle+xml"/>
  <Override PartName="/xl/charts/colors49.xml" ContentType="application/vnd.ms-office.chartcolorstyle+xml"/>
  <Override PartName="/xl/charts/style49.xml" ContentType="application/vnd.ms-office.chartstyle+xml"/>
  <Override PartName="/xl/charts/colors50.xml" ContentType="application/vnd.ms-office.chartcolorstyle+xml"/>
  <Override PartName="/xl/charts/style50.xml" ContentType="application/vnd.ms-office.chartstyle+xml"/>
  <Override PartName="/xl/charts/colors51.xml" ContentType="application/vnd.ms-office.chartcolorstyle+xml"/>
  <Override PartName="/xl/charts/style51.xml" ContentType="application/vnd.ms-office.chartstyle+xml"/>
  <Override PartName="/xl/charts/colors52.xml" ContentType="application/vnd.ms-office.chartcolorstyle+xml"/>
  <Override PartName="/xl/charts/style52.xml" ContentType="application/vnd.ms-office.chartstyle+xml"/>
  <Override PartName="/xl/charts/colors53.xml" ContentType="application/vnd.ms-office.chartcolorstyle+xml"/>
  <Override PartName="/xl/charts/style53.xml" ContentType="application/vnd.ms-office.chartstyle+xml"/>
  <Override PartName="/xl/charts/colors54.xml" ContentType="application/vnd.ms-office.chartcolorstyle+xml"/>
  <Override PartName="/xl/charts/style54.xml" ContentType="application/vnd.ms-office.chartstyle+xml"/>
  <Override PartName="/xl/charts/colors55.xml" ContentType="application/vnd.ms-office.chartcolorstyle+xml"/>
  <Override PartName="/xl/charts/style55.xml" ContentType="application/vnd.ms-office.chartstyle+xml"/>
  <Override PartName="/xl/charts/colors56.xml" ContentType="application/vnd.ms-office.chartcolorstyle+xml"/>
  <Override PartName="/xl/charts/style56.xml" ContentType="application/vnd.ms-office.chartstyle+xml"/>
  <Override PartName="/xl/charts/colors57.xml" ContentType="application/vnd.ms-office.chartcolorstyle+xml"/>
  <Override PartName="/xl/charts/style57.xml" ContentType="application/vnd.ms-office.chartstyle+xml"/>
  <Override PartName="/xl/charts/colors58.xml" ContentType="application/vnd.ms-office.chartcolorstyle+xml"/>
  <Override PartName="/xl/charts/style58.xml" ContentType="application/vnd.ms-office.chartstyle+xml"/>
  <Override PartName="/xl/charts/colors59.xml" ContentType="application/vnd.ms-office.chartcolorstyle+xml"/>
  <Override PartName="/xl/charts/style59.xml" ContentType="application/vnd.ms-office.chartstyle+xml"/>
  <Override PartName="/xl/charts/colors60.xml" ContentType="application/vnd.ms-office.chartcolorstyle+xml"/>
  <Override PartName="/xl/charts/style60.xml" ContentType="application/vnd.ms-office.chartstyle+xml"/>
  <Override PartName="/xl/charts/colors61.xml" ContentType="application/vnd.ms-office.chartcolorstyle+xml"/>
  <Override PartName="/xl/charts/style61.xml" ContentType="application/vnd.ms-office.chartstyle+xml"/>
  <Override PartName="/xl/charts/colors62.xml" ContentType="application/vnd.ms-office.chartcolorstyle+xml"/>
  <Override PartName="/xl/charts/style62.xml" ContentType="application/vnd.ms-office.chartstyle+xml"/>
  <Override PartName="/xl/charts/colors63.xml" ContentType="application/vnd.ms-office.chartcolorstyle+xml"/>
  <Override PartName="/xl/charts/style63.xml" ContentType="application/vnd.ms-office.chartstyle+xml"/>
  <Override PartName="/xl/charts/colors64.xml" ContentType="application/vnd.ms-office.chartcolorstyle+xml"/>
  <Override PartName="/xl/charts/style64.xml" ContentType="application/vnd.ms-office.chartstyle+xml"/>
  <Override PartName="/xl/charts/colors65.xml" ContentType="application/vnd.ms-office.chartcolorstyle+xml"/>
  <Override PartName="/xl/charts/style65.xml" ContentType="application/vnd.ms-office.chartstyle+xml"/>
  <Override PartName="/xl/charts/colors66.xml" ContentType="application/vnd.ms-office.chartcolorstyle+xml"/>
  <Override PartName="/xl/charts/style66.xml" ContentType="application/vnd.ms-office.chartstyle+xml"/>
  <Override PartName="/xl/charts/colors67.xml" ContentType="application/vnd.ms-office.chartcolorstyle+xml"/>
  <Override PartName="/xl/charts/style67.xml" ContentType="application/vnd.ms-office.chartstyle+xml"/>
  <Override PartName="/xl/charts/colors68.xml" ContentType="application/vnd.ms-office.chartcolorstyle+xml"/>
  <Override PartName="/xl/charts/style68.xml" ContentType="application/vnd.ms-office.chartstyle+xml"/>
  <Override PartName="/xl/charts/colors69.xml" ContentType="application/vnd.ms-office.chartcolorstyle+xml"/>
  <Override PartName="/xl/charts/style69.xml" ContentType="application/vnd.ms-office.chartstyle+xml"/>
  <Override PartName="/xl/charts/colors70.xml" ContentType="application/vnd.ms-office.chartcolorstyle+xml"/>
  <Override PartName="/xl/charts/style70.xml" ContentType="application/vnd.ms-office.chartstyle+xml"/>
  <Override PartName="/xl/charts/colors71.xml" ContentType="application/vnd.ms-office.chartcolorstyle+xml"/>
  <Override PartName="/xl/charts/style71.xml" ContentType="application/vnd.ms-office.chartstyle+xml"/>
  <Override PartName="/xl/charts/colors72.xml" ContentType="application/vnd.ms-office.chartcolorstyle+xml"/>
  <Override PartName="/xl/charts/style72.xml" ContentType="application/vnd.ms-office.chartstyle+xml"/>
  <Override PartName="/xl/charts/colors73.xml" ContentType="application/vnd.ms-office.chartcolorstyle+xml"/>
  <Override PartName="/xl/charts/style73.xml" ContentType="application/vnd.ms-office.chartstyle+xml"/>
  <Override PartName="/xl/charts/colors74.xml" ContentType="application/vnd.ms-office.chartcolorstyle+xml"/>
  <Override PartName="/xl/charts/style74.xml" ContentType="application/vnd.ms-office.chartstyle+xml"/>
  <Override PartName="/xl/charts/colors75.xml" ContentType="application/vnd.ms-office.chartcolorstyle+xml"/>
  <Override PartName="/xl/charts/style75.xml" ContentType="application/vnd.ms-office.chartstyle+xml"/>
  <Override PartName="/xl/charts/colors76.xml" ContentType="application/vnd.ms-office.chartcolorstyle+xml"/>
  <Override PartName="/xl/charts/style76.xml" ContentType="application/vnd.ms-office.chartstyle+xml"/>
  <Override PartName="/xl/charts/colors1.xml" ContentType="application/vnd.ms-office.chartcolorstyle+xml"/>
  <Override PartName="/xl/charts/style1.xml" ContentType="application/vnd.ms-office.chartstyle+xml"/>
  <Override PartName="/xl/charts/colors77.xml" ContentType="application/vnd.ms-office.chartcolorstyle+xml"/>
  <Override PartName="/xl/charts/style77.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90" yWindow="-90" windowWidth="19380" windowHeight="10380" activeTab="1"/>
  </bookViews>
  <sheets>
    <sheet name="G47986" sheetId="83" r:id="rId1"/>
    <sheet name="Box and whisker" sheetId="74" r:id="rId2"/>
    <sheet name="Experimental losses" sheetId="20" r:id="rId3"/>
    <sheet name="ANOVA" sheetId="57" r:id="rId4"/>
    <sheet name="Paleolatitudes" sheetId="78" r:id="rId5"/>
    <sheet name="Basal Pongola" sheetId="43" r:id="rId6"/>
    <sheet name="Denny Dalton" sheetId="11" r:id="rId7"/>
    <sheet name="Lake Voronye" sheetId="28" r:id="rId8"/>
    <sheet name="Mt. Roe #2" sheetId="25" r:id="rId9"/>
    <sheet name="Black Reef" sheetId="12" r:id="rId10"/>
    <sheet name="Saganaga" sheetId="13" r:id="rId11"/>
    <sheet name="Lauzon Bay XRF" sheetId="3" r:id="rId12"/>
    <sheet name="Lauzon Bay ICP-MS" sheetId="80" r:id="rId13"/>
    <sheet name="Pronto" sheetId="76" r:id="rId14"/>
    <sheet name="Denison (S-62)" sheetId="7" r:id="rId15"/>
    <sheet name="Quirke (DH-268)" sheetId="27" r:id="rId16"/>
    <sheet name="Cooper Lake" sheetId="8" r:id="rId17"/>
    <sheet name="Ville Marie" sheetId="9" r:id="rId18"/>
    <sheet name="Hekpoort" sheetId="10" r:id="rId19"/>
    <sheet name="Beaverlodge Lake" sheetId="67" r:id="rId20"/>
    <sheet name="Flin Flon" sheetId="5" r:id="rId21"/>
    <sheet name="Baraboo" sheetId="59" r:id="rId22"/>
    <sheet name="Avontuur" sheetId="38" r:id="rId23"/>
    <sheet name="Drakenstein" sheetId="75" r:id="rId24"/>
    <sheet name="Temperance River" sheetId="22" r:id="rId25"/>
    <sheet name="Sigula (F124)" sheetId="39" r:id="rId26"/>
    <sheet name="Roded" sheetId="70" r:id="rId27"/>
    <sheet name="Timna" sheetId="37" r:id="rId28"/>
    <sheet name="Verde River" sheetId="61" r:id="rId29"/>
    <sheet name="Elk Point" sheetId="23" r:id="rId30"/>
    <sheet name="St. Francois Mtns" sheetId="82" r:id="rId31"/>
    <sheet name="Dunn Point" sheetId="34" r:id="rId32"/>
    <sheet name="Boulder Creek" sheetId="54" r:id="rId33"/>
    <sheet name="Ischigualasto" sheetId="56" r:id="rId34"/>
    <sheet name="Bidar" sheetId="79" r:id="rId35"/>
    <sheet name="Picture Gorge" sheetId="73" r:id="rId36"/>
    <sheet name="Lower Rice Creek" sheetId="72" r:id="rId37"/>
    <sheet name="Lawyer Canyon" sheetId="71" r:id="rId38"/>
    <sheet name="Upper Shumaker" sheetId="46" r:id="rId39"/>
    <sheet name="Hawaii 10 kyr" sheetId="52" r:id="rId40"/>
    <sheet name="Hawaii 170 kyr" sheetId="50" r:id="rId41"/>
    <sheet name="Hawaii 350 kyr" sheetId="51" r:id="rId42"/>
    <sheet name="Total Hawaii" sheetId="68" r:id="rId43"/>
  </sheets>
  <externalReferences>
    <externalReference r:id="rId44"/>
  </externalReferences>
  <definedNames>
    <definedName name="_xlchart.v1.0" hidden="1">'Box and whisker'!$A$3:$A$217</definedName>
    <definedName name="_xlchart.v1.1" hidden="1">'Box and whisker'!$AA$3:$AA$8</definedName>
    <definedName name="_xlchart.v1.10" hidden="1">'Box and whisker'!$AJ$3:$AJ$6</definedName>
    <definedName name="_xlchart.v1.11" hidden="1">'Box and whisker'!$AK$3:$AK$9</definedName>
    <definedName name="_xlchart.v1.12" hidden="1">'Box and whisker'!$AL$3:$AL$9</definedName>
    <definedName name="_xlchart.v1.13" hidden="1">'Box and whisker'!$AM$3:$AM$35</definedName>
    <definedName name="_xlchart.v1.14" hidden="1">'Box and whisker'!$AN$3:$AN$35</definedName>
    <definedName name="_xlchart.v1.15" hidden="1">'Box and whisker'!$AO$3:$AO$19</definedName>
    <definedName name="_xlchart.v1.16" hidden="1">'Box and whisker'!$AP$3:$AP$19</definedName>
    <definedName name="_xlchart.v1.17" hidden="1">'Box and whisker'!$AQ$3:$AQ$14</definedName>
    <definedName name="_xlchart.v1.18" hidden="1">'Box and whisker'!$AR$3:$AR$14</definedName>
    <definedName name="_xlchart.v1.19" hidden="1">'Box and whisker'!$AS$3:$AS$50</definedName>
    <definedName name="_xlchart.v1.2" hidden="1">'Box and whisker'!$AB$3:$AB$8</definedName>
    <definedName name="_xlchart.v1.20" hidden="1">'Box and whisker'!$AT$3:$AT$50</definedName>
    <definedName name="_xlchart.v1.21" hidden="1">'Box and whisker'!$AU$3:$AU$19</definedName>
    <definedName name="_xlchart.v1.22" hidden="1">'Box and whisker'!$AV$3:$AV$19</definedName>
    <definedName name="_xlchart.v1.23" hidden="1">'Box and whisker'!$AW$3:$AW$16</definedName>
    <definedName name="_xlchart.v1.24" hidden="1">'Box and whisker'!$AX$3:$AX$16</definedName>
    <definedName name="_xlchart.v1.25" hidden="1">'Box and whisker'!$AY$3:$AY$14</definedName>
    <definedName name="_xlchart.v1.26" hidden="1">'Box and whisker'!$AZ$3:$AZ$14</definedName>
    <definedName name="_xlchart.v1.27" hidden="1">'Box and whisker'!$B$3:$B$217</definedName>
    <definedName name="_xlchart.v1.28" hidden="1">'Box and whisker'!$BA$3:$BA$15</definedName>
    <definedName name="_xlchart.v1.29" hidden="1">'Box and whisker'!$BB$3:$BB$15</definedName>
    <definedName name="_xlchart.v1.3" hidden="1">'Box and whisker'!$AC$3:$AC$63</definedName>
    <definedName name="_xlchart.v1.30" hidden="1">'Box and whisker'!$BC$3:$BC$6</definedName>
    <definedName name="_xlchart.v1.31" hidden="1">'Box and whisker'!$BD$3:$BD$6</definedName>
    <definedName name="_xlchart.v1.32" hidden="1">'Box and whisker'!$BE$3:$BE$10</definedName>
    <definedName name="_xlchart.v1.33" hidden="1">'Box and whisker'!$BF$3:$BF$10</definedName>
    <definedName name="_xlchart.v1.34" hidden="1">'Box and whisker'!$BG$3:$BG$20</definedName>
    <definedName name="_xlchart.v1.35" hidden="1">'Box and whisker'!$BH$3:$BH$20</definedName>
    <definedName name="_xlchart.v1.36" hidden="1">'Box and whisker'!$BI$3:$BI$15</definedName>
    <definedName name="_xlchart.v1.37" hidden="1">'Box and whisker'!$BJ$3:$BJ$15</definedName>
    <definedName name="_xlchart.v1.38" hidden="1">'Box and whisker'!$BK$3:$BK$9</definedName>
    <definedName name="_xlchart.v1.39" hidden="1">'Box and whisker'!$BL$3:$BL$9</definedName>
    <definedName name="_xlchart.v1.4" hidden="1">'Box and whisker'!$AD$3:$AD$63</definedName>
    <definedName name="_xlchart.v1.40" hidden="1">'Box and whisker'!$BM$3:$BM$6</definedName>
    <definedName name="_xlchart.v1.41" hidden="1">'Box and whisker'!$BN$3:$BN$6</definedName>
    <definedName name="_xlchart.v1.42" hidden="1">'Box and whisker'!$BO$3:$BO$217</definedName>
    <definedName name="_xlchart.v1.43" hidden="1">'Box and whisker'!$BP$3:$BP$125</definedName>
    <definedName name="_xlchart.v1.44" hidden="1">'Box and whisker'!$C$3:$C$217</definedName>
    <definedName name="_xlchart.v1.45" hidden="1">'Box and whisker'!$D$3:$D$217</definedName>
    <definedName name="_xlchart.v1.46" hidden="1">'Box and whisker'!$E$3:$E$217</definedName>
    <definedName name="_xlchart.v1.47" hidden="1">'Box and whisker'!$F$3:$F$217</definedName>
    <definedName name="_xlchart.v1.48" hidden="1">'Box and whisker'!$G$3:$G$217</definedName>
    <definedName name="_xlchart.v1.49" hidden="1">'Box and whisker'!$H$3:$H$217</definedName>
    <definedName name="_xlchart.v1.5" hidden="1">'Box and whisker'!$AE$3:$AE$12</definedName>
    <definedName name="_xlchart.v1.50" hidden="1">'Box and whisker'!$K$3:$K$217</definedName>
    <definedName name="_xlchart.v1.51" hidden="1">'Box and whisker'!$L$3:$L$217</definedName>
    <definedName name="_xlchart.v1.52" hidden="1">'Box and whisker'!$M$3:$M$217</definedName>
    <definedName name="_xlchart.v1.53" hidden="1">'Box and whisker'!$N$3:$N$217</definedName>
    <definedName name="_xlchart.v1.54" hidden="1">'Box and whisker'!$O$3:$O$16</definedName>
    <definedName name="_xlchart.v1.55" hidden="1">'Box and whisker'!$P$3:$P$16</definedName>
    <definedName name="_xlchart.v1.56" hidden="1">'Box and whisker'!$Q$3:$Q$17</definedName>
    <definedName name="_xlchart.v1.57" hidden="1">'Box and whisker'!$R$3:$R$17</definedName>
    <definedName name="_xlchart.v1.58" hidden="1">'Box and whisker'!$S$3:$S$16</definedName>
    <definedName name="_xlchart.v1.59" hidden="1">'Box and whisker'!$T$3:$T$16</definedName>
    <definedName name="_xlchart.v1.6" hidden="1">'Box and whisker'!$AF$3:$AF$12</definedName>
    <definedName name="_xlchart.v1.60" hidden="1">'Box and whisker'!$U$3:$U$55</definedName>
    <definedName name="_xlchart.v1.61" hidden="1">'Box and whisker'!$V$3:$V$55</definedName>
    <definedName name="_xlchart.v1.62" hidden="1">'Box and whisker'!$W$3:$W$9</definedName>
    <definedName name="_xlchart.v1.63" hidden="1">'Box and whisker'!$X$3:$X$9</definedName>
    <definedName name="_xlchart.v1.64" hidden="1">'Box and whisker'!$Y$3:$Y$9</definedName>
    <definedName name="_xlchart.v1.65" hidden="1">'Box and whisker'!$Z$3:$Z$9</definedName>
    <definedName name="_xlchart.v1.66" hidden="1">('Box and whisker'!$I$3:$I$4,'Box and whisker'!$I$4:$I$20)</definedName>
    <definedName name="_xlchart.v1.67" hidden="1">('Box and whisker'!$J$3:$J$4,'Box and whisker'!$J$4:$J$20)</definedName>
    <definedName name="_xlchart.v1.68" hidden="1">'Total Hawaii'!$C$6:$C$220</definedName>
    <definedName name="_xlchart.v1.69" hidden="1">'Total Hawaii'!$H$6:$H$98</definedName>
    <definedName name="_xlchart.v1.7" hidden="1">'Box and whisker'!$AG$3:$AG$9</definedName>
    <definedName name="_xlchart.v1.70" hidden="1">'Total Hawaii'!$M$6:$M$128</definedName>
    <definedName name="_xlchart.v1.8" hidden="1">'Box and whisker'!$AH$3:$AH$9</definedName>
    <definedName name="_xlchart.v1.9" hidden="1">'Box and whisker'!$AI$3:$AI$6</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6" i="82" l="1"/>
  <c r="X17" i="82"/>
  <c r="N16" i="82"/>
  <c r="M16" i="82"/>
  <c r="O16" i="82" s="1"/>
  <c r="N15" i="82"/>
  <c r="M15" i="82"/>
  <c r="O15" i="82" s="1"/>
  <c r="N14" i="82"/>
  <c r="M14" i="82"/>
  <c r="O14" i="82" s="1"/>
  <c r="J13" i="82"/>
  <c r="M13" i="82"/>
  <c r="O13" i="82" s="1"/>
  <c r="J12" i="82"/>
  <c r="M12" i="82"/>
  <c r="O12" i="82" s="1"/>
  <c r="V11" i="82"/>
  <c r="M11" i="82"/>
  <c r="O11" i="82" s="1"/>
  <c r="V10" i="82"/>
  <c r="M10" i="82"/>
  <c r="O10" i="82" s="1"/>
  <c r="K9" i="82"/>
  <c r="N9" i="82"/>
  <c r="M9" i="82"/>
  <c r="O9" i="82" s="1"/>
  <c r="K8" i="82"/>
  <c r="M8" i="82"/>
  <c r="O8" i="82" s="1"/>
  <c r="N7" i="82"/>
  <c r="M7" i="82"/>
  <c r="O7" i="82" s="1"/>
  <c r="N6" i="82"/>
  <c r="M6" i="82"/>
  <c r="O6" i="82" s="1"/>
  <c r="N5" i="82"/>
  <c r="M5" i="82"/>
  <c r="O5" i="82" s="1"/>
  <c r="M4" i="82"/>
  <c r="O4" i="82" s="1"/>
  <c r="J3" i="82"/>
  <c r="N3" i="82"/>
  <c r="M3" i="82"/>
  <c r="O3" i="82" s="1"/>
  <c r="Y11" i="80"/>
  <c r="X11" i="80"/>
  <c r="W11" i="80"/>
  <c r="V11" i="80"/>
  <c r="Y10" i="80"/>
  <c r="X10" i="80"/>
  <c r="W10" i="80"/>
  <c r="V10" i="80"/>
  <c r="N10" i="80"/>
  <c r="M10" i="80"/>
  <c r="O10" i="80" s="1"/>
  <c r="L10" i="80"/>
  <c r="J10" i="80"/>
  <c r="I10" i="80"/>
  <c r="Y9" i="80"/>
  <c r="X9" i="80"/>
  <c r="W9" i="80"/>
  <c r="V9" i="80"/>
  <c r="N9" i="80"/>
  <c r="M9" i="80"/>
  <c r="O9" i="80" s="1"/>
  <c r="L9" i="80"/>
  <c r="J9" i="80"/>
  <c r="I9" i="80"/>
  <c r="Y8" i="80"/>
  <c r="X8" i="80"/>
  <c r="W8" i="80"/>
  <c r="V8" i="80"/>
  <c r="N8" i="80"/>
  <c r="M8" i="80"/>
  <c r="O8" i="80" s="1"/>
  <c r="L8" i="80"/>
  <c r="J8" i="80"/>
  <c r="I8" i="80"/>
  <c r="Y7" i="80"/>
  <c r="X7" i="80"/>
  <c r="W7" i="80"/>
  <c r="V7" i="80"/>
  <c r="N7" i="80"/>
  <c r="M7" i="80"/>
  <c r="O7" i="80" s="1"/>
  <c r="L7" i="80"/>
  <c r="J7" i="80"/>
  <c r="I7" i="80"/>
  <c r="Y6" i="80"/>
  <c r="X6" i="80"/>
  <c r="W6" i="80"/>
  <c r="V6" i="80"/>
  <c r="N6" i="80"/>
  <c r="M6" i="80"/>
  <c r="O6" i="80" s="1"/>
  <c r="L6" i="80"/>
  <c r="J6" i="80"/>
  <c r="I6" i="80"/>
  <c r="Y5" i="80"/>
  <c r="X5" i="80"/>
  <c r="W5" i="80"/>
  <c r="V5" i="80"/>
  <c r="N5" i="80"/>
  <c r="M5" i="80"/>
  <c r="O5" i="80" s="1"/>
  <c r="L5" i="80"/>
  <c r="J5" i="80"/>
  <c r="I5" i="80"/>
  <c r="Y4" i="80"/>
  <c r="X4" i="80"/>
  <c r="W4" i="80"/>
  <c r="V4" i="80"/>
  <c r="N4" i="80"/>
  <c r="M4" i="80"/>
  <c r="O4" i="80" s="1"/>
  <c r="L4" i="80"/>
  <c r="J4" i="80"/>
  <c r="I4" i="80"/>
  <c r="Y3" i="80"/>
  <c r="X3" i="80"/>
  <c r="W3" i="80"/>
  <c r="V3" i="80"/>
  <c r="N3" i="80"/>
  <c r="M3" i="80"/>
  <c r="O3" i="80" s="1"/>
  <c r="L3" i="80"/>
  <c r="J3" i="80"/>
  <c r="I3" i="80"/>
  <c r="L11" i="82" l="1"/>
  <c r="L16" i="82"/>
  <c r="L14" i="82"/>
  <c r="L9" i="82"/>
  <c r="L15" i="82"/>
  <c r="L4" i="82"/>
  <c r="L7" i="82"/>
  <c r="L12" i="82"/>
  <c r="L5" i="82"/>
  <c r="L10" i="82"/>
  <c r="L8" i="82"/>
  <c r="L13" i="82"/>
  <c r="L3" i="82"/>
  <c r="W5" i="82"/>
  <c r="K7" i="82"/>
  <c r="J10" i="82"/>
  <c r="J11" i="82"/>
  <c r="K16" i="82"/>
  <c r="V4" i="82"/>
  <c r="K5" i="82"/>
  <c r="K6" i="82"/>
  <c r="J9" i="82"/>
  <c r="N10" i="82"/>
  <c r="K15" i="82"/>
  <c r="K4" i="82"/>
  <c r="J8" i="82"/>
  <c r="V13" i="82"/>
  <c r="K14" i="82"/>
  <c r="K3" i="82"/>
  <c r="J7" i="82"/>
  <c r="V12" i="82"/>
  <c r="K13" i="82"/>
  <c r="J16" i="82"/>
  <c r="J5" i="82"/>
  <c r="J6" i="82"/>
  <c r="K12" i="82"/>
  <c r="J15" i="82"/>
  <c r="J4" i="82"/>
  <c r="K10" i="82"/>
  <c r="K11" i="82"/>
  <c r="J14" i="82"/>
  <c r="W8" i="82"/>
  <c r="Q9" i="82"/>
  <c r="S9" i="82" s="1"/>
  <c r="P9" i="82"/>
  <c r="R9" i="82" s="1"/>
  <c r="Q7" i="82"/>
  <c r="S7" i="82" s="1"/>
  <c r="P7" i="82"/>
  <c r="R7" i="82" s="1"/>
  <c r="Q5" i="82"/>
  <c r="S5" i="82" s="1"/>
  <c r="P5" i="82"/>
  <c r="R5" i="82" s="1"/>
  <c r="Q15" i="82"/>
  <c r="S15" i="82" s="1"/>
  <c r="P15" i="82"/>
  <c r="R15" i="82" s="1"/>
  <c r="Q4" i="82"/>
  <c r="S4" i="82" s="1"/>
  <c r="P4" i="82"/>
  <c r="R4" i="82" s="1"/>
  <c r="Q14" i="82"/>
  <c r="S14" i="82" s="1"/>
  <c r="P14" i="82"/>
  <c r="R14" i="82" s="1"/>
  <c r="Q8" i="82"/>
  <c r="S8" i="82" s="1"/>
  <c r="P8" i="82"/>
  <c r="R8" i="82" s="1"/>
  <c r="Q16" i="82"/>
  <c r="S16" i="82" s="1"/>
  <c r="P16" i="82"/>
  <c r="R16" i="82" s="1"/>
  <c r="Q3" i="82"/>
  <c r="S3" i="82" s="1"/>
  <c r="P3" i="82"/>
  <c r="R3" i="82" s="1"/>
  <c r="Q12" i="82"/>
  <c r="S12" i="82" s="1"/>
  <c r="P12" i="82"/>
  <c r="R12" i="82" s="1"/>
  <c r="Q6" i="82"/>
  <c r="S6" i="82" s="1"/>
  <c r="P6" i="82"/>
  <c r="R6" i="82" s="1"/>
  <c r="Q13" i="82"/>
  <c r="S13" i="82" s="1"/>
  <c r="P13" i="82"/>
  <c r="R13" i="82" s="1"/>
  <c r="Q10" i="82"/>
  <c r="S10" i="82" s="1"/>
  <c r="P10" i="82"/>
  <c r="R10" i="82" s="1"/>
  <c r="Q11" i="82"/>
  <c r="S11" i="82" s="1"/>
  <c r="P11" i="82"/>
  <c r="R11" i="82" s="1"/>
  <c r="N4" i="82"/>
  <c r="V5" i="82"/>
  <c r="V7" i="82"/>
  <c r="N8" i="82"/>
  <c r="N11" i="82"/>
  <c r="N12" i="82"/>
  <c r="N13" i="82"/>
  <c r="W3" i="82"/>
  <c r="W6" i="82"/>
  <c r="W7" i="82"/>
  <c r="W10" i="82"/>
  <c r="W11" i="82"/>
  <c r="W12" i="82"/>
  <c r="W13" i="82"/>
  <c r="W14" i="82"/>
  <c r="W15" i="82"/>
  <c r="W16" i="82"/>
  <c r="X3" i="82"/>
  <c r="AA3" i="82" s="1"/>
  <c r="X4" i="82"/>
  <c r="AA4" i="82" s="1"/>
  <c r="X5" i="82"/>
  <c r="AA5" i="82" s="1"/>
  <c r="X6" i="82"/>
  <c r="AA6" i="82" s="1"/>
  <c r="X7" i="82"/>
  <c r="AA7" i="82" s="1"/>
  <c r="X8" i="82"/>
  <c r="AA8" i="82" s="1"/>
  <c r="X9" i="82"/>
  <c r="AA9" i="82" s="1"/>
  <c r="X10" i="82"/>
  <c r="AA10" i="82" s="1"/>
  <c r="X11" i="82"/>
  <c r="AA11" i="82" s="1"/>
  <c r="X12" i="82"/>
  <c r="AA12" i="82" s="1"/>
  <c r="X13" i="82"/>
  <c r="AA13" i="82" s="1"/>
  <c r="X14" i="82"/>
  <c r="AA14" i="82" s="1"/>
  <c r="X15" i="82"/>
  <c r="AA15" i="82" s="1"/>
  <c r="X16" i="82"/>
  <c r="AA16" i="82" s="1"/>
  <c r="V6" i="82"/>
  <c r="V8" i="82"/>
  <c r="V9" i="82"/>
  <c r="V14" i="82"/>
  <c r="V15" i="82"/>
  <c r="V16" i="82"/>
  <c r="W4" i="82"/>
  <c r="W9" i="82"/>
  <c r="W17" i="82"/>
  <c r="V3" i="82"/>
  <c r="V17" i="82"/>
  <c r="AA4" i="80"/>
  <c r="AA3" i="80"/>
  <c r="AB3" i="80"/>
  <c r="AB6" i="80"/>
  <c r="AB4" i="80"/>
  <c r="Z6" i="80"/>
  <c r="AA5" i="80"/>
  <c r="AA6" i="80"/>
  <c r="AB9" i="80"/>
  <c r="AA7" i="80"/>
  <c r="AB5" i="80"/>
  <c r="AB7" i="80"/>
  <c r="AC3" i="80"/>
  <c r="AB10" i="80"/>
  <c r="AA9" i="80"/>
  <c r="AA10" i="80"/>
  <c r="AA8" i="80"/>
  <c r="Q3" i="80"/>
  <c r="S3" i="80" s="1"/>
  <c r="P3" i="80"/>
  <c r="R3" i="80" s="1"/>
  <c r="Q7" i="80"/>
  <c r="S7" i="80" s="1"/>
  <c r="P7" i="80"/>
  <c r="R7" i="80" s="1"/>
  <c r="Q4" i="80"/>
  <c r="S4" i="80" s="1"/>
  <c r="P4" i="80"/>
  <c r="R4" i="80" s="1"/>
  <c r="Q10" i="80"/>
  <c r="S10" i="80" s="1"/>
  <c r="P10" i="80"/>
  <c r="R10" i="80" s="1"/>
  <c r="Q6" i="80"/>
  <c r="S6" i="80" s="1"/>
  <c r="P6" i="80"/>
  <c r="R6" i="80" s="1"/>
  <c r="Q8" i="80"/>
  <c r="S8" i="80" s="1"/>
  <c r="P8" i="80"/>
  <c r="R8" i="80" s="1"/>
  <c r="T8" i="80" s="1"/>
  <c r="U8" i="80" s="1"/>
  <c r="Q5" i="80"/>
  <c r="S5" i="80" s="1"/>
  <c r="P5" i="80"/>
  <c r="R5" i="80" s="1"/>
  <c r="Q9" i="80"/>
  <c r="S9" i="80" s="1"/>
  <c r="P9" i="80"/>
  <c r="R9" i="80" s="1"/>
  <c r="Z7" i="80"/>
  <c r="Z8" i="80"/>
  <c r="AB8" i="80"/>
  <c r="Z10" i="80"/>
  <c r="Z3" i="80"/>
  <c r="Z4" i="80"/>
  <c r="Z5" i="80"/>
  <c r="Z9" i="80"/>
  <c r="AC4" i="80"/>
  <c r="AC5" i="80"/>
  <c r="AC6" i="80"/>
  <c r="AC7" i="80"/>
  <c r="AC8" i="80"/>
  <c r="AC9" i="80"/>
  <c r="AC10" i="80"/>
  <c r="J3" i="25"/>
  <c r="Z5" i="82" l="1"/>
  <c r="Y12" i="82"/>
  <c r="Z10" i="82"/>
  <c r="Z8" i="82"/>
  <c r="Y15" i="82"/>
  <c r="Z16" i="82"/>
  <c r="Z15" i="82"/>
  <c r="Z3" i="82"/>
  <c r="Y7" i="82"/>
  <c r="Z6" i="82"/>
  <c r="Y11" i="82"/>
  <c r="Y4" i="82"/>
  <c r="Y14" i="82"/>
  <c r="Y8" i="82"/>
  <c r="Z13" i="82"/>
  <c r="T10" i="82"/>
  <c r="U10" i="82" s="1"/>
  <c r="Z4" i="82"/>
  <c r="Y13" i="82"/>
  <c r="T5" i="82"/>
  <c r="U5" i="82" s="1"/>
  <c r="Y3" i="82"/>
  <c r="Y16" i="82"/>
  <c r="Z7" i="82"/>
  <c r="Y10" i="82"/>
  <c r="T13" i="82"/>
  <c r="U13" i="82" s="1"/>
  <c r="T12" i="82"/>
  <c r="U12" i="82" s="1"/>
  <c r="Y9" i="82"/>
  <c r="Z14" i="82"/>
  <c r="Y5" i="82"/>
  <c r="T14" i="82"/>
  <c r="U14" i="82" s="1"/>
  <c r="T8" i="82"/>
  <c r="U8" i="82" s="1"/>
  <c r="T7" i="82"/>
  <c r="U7" i="82" s="1"/>
  <c r="Z9" i="82"/>
  <c r="Y6" i="82"/>
  <c r="Z12" i="82"/>
  <c r="T6" i="82"/>
  <c r="U6" i="82" s="1"/>
  <c r="T15" i="82"/>
  <c r="U15" i="82" s="1"/>
  <c r="T3" i="82"/>
  <c r="U3" i="82" s="1"/>
  <c r="Z11" i="82"/>
  <c r="T11" i="82"/>
  <c r="U11" i="82" s="1"/>
  <c r="T16" i="82"/>
  <c r="U16" i="82" s="1"/>
  <c r="T4" i="82"/>
  <c r="U4" i="82" s="1"/>
  <c r="T9" i="82"/>
  <c r="U9" i="82" s="1"/>
  <c r="T6" i="80"/>
  <c r="U6" i="80" s="1"/>
  <c r="T3" i="80"/>
  <c r="U3" i="80" s="1"/>
  <c r="T9" i="80"/>
  <c r="U9" i="80" s="1"/>
  <c r="T10" i="80"/>
  <c r="U10" i="80" s="1"/>
  <c r="T5" i="80"/>
  <c r="U5" i="80" s="1"/>
  <c r="T4" i="80"/>
  <c r="U4" i="80" s="1"/>
  <c r="Z13" i="80"/>
  <c r="Z12" i="80"/>
  <c r="T7" i="80"/>
  <c r="U7" i="80" s="1"/>
  <c r="R5" i="68"/>
  <c r="M5" i="68"/>
  <c r="H5" i="68"/>
  <c r="C5" i="68"/>
  <c r="R4" i="68"/>
  <c r="M4" i="68"/>
  <c r="H4" i="68"/>
  <c r="C4" i="68"/>
  <c r="AB127" i="51"/>
  <c r="N127" i="51"/>
  <c r="M127" i="51"/>
  <c r="L127" i="51"/>
  <c r="AC127" i="51" s="1"/>
  <c r="K127" i="51"/>
  <c r="J127" i="51"/>
  <c r="I127" i="51"/>
  <c r="AB126" i="51"/>
  <c r="AE126" i="51" s="1"/>
  <c r="N126" i="51"/>
  <c r="M126" i="51"/>
  <c r="L126" i="51"/>
  <c r="AC126" i="51" s="1"/>
  <c r="AF126" i="51" s="1"/>
  <c r="K126" i="51"/>
  <c r="S126" i="51" s="1"/>
  <c r="J126" i="51"/>
  <c r="R126" i="51" s="1"/>
  <c r="T126" i="51" s="1"/>
  <c r="I126" i="51"/>
  <c r="AA126" i="51" s="1"/>
  <c r="AE125" i="51"/>
  <c r="AB125" i="51"/>
  <c r="P125" i="51"/>
  <c r="N125" i="51"/>
  <c r="M125" i="51"/>
  <c r="L125" i="51"/>
  <c r="AC125" i="51" s="1"/>
  <c r="K125" i="51"/>
  <c r="S125" i="51" s="1"/>
  <c r="J125" i="51"/>
  <c r="R125" i="51" s="1"/>
  <c r="T125" i="51" s="1"/>
  <c r="I125" i="51"/>
  <c r="AA125" i="51" s="1"/>
  <c r="AB124" i="51"/>
  <c r="AE124" i="51" s="1"/>
  <c r="P124" i="51"/>
  <c r="O124" i="51"/>
  <c r="N124" i="51"/>
  <c r="M124" i="51"/>
  <c r="L124" i="51"/>
  <c r="AC124" i="51" s="1"/>
  <c r="K124" i="51"/>
  <c r="S124" i="51" s="1"/>
  <c r="J124" i="51"/>
  <c r="R124" i="51" s="1"/>
  <c r="T124" i="51" s="1"/>
  <c r="I124" i="51"/>
  <c r="AA124" i="51" s="1"/>
  <c r="AE123" i="51"/>
  <c r="AB123" i="51"/>
  <c r="N123" i="51"/>
  <c r="M123" i="51"/>
  <c r="L123" i="51"/>
  <c r="AC123" i="51" s="1"/>
  <c r="K123" i="51"/>
  <c r="S123" i="51" s="1"/>
  <c r="J123" i="51"/>
  <c r="R123" i="51" s="1"/>
  <c r="T123" i="51" s="1"/>
  <c r="I123" i="51"/>
  <c r="AA123" i="51" s="1"/>
  <c r="AB122" i="51"/>
  <c r="AE122" i="51" s="1"/>
  <c r="N122" i="51"/>
  <c r="M122" i="51"/>
  <c r="L122" i="51"/>
  <c r="AC122" i="51" s="1"/>
  <c r="AF122" i="51" s="1"/>
  <c r="K122" i="51"/>
  <c r="S122" i="51" s="1"/>
  <c r="J122" i="51"/>
  <c r="R122" i="51" s="1"/>
  <c r="T122" i="51" s="1"/>
  <c r="I122" i="51"/>
  <c r="AA122" i="51" s="1"/>
  <c r="AE121" i="51"/>
  <c r="AB121" i="51"/>
  <c r="P121" i="51"/>
  <c r="N121" i="51"/>
  <c r="M121" i="51"/>
  <c r="L121" i="51"/>
  <c r="AC121" i="51" s="1"/>
  <c r="K121" i="51"/>
  <c r="S121" i="51" s="1"/>
  <c r="J121" i="51"/>
  <c r="R121" i="51" s="1"/>
  <c r="T121" i="51" s="1"/>
  <c r="I121" i="51"/>
  <c r="AA121" i="51" s="1"/>
  <c r="AF120" i="51"/>
  <c r="AB120" i="51"/>
  <c r="AE120" i="51" s="1"/>
  <c r="P120" i="51"/>
  <c r="O120" i="51"/>
  <c r="N120" i="51"/>
  <c r="M120" i="51"/>
  <c r="L120" i="51"/>
  <c r="AC120" i="51" s="1"/>
  <c r="K120" i="51"/>
  <c r="S120" i="51" s="1"/>
  <c r="J120" i="51"/>
  <c r="R120" i="51" s="1"/>
  <c r="T120" i="51" s="1"/>
  <c r="I120" i="51"/>
  <c r="AA120" i="51" s="1"/>
  <c r="AE119" i="51"/>
  <c r="AB119" i="51"/>
  <c r="N119" i="51"/>
  <c r="M119" i="51"/>
  <c r="L119" i="51"/>
  <c r="AC119" i="51" s="1"/>
  <c r="AF119" i="51" s="1"/>
  <c r="K119" i="51"/>
  <c r="S119" i="51" s="1"/>
  <c r="J119" i="51"/>
  <c r="R119" i="51" s="1"/>
  <c r="T119" i="51" s="1"/>
  <c r="I119" i="51"/>
  <c r="AA119" i="51" s="1"/>
  <c r="AB118" i="51"/>
  <c r="AE118" i="51" s="1"/>
  <c r="N118" i="51"/>
  <c r="M118" i="51"/>
  <c r="L118" i="51"/>
  <c r="AC118" i="51" s="1"/>
  <c r="AF118" i="51" s="1"/>
  <c r="K118" i="51"/>
  <c r="S118" i="51" s="1"/>
  <c r="J118" i="51"/>
  <c r="R118" i="51" s="1"/>
  <c r="T118" i="51" s="1"/>
  <c r="I118" i="51"/>
  <c r="AA118" i="51" s="1"/>
  <c r="AE117" i="51"/>
  <c r="AB117" i="51"/>
  <c r="P117" i="51"/>
  <c r="N117" i="51"/>
  <c r="M117" i="51"/>
  <c r="L117" i="51"/>
  <c r="AC117" i="51" s="1"/>
  <c r="K117" i="51"/>
  <c r="S117" i="51" s="1"/>
  <c r="J117" i="51"/>
  <c r="R117" i="51" s="1"/>
  <c r="T117" i="51" s="1"/>
  <c r="I117" i="51"/>
  <c r="AA117" i="51" s="1"/>
  <c r="AC116" i="51"/>
  <c r="N116" i="51"/>
  <c r="M116" i="51"/>
  <c r="L116" i="51"/>
  <c r="K116" i="51"/>
  <c r="J116" i="51"/>
  <c r="AB116" i="51" s="1"/>
  <c r="I116" i="51"/>
  <c r="AC115" i="51"/>
  <c r="N115" i="51"/>
  <c r="M115" i="51"/>
  <c r="L115" i="51"/>
  <c r="K115" i="51"/>
  <c r="S115" i="51" s="1"/>
  <c r="J115" i="51"/>
  <c r="AB115" i="51" s="1"/>
  <c r="I115" i="51"/>
  <c r="AA115" i="51" s="1"/>
  <c r="AC114" i="51"/>
  <c r="P114" i="51"/>
  <c r="N114" i="51"/>
  <c r="M114" i="51"/>
  <c r="O114" i="51" s="1"/>
  <c r="L114" i="51"/>
  <c r="K114" i="51"/>
  <c r="S114" i="51" s="1"/>
  <c r="J114" i="51"/>
  <c r="AB114" i="51" s="1"/>
  <c r="I114" i="51"/>
  <c r="AA114" i="51" s="1"/>
  <c r="AC113" i="51"/>
  <c r="AF113" i="51" s="1"/>
  <c r="P113" i="51"/>
  <c r="O113" i="51"/>
  <c r="N113" i="51"/>
  <c r="M113" i="51"/>
  <c r="L113" i="51"/>
  <c r="K113" i="51"/>
  <c r="S113" i="51" s="1"/>
  <c r="J113" i="51"/>
  <c r="AB113" i="51" s="1"/>
  <c r="I113" i="51"/>
  <c r="AA113" i="51" s="1"/>
  <c r="AE112" i="51"/>
  <c r="AC112" i="51"/>
  <c r="N112" i="51"/>
  <c r="M112" i="51"/>
  <c r="L112" i="51"/>
  <c r="K112" i="51"/>
  <c r="S112" i="51" s="1"/>
  <c r="J112" i="51"/>
  <c r="AB112" i="51" s="1"/>
  <c r="I112" i="51"/>
  <c r="AC111" i="51"/>
  <c r="AF111" i="51" s="1"/>
  <c r="N111" i="51"/>
  <c r="M111" i="51"/>
  <c r="L111" i="51"/>
  <c r="K111" i="51"/>
  <c r="S111" i="51" s="1"/>
  <c r="J111" i="51"/>
  <c r="AB111" i="51" s="1"/>
  <c r="I111" i="51"/>
  <c r="AA111" i="51" s="1"/>
  <c r="AC110" i="51"/>
  <c r="N110" i="51"/>
  <c r="M110" i="51"/>
  <c r="O110" i="51" s="1"/>
  <c r="L110" i="51"/>
  <c r="K110" i="51"/>
  <c r="S110" i="51" s="1"/>
  <c r="J110" i="51"/>
  <c r="AB110" i="51" s="1"/>
  <c r="I110" i="51"/>
  <c r="AA110" i="51" s="1"/>
  <c r="AC109" i="51"/>
  <c r="AF109" i="51" s="1"/>
  <c r="P109" i="51"/>
  <c r="O109" i="51"/>
  <c r="N109" i="51"/>
  <c r="M109" i="51"/>
  <c r="L109" i="51"/>
  <c r="K109" i="51"/>
  <c r="S109" i="51" s="1"/>
  <c r="J109" i="51"/>
  <c r="AB109" i="51" s="1"/>
  <c r="I109" i="51"/>
  <c r="AA109" i="51" s="1"/>
  <c r="AE108" i="51"/>
  <c r="AC108" i="51"/>
  <c r="N108" i="51"/>
  <c r="M108" i="51"/>
  <c r="L108" i="51"/>
  <c r="K108" i="51"/>
  <c r="S108" i="51" s="1"/>
  <c r="J108" i="51"/>
  <c r="AB108" i="51" s="1"/>
  <c r="I108" i="51"/>
  <c r="Q108" i="51" s="1"/>
  <c r="N107" i="51"/>
  <c r="M107" i="51"/>
  <c r="L107" i="51"/>
  <c r="K107" i="51"/>
  <c r="AC107" i="51" s="1"/>
  <c r="AF100" i="51" s="1"/>
  <c r="J107" i="51"/>
  <c r="AB107" i="51" s="1"/>
  <c r="I107" i="51"/>
  <c r="S106" i="51"/>
  <c r="P106" i="51"/>
  <c r="N106" i="51"/>
  <c r="M106" i="51"/>
  <c r="L106" i="51"/>
  <c r="K106" i="51"/>
  <c r="AA106" i="51" s="1"/>
  <c r="J106" i="51"/>
  <c r="I106" i="51"/>
  <c r="V105" i="51"/>
  <c r="X105" i="51" s="1"/>
  <c r="R105" i="51"/>
  <c r="T105" i="51" s="1"/>
  <c r="U105" i="51" s="1"/>
  <c r="N105" i="51"/>
  <c r="M105" i="51"/>
  <c r="L105" i="51"/>
  <c r="K105" i="51"/>
  <c r="S105" i="51" s="1"/>
  <c r="J105" i="51"/>
  <c r="I105" i="51"/>
  <c r="O105" i="51" s="1"/>
  <c r="S104" i="51"/>
  <c r="N104" i="51"/>
  <c r="M104" i="51"/>
  <c r="L104" i="51"/>
  <c r="AC104" i="51" s="1"/>
  <c r="AF104" i="51" s="1"/>
  <c r="K104" i="51"/>
  <c r="J104" i="51"/>
  <c r="AB104" i="51" s="1"/>
  <c r="I104" i="51"/>
  <c r="O104" i="51" s="1"/>
  <c r="N103" i="51"/>
  <c r="P103" i="51" s="1"/>
  <c r="M103" i="51"/>
  <c r="L103" i="51"/>
  <c r="K103" i="51"/>
  <c r="S103" i="51" s="1"/>
  <c r="J103" i="51"/>
  <c r="R103" i="51" s="1"/>
  <c r="T103" i="51" s="1"/>
  <c r="I103" i="51"/>
  <c r="Q103" i="51" s="1"/>
  <c r="N102" i="51"/>
  <c r="P102" i="51" s="1"/>
  <c r="M102" i="51"/>
  <c r="L102" i="51"/>
  <c r="AC102" i="51" s="1"/>
  <c r="AF102" i="51" s="1"/>
  <c r="K102" i="51"/>
  <c r="S102" i="51" s="1"/>
  <c r="J102" i="51"/>
  <c r="R102" i="51" s="1"/>
  <c r="T102" i="51" s="1"/>
  <c r="I102" i="51"/>
  <c r="AA101" i="51"/>
  <c r="R101" i="51"/>
  <c r="T101" i="51" s="1"/>
  <c r="U101" i="51" s="1"/>
  <c r="P101" i="51"/>
  <c r="N101" i="51"/>
  <c r="M101" i="51"/>
  <c r="L101" i="51"/>
  <c r="AC101" i="51" s="1"/>
  <c r="AF101" i="51" s="1"/>
  <c r="K101" i="51"/>
  <c r="S101" i="51" s="1"/>
  <c r="J101" i="51"/>
  <c r="I101" i="51"/>
  <c r="O101" i="51" s="1"/>
  <c r="S100" i="51"/>
  <c r="Q100" i="51"/>
  <c r="N100" i="51"/>
  <c r="M100" i="51"/>
  <c r="L100" i="51"/>
  <c r="AC100" i="51" s="1"/>
  <c r="K100" i="51"/>
  <c r="J100" i="51"/>
  <c r="AB100" i="51" s="1"/>
  <c r="I100" i="51"/>
  <c r="AA100" i="51" s="1"/>
  <c r="AC99" i="51"/>
  <c r="N99" i="51"/>
  <c r="M99" i="51"/>
  <c r="L99" i="51"/>
  <c r="K99" i="51"/>
  <c r="J99" i="51"/>
  <c r="AB99" i="51" s="1"/>
  <c r="I99" i="51"/>
  <c r="AE98" i="51"/>
  <c r="R98" i="51"/>
  <c r="T98" i="51" s="1"/>
  <c r="N98" i="51"/>
  <c r="M98" i="51"/>
  <c r="L98" i="51"/>
  <c r="K98" i="51"/>
  <c r="S98" i="51" s="1"/>
  <c r="J98" i="51"/>
  <c r="AB98" i="51" s="1"/>
  <c r="I98" i="51"/>
  <c r="S97" i="51"/>
  <c r="N97" i="51"/>
  <c r="M97" i="51"/>
  <c r="L97" i="51"/>
  <c r="AC97" i="51" s="1"/>
  <c r="K97" i="51"/>
  <c r="J97" i="51"/>
  <c r="AB97" i="51" s="1"/>
  <c r="AE97" i="51" s="1"/>
  <c r="I97" i="51"/>
  <c r="AA97" i="51" s="1"/>
  <c r="AB96" i="51"/>
  <c r="AE96" i="51" s="1"/>
  <c r="R96" i="51"/>
  <c r="T96" i="51" s="1"/>
  <c r="O96" i="51"/>
  <c r="N96" i="51"/>
  <c r="M96" i="51"/>
  <c r="L96" i="51"/>
  <c r="AC96" i="51" s="1"/>
  <c r="AF96" i="51" s="1"/>
  <c r="K96" i="51"/>
  <c r="S96" i="51" s="1"/>
  <c r="J96" i="51"/>
  <c r="I96" i="51"/>
  <c r="P96" i="51" s="1"/>
  <c r="AC95" i="51"/>
  <c r="AF95" i="51" s="1"/>
  <c r="AA95" i="51"/>
  <c r="S95" i="51"/>
  <c r="Q95" i="51"/>
  <c r="N95" i="51"/>
  <c r="M95" i="51"/>
  <c r="L95" i="51"/>
  <c r="O95" i="51" s="1"/>
  <c r="K95" i="51"/>
  <c r="J95" i="51"/>
  <c r="I95" i="51"/>
  <c r="N94" i="51"/>
  <c r="M94" i="51"/>
  <c r="O94" i="51" s="1"/>
  <c r="L94" i="51"/>
  <c r="K94" i="51"/>
  <c r="AC94" i="51" s="1"/>
  <c r="AF94" i="51" s="1"/>
  <c r="J94" i="51"/>
  <c r="AB94" i="51" s="1"/>
  <c r="AE94" i="51" s="1"/>
  <c r="I94" i="51"/>
  <c r="P94" i="51" s="1"/>
  <c r="AC93" i="51"/>
  <c r="AA93" i="51"/>
  <c r="S93" i="51"/>
  <c r="Q93" i="51"/>
  <c r="N93" i="51"/>
  <c r="M93" i="51"/>
  <c r="L93" i="51"/>
  <c r="K93" i="51"/>
  <c r="J93" i="51"/>
  <c r="AB93" i="51" s="1"/>
  <c r="AE93" i="51" s="1"/>
  <c r="I93" i="51"/>
  <c r="P93" i="51" s="1"/>
  <c r="T92" i="51"/>
  <c r="R92" i="51"/>
  <c r="N92" i="51"/>
  <c r="M92" i="51"/>
  <c r="L92" i="51"/>
  <c r="AC92" i="51" s="1"/>
  <c r="AF92" i="51" s="1"/>
  <c r="K92" i="51"/>
  <c r="J92" i="51"/>
  <c r="I92" i="51"/>
  <c r="P92" i="51" s="1"/>
  <c r="AA91" i="51"/>
  <c r="Q91" i="51"/>
  <c r="N91" i="51"/>
  <c r="M91" i="51"/>
  <c r="L91" i="51"/>
  <c r="AC91" i="51" s="1"/>
  <c r="AF91" i="51" s="1"/>
  <c r="K91" i="51"/>
  <c r="S91" i="51" s="1"/>
  <c r="J91" i="51"/>
  <c r="AB91" i="51" s="1"/>
  <c r="AE91" i="51" s="1"/>
  <c r="I91" i="51"/>
  <c r="AB90" i="51"/>
  <c r="N90" i="51"/>
  <c r="M90" i="51"/>
  <c r="L90" i="51"/>
  <c r="AC90" i="51" s="1"/>
  <c r="K90" i="51"/>
  <c r="J90" i="51"/>
  <c r="I90" i="51"/>
  <c r="U89" i="51"/>
  <c r="W89" i="51" s="1"/>
  <c r="N89" i="51"/>
  <c r="M89" i="51"/>
  <c r="O89" i="51" s="1"/>
  <c r="L89" i="51"/>
  <c r="AC89" i="51" s="1"/>
  <c r="AF89" i="51" s="1"/>
  <c r="K89" i="51"/>
  <c r="AA89" i="51" s="1"/>
  <c r="J89" i="51"/>
  <c r="R89" i="51" s="1"/>
  <c r="T89" i="51" s="1"/>
  <c r="V89" i="51" s="1"/>
  <c r="I89" i="51"/>
  <c r="Q89" i="51" s="1"/>
  <c r="AC88" i="51"/>
  <c r="AF88" i="51" s="1"/>
  <c r="U88" i="51"/>
  <c r="W88" i="51" s="1"/>
  <c r="N88" i="51"/>
  <c r="M88" i="51"/>
  <c r="O88" i="51" s="1"/>
  <c r="L88" i="51"/>
  <c r="K88" i="51"/>
  <c r="AA88" i="51" s="1"/>
  <c r="J88" i="51"/>
  <c r="R88" i="51" s="1"/>
  <c r="T88" i="51" s="1"/>
  <c r="V88" i="51" s="1"/>
  <c r="I88" i="51"/>
  <c r="Q88" i="51" s="1"/>
  <c r="AC87" i="51"/>
  <c r="AF87" i="51" s="1"/>
  <c r="U87" i="51"/>
  <c r="W87" i="51" s="1"/>
  <c r="N87" i="51"/>
  <c r="M87" i="51"/>
  <c r="O87" i="51" s="1"/>
  <c r="L87" i="51"/>
  <c r="K87" i="51"/>
  <c r="AA87" i="51" s="1"/>
  <c r="J87" i="51"/>
  <c r="R87" i="51" s="1"/>
  <c r="T87" i="51" s="1"/>
  <c r="V87" i="51" s="1"/>
  <c r="I87" i="51"/>
  <c r="Q87" i="51" s="1"/>
  <c r="AC86" i="51"/>
  <c r="AF86" i="51" s="1"/>
  <c r="U86" i="51"/>
  <c r="W86" i="51" s="1"/>
  <c r="N86" i="51"/>
  <c r="M86" i="51"/>
  <c r="O86" i="51" s="1"/>
  <c r="L86" i="51"/>
  <c r="K86" i="51"/>
  <c r="AA86" i="51" s="1"/>
  <c r="J86" i="51"/>
  <c r="R86" i="51" s="1"/>
  <c r="T86" i="51" s="1"/>
  <c r="V86" i="51" s="1"/>
  <c r="I86" i="51"/>
  <c r="Q86" i="51" s="1"/>
  <c r="AC85" i="51"/>
  <c r="AF85" i="51" s="1"/>
  <c r="U85" i="51"/>
  <c r="W85" i="51" s="1"/>
  <c r="Y85" i="51" s="1"/>
  <c r="N85" i="51"/>
  <c r="M85" i="51"/>
  <c r="O85" i="51" s="1"/>
  <c r="L85" i="51"/>
  <c r="K85" i="51"/>
  <c r="AA85" i="51" s="1"/>
  <c r="J85" i="51"/>
  <c r="R85" i="51" s="1"/>
  <c r="T85" i="51" s="1"/>
  <c r="V85" i="51" s="1"/>
  <c r="X85" i="51" s="1"/>
  <c r="I85" i="51"/>
  <c r="Q85" i="51" s="1"/>
  <c r="AC84" i="51"/>
  <c r="AF84" i="51" s="1"/>
  <c r="U84" i="51"/>
  <c r="W84" i="51" s="1"/>
  <c r="Y84" i="51" s="1"/>
  <c r="N84" i="51"/>
  <c r="M84" i="51"/>
  <c r="O84" i="51" s="1"/>
  <c r="L84" i="51"/>
  <c r="K84" i="51"/>
  <c r="AA84" i="51" s="1"/>
  <c r="J84" i="51"/>
  <c r="R84" i="51" s="1"/>
  <c r="T84" i="51" s="1"/>
  <c r="V84" i="51" s="1"/>
  <c r="X84" i="51" s="1"/>
  <c r="I84" i="51"/>
  <c r="Q84" i="51" s="1"/>
  <c r="AC83" i="51"/>
  <c r="AF83" i="51" s="1"/>
  <c r="U83" i="51"/>
  <c r="W83" i="51" s="1"/>
  <c r="Y83" i="51" s="1"/>
  <c r="N83" i="51"/>
  <c r="M83" i="51"/>
  <c r="O83" i="51" s="1"/>
  <c r="L83" i="51"/>
  <c r="K83" i="51"/>
  <c r="AA83" i="51" s="1"/>
  <c r="J83" i="51"/>
  <c r="R83" i="51" s="1"/>
  <c r="T83" i="51" s="1"/>
  <c r="V83" i="51" s="1"/>
  <c r="X83" i="51" s="1"/>
  <c r="I83" i="51"/>
  <c r="Q83" i="51" s="1"/>
  <c r="AC82" i="51"/>
  <c r="AF82" i="51" s="1"/>
  <c r="U82" i="51"/>
  <c r="W82" i="51" s="1"/>
  <c r="Y82" i="51" s="1"/>
  <c r="N82" i="51"/>
  <c r="M82" i="51"/>
  <c r="O82" i="51" s="1"/>
  <c r="L82" i="51"/>
  <c r="K82" i="51"/>
  <c r="AA82" i="51" s="1"/>
  <c r="J82" i="51"/>
  <c r="R82" i="51" s="1"/>
  <c r="T82" i="51" s="1"/>
  <c r="V82" i="51" s="1"/>
  <c r="X82" i="51" s="1"/>
  <c r="I82" i="51"/>
  <c r="Q82" i="51" s="1"/>
  <c r="U81" i="51"/>
  <c r="W81" i="51" s="1"/>
  <c r="Y81" i="51" s="1"/>
  <c r="N81" i="51"/>
  <c r="M81" i="51"/>
  <c r="O81" i="51" s="1"/>
  <c r="L81" i="51"/>
  <c r="K81" i="51"/>
  <c r="AC81" i="51" s="1"/>
  <c r="AF81" i="51" s="1"/>
  <c r="J81" i="51"/>
  <c r="R81" i="51" s="1"/>
  <c r="T81" i="51" s="1"/>
  <c r="V81" i="51" s="1"/>
  <c r="X81" i="51" s="1"/>
  <c r="I81" i="51"/>
  <c r="Q81" i="51" s="1"/>
  <c r="AC80" i="51"/>
  <c r="AF80" i="51" s="1"/>
  <c r="S80" i="51"/>
  <c r="N80" i="51"/>
  <c r="M80" i="51"/>
  <c r="O80" i="51" s="1"/>
  <c r="L80" i="51"/>
  <c r="K80" i="51"/>
  <c r="AA80" i="51" s="1"/>
  <c r="J80" i="51"/>
  <c r="R80" i="51" s="1"/>
  <c r="T80" i="51" s="1"/>
  <c r="V80" i="51" s="1"/>
  <c r="X80" i="51" s="1"/>
  <c r="I80" i="51"/>
  <c r="Q80" i="51" s="1"/>
  <c r="AB79" i="51"/>
  <c r="AA79" i="51"/>
  <c r="N79" i="51"/>
  <c r="M79" i="51"/>
  <c r="L79" i="51"/>
  <c r="AC79" i="51" s="1"/>
  <c r="K79" i="51"/>
  <c r="J79" i="51"/>
  <c r="I79" i="51"/>
  <c r="AB78" i="51"/>
  <c r="AE78" i="51" s="1"/>
  <c r="AA78" i="51"/>
  <c r="AD78" i="51" s="1"/>
  <c r="S78" i="51"/>
  <c r="O78" i="51"/>
  <c r="N78" i="51"/>
  <c r="M78" i="51"/>
  <c r="L78" i="51"/>
  <c r="AC78" i="51" s="1"/>
  <c r="AF78" i="51" s="1"/>
  <c r="K78" i="51"/>
  <c r="J78" i="51"/>
  <c r="R78" i="51" s="1"/>
  <c r="T78" i="51" s="1"/>
  <c r="I78" i="51"/>
  <c r="Q78" i="51" s="1"/>
  <c r="AA77" i="51"/>
  <c r="AD77" i="51" s="1"/>
  <c r="S77" i="51"/>
  <c r="N77" i="51"/>
  <c r="P77" i="51" s="1"/>
  <c r="M77" i="51"/>
  <c r="L77" i="51"/>
  <c r="K77" i="51"/>
  <c r="AB77" i="51" s="1"/>
  <c r="AE77" i="51" s="1"/>
  <c r="J77" i="51"/>
  <c r="R77" i="51" s="1"/>
  <c r="T77" i="51" s="1"/>
  <c r="I77" i="51"/>
  <c r="Q77" i="51" s="1"/>
  <c r="V76" i="51"/>
  <c r="X76" i="51" s="1"/>
  <c r="T76" i="51"/>
  <c r="U76" i="51" s="1"/>
  <c r="W76" i="51" s="1"/>
  <c r="N76" i="51"/>
  <c r="M76" i="51"/>
  <c r="L76" i="51"/>
  <c r="AC76" i="51" s="1"/>
  <c r="AF76" i="51" s="1"/>
  <c r="K76" i="51"/>
  <c r="S76" i="51" s="1"/>
  <c r="J76" i="51"/>
  <c r="R76" i="51" s="1"/>
  <c r="I76" i="51"/>
  <c r="Q76" i="51" s="1"/>
  <c r="AB75" i="51"/>
  <c r="AE75" i="51" s="1"/>
  <c r="N75" i="51"/>
  <c r="M75" i="51"/>
  <c r="L75" i="51"/>
  <c r="AC75" i="51" s="1"/>
  <c r="AF75" i="51" s="1"/>
  <c r="K75" i="51"/>
  <c r="S75" i="51" s="1"/>
  <c r="J75" i="51"/>
  <c r="R75" i="51" s="1"/>
  <c r="T75" i="51" s="1"/>
  <c r="I75" i="51"/>
  <c r="AA75" i="51" s="1"/>
  <c r="AD75" i="51" s="1"/>
  <c r="AB74" i="51"/>
  <c r="AE74" i="51" s="1"/>
  <c r="N74" i="51"/>
  <c r="M74" i="51"/>
  <c r="L74" i="51"/>
  <c r="AC74" i="51" s="1"/>
  <c r="AF74" i="51" s="1"/>
  <c r="K74" i="51"/>
  <c r="S74" i="51" s="1"/>
  <c r="J74" i="51"/>
  <c r="R74" i="51" s="1"/>
  <c r="T74" i="51" s="1"/>
  <c r="I74" i="51"/>
  <c r="AA74" i="51" s="1"/>
  <c r="AD74" i="51" s="1"/>
  <c r="AB73" i="51"/>
  <c r="AE73" i="51" s="1"/>
  <c r="N73" i="51"/>
  <c r="M73" i="51"/>
  <c r="L73" i="51"/>
  <c r="AC73" i="51" s="1"/>
  <c r="AF73" i="51" s="1"/>
  <c r="K73" i="51"/>
  <c r="S73" i="51" s="1"/>
  <c r="J73" i="51"/>
  <c r="R73" i="51" s="1"/>
  <c r="T73" i="51" s="1"/>
  <c r="I73" i="51"/>
  <c r="AA73" i="51" s="1"/>
  <c r="AD73" i="51" s="1"/>
  <c r="AB72" i="51"/>
  <c r="AE72" i="51" s="1"/>
  <c r="N72" i="51"/>
  <c r="M72" i="51"/>
  <c r="L72" i="51"/>
  <c r="AC72" i="51" s="1"/>
  <c r="AF72" i="51" s="1"/>
  <c r="K72" i="51"/>
  <c r="S72" i="51" s="1"/>
  <c r="J72" i="51"/>
  <c r="R72" i="51" s="1"/>
  <c r="T72" i="51" s="1"/>
  <c r="I72" i="51"/>
  <c r="AA72" i="51" s="1"/>
  <c r="AD72" i="51" s="1"/>
  <c r="AB71" i="51"/>
  <c r="AE71" i="51" s="1"/>
  <c r="N71" i="51"/>
  <c r="M71" i="51"/>
  <c r="L71" i="51"/>
  <c r="AC71" i="51" s="1"/>
  <c r="AF71" i="51" s="1"/>
  <c r="K71" i="51"/>
  <c r="S71" i="51" s="1"/>
  <c r="J71" i="51"/>
  <c r="R71" i="51" s="1"/>
  <c r="T71" i="51" s="1"/>
  <c r="I71" i="51"/>
  <c r="AA71" i="51" s="1"/>
  <c r="AD71" i="51" s="1"/>
  <c r="AA70" i="51"/>
  <c r="N70" i="51"/>
  <c r="M70" i="51"/>
  <c r="L70" i="51"/>
  <c r="AC70" i="51" s="1"/>
  <c r="K70" i="51"/>
  <c r="J70" i="51"/>
  <c r="AB70" i="51" s="1"/>
  <c r="I70" i="51"/>
  <c r="AC69" i="51"/>
  <c r="AF69" i="51" s="1"/>
  <c r="N69" i="51"/>
  <c r="M69" i="51"/>
  <c r="L69" i="51"/>
  <c r="P69" i="51" s="1"/>
  <c r="K69" i="51"/>
  <c r="AA69" i="51" s="1"/>
  <c r="AD69" i="51" s="1"/>
  <c r="J69" i="51"/>
  <c r="AB69" i="51" s="1"/>
  <c r="AE69" i="51" s="1"/>
  <c r="I69" i="51"/>
  <c r="Q69" i="51" s="1"/>
  <c r="AC68" i="51"/>
  <c r="AF68" i="51" s="1"/>
  <c r="N68" i="51"/>
  <c r="M68" i="51"/>
  <c r="L68" i="51"/>
  <c r="P68" i="51" s="1"/>
  <c r="K68" i="51"/>
  <c r="AA68" i="51" s="1"/>
  <c r="AD68" i="51" s="1"/>
  <c r="J68" i="51"/>
  <c r="AB68" i="51" s="1"/>
  <c r="AE68" i="51" s="1"/>
  <c r="I68" i="51"/>
  <c r="Q68" i="51" s="1"/>
  <c r="AC67" i="51"/>
  <c r="AF67" i="51" s="1"/>
  <c r="N67" i="51"/>
  <c r="M67" i="51"/>
  <c r="L67" i="51"/>
  <c r="P67" i="51" s="1"/>
  <c r="K67" i="51"/>
  <c r="AA67" i="51" s="1"/>
  <c r="AD67" i="51" s="1"/>
  <c r="J67" i="51"/>
  <c r="AB67" i="51" s="1"/>
  <c r="AE67" i="51" s="1"/>
  <c r="I67" i="51"/>
  <c r="Q67" i="51" s="1"/>
  <c r="AC66" i="51"/>
  <c r="AF66" i="51" s="1"/>
  <c r="N66" i="51"/>
  <c r="M66" i="51"/>
  <c r="L66" i="51"/>
  <c r="P66" i="51" s="1"/>
  <c r="K66" i="51"/>
  <c r="AA66" i="51" s="1"/>
  <c r="AD66" i="51" s="1"/>
  <c r="J66" i="51"/>
  <c r="AB66" i="51" s="1"/>
  <c r="AE66" i="51" s="1"/>
  <c r="I66" i="51"/>
  <c r="Q66" i="51" s="1"/>
  <c r="AC65" i="51"/>
  <c r="AF65" i="51" s="1"/>
  <c r="N65" i="51"/>
  <c r="M65" i="51"/>
  <c r="L65" i="51"/>
  <c r="P65" i="51" s="1"/>
  <c r="K65" i="51"/>
  <c r="AA65" i="51" s="1"/>
  <c r="AD65" i="51" s="1"/>
  <c r="J65" i="51"/>
  <c r="AB65" i="51" s="1"/>
  <c r="AE65" i="51" s="1"/>
  <c r="I65" i="51"/>
  <c r="Q65" i="51" s="1"/>
  <c r="AC64" i="51"/>
  <c r="AF64" i="51" s="1"/>
  <c r="N64" i="51"/>
  <c r="M64" i="51"/>
  <c r="L64" i="51"/>
  <c r="P64" i="51" s="1"/>
  <c r="K64" i="51"/>
  <c r="AA64" i="51" s="1"/>
  <c r="AD64" i="51" s="1"/>
  <c r="J64" i="51"/>
  <c r="AB64" i="51" s="1"/>
  <c r="AE64" i="51" s="1"/>
  <c r="I64" i="51"/>
  <c r="Q64" i="51" s="1"/>
  <c r="AC63" i="51"/>
  <c r="AF63" i="51" s="1"/>
  <c r="N63" i="51"/>
  <c r="M63" i="51"/>
  <c r="L63" i="51"/>
  <c r="P63" i="51" s="1"/>
  <c r="K63" i="51"/>
  <c r="AA63" i="51" s="1"/>
  <c r="AD63" i="51" s="1"/>
  <c r="J63" i="51"/>
  <c r="AB63" i="51" s="1"/>
  <c r="AE63" i="51" s="1"/>
  <c r="I63" i="51"/>
  <c r="Q63" i="51" s="1"/>
  <c r="AC62" i="51"/>
  <c r="AF62" i="51" s="1"/>
  <c r="N62" i="51"/>
  <c r="M62" i="51"/>
  <c r="L62" i="51"/>
  <c r="P62" i="51" s="1"/>
  <c r="K62" i="51"/>
  <c r="AA62" i="51" s="1"/>
  <c r="AD62" i="51" s="1"/>
  <c r="J62" i="51"/>
  <c r="AB62" i="51" s="1"/>
  <c r="AE62" i="51" s="1"/>
  <c r="I62" i="51"/>
  <c r="Q62" i="51" s="1"/>
  <c r="N61" i="51"/>
  <c r="M61" i="51"/>
  <c r="L61" i="51"/>
  <c r="K61" i="51"/>
  <c r="AC61" i="51" s="1"/>
  <c r="J61" i="51"/>
  <c r="I61" i="51"/>
  <c r="AA61" i="51" s="1"/>
  <c r="V60" i="51"/>
  <c r="N60" i="51"/>
  <c r="M60" i="51"/>
  <c r="L60" i="51"/>
  <c r="K60" i="51"/>
  <c r="AC60" i="51" s="1"/>
  <c r="AF60" i="51" s="1"/>
  <c r="J60" i="51"/>
  <c r="R60" i="51" s="1"/>
  <c r="T60" i="51" s="1"/>
  <c r="U60" i="51" s="1"/>
  <c r="I60" i="51"/>
  <c r="Q60" i="51" s="1"/>
  <c r="V59" i="51"/>
  <c r="N59" i="51"/>
  <c r="M59" i="51"/>
  <c r="L59" i="51"/>
  <c r="K59" i="51"/>
  <c r="AC59" i="51" s="1"/>
  <c r="AF59" i="51" s="1"/>
  <c r="J59" i="51"/>
  <c r="R59" i="51" s="1"/>
  <c r="T59" i="51" s="1"/>
  <c r="U59" i="51" s="1"/>
  <c r="I59" i="51"/>
  <c r="Q59" i="51" s="1"/>
  <c r="V58" i="51"/>
  <c r="N58" i="51"/>
  <c r="M58" i="51"/>
  <c r="L58" i="51"/>
  <c r="K58" i="51"/>
  <c r="AC58" i="51" s="1"/>
  <c r="AF58" i="51" s="1"/>
  <c r="J58" i="51"/>
  <c r="R58" i="51" s="1"/>
  <c r="T58" i="51" s="1"/>
  <c r="U58" i="51" s="1"/>
  <c r="I58" i="51"/>
  <c r="Q58" i="51" s="1"/>
  <c r="N57" i="51"/>
  <c r="M57" i="51"/>
  <c r="L57" i="51"/>
  <c r="K57" i="51"/>
  <c r="AC57" i="51" s="1"/>
  <c r="AF57" i="51" s="1"/>
  <c r="J57" i="51"/>
  <c r="AB57" i="51" s="1"/>
  <c r="I57" i="51"/>
  <c r="Q57" i="51" s="1"/>
  <c r="N56" i="51"/>
  <c r="M56" i="51"/>
  <c r="L56" i="51"/>
  <c r="K56" i="51"/>
  <c r="AC56" i="51" s="1"/>
  <c r="AF56" i="51" s="1"/>
  <c r="J56" i="51"/>
  <c r="AB56" i="51" s="1"/>
  <c r="I56" i="51"/>
  <c r="Q56" i="51" s="1"/>
  <c r="N55" i="51"/>
  <c r="M55" i="51"/>
  <c r="L55" i="51"/>
  <c r="K55" i="51"/>
  <c r="AC55" i="51" s="1"/>
  <c r="AF55" i="51" s="1"/>
  <c r="J55" i="51"/>
  <c r="AB55" i="51" s="1"/>
  <c r="I55" i="51"/>
  <c r="Q55" i="51" s="1"/>
  <c r="N54" i="51"/>
  <c r="M54" i="51"/>
  <c r="L54" i="51"/>
  <c r="K54" i="51"/>
  <c r="AC54" i="51" s="1"/>
  <c r="AF54" i="51" s="1"/>
  <c r="J54" i="51"/>
  <c r="AB54" i="51" s="1"/>
  <c r="I54" i="51"/>
  <c r="Q54" i="51" s="1"/>
  <c r="N53" i="51"/>
  <c r="M53" i="51"/>
  <c r="L53" i="51"/>
  <c r="K53" i="51"/>
  <c r="AC53" i="51" s="1"/>
  <c r="AF53" i="51" s="1"/>
  <c r="J53" i="51"/>
  <c r="AB53" i="51" s="1"/>
  <c r="I53" i="51"/>
  <c r="Q53" i="51" s="1"/>
  <c r="S52" i="51"/>
  <c r="N52" i="51"/>
  <c r="M52" i="51"/>
  <c r="L52" i="51"/>
  <c r="K52" i="51"/>
  <c r="J52" i="51"/>
  <c r="I52" i="51"/>
  <c r="Q52" i="51" s="1"/>
  <c r="AA51" i="51"/>
  <c r="N51" i="51"/>
  <c r="M51" i="51"/>
  <c r="L51" i="51"/>
  <c r="AC51" i="51" s="1"/>
  <c r="K51" i="51"/>
  <c r="J51" i="51"/>
  <c r="AB51" i="51" s="1"/>
  <c r="I51" i="51"/>
  <c r="AB50" i="51"/>
  <c r="AE50" i="51" s="1"/>
  <c r="V50" i="51"/>
  <c r="X50" i="51" s="1"/>
  <c r="T50" i="51"/>
  <c r="U50" i="51" s="1"/>
  <c r="W50" i="51" s="1"/>
  <c r="Y50" i="51" s="1"/>
  <c r="Z50" i="51" s="1"/>
  <c r="N50" i="51"/>
  <c r="M50" i="51"/>
  <c r="L50" i="51"/>
  <c r="AC50" i="51" s="1"/>
  <c r="K50" i="51"/>
  <c r="S50" i="51" s="1"/>
  <c r="J50" i="51"/>
  <c r="R50" i="51" s="1"/>
  <c r="I50" i="51"/>
  <c r="AA50" i="51" s="1"/>
  <c r="AD50" i="51" s="1"/>
  <c r="AB49" i="51"/>
  <c r="AE49" i="51" s="1"/>
  <c r="T49" i="51"/>
  <c r="N49" i="51"/>
  <c r="M49" i="51"/>
  <c r="L49" i="51"/>
  <c r="AC49" i="51" s="1"/>
  <c r="AF49" i="51" s="1"/>
  <c r="K49" i="51"/>
  <c r="S49" i="51" s="1"/>
  <c r="J49" i="51"/>
  <c r="R49" i="51" s="1"/>
  <c r="I49" i="51"/>
  <c r="AA49" i="51" s="1"/>
  <c r="AD49" i="51" s="1"/>
  <c r="AE48" i="51"/>
  <c r="AB48" i="51"/>
  <c r="V48" i="51"/>
  <c r="X48" i="51" s="1"/>
  <c r="T48" i="51"/>
  <c r="U48" i="51" s="1"/>
  <c r="W48" i="51" s="1"/>
  <c r="Y48" i="51" s="1"/>
  <c r="Z48" i="51" s="1"/>
  <c r="N48" i="51"/>
  <c r="O48" i="51" s="1"/>
  <c r="M48" i="51"/>
  <c r="L48" i="51"/>
  <c r="AC48" i="51" s="1"/>
  <c r="K48" i="51"/>
  <c r="S48" i="51" s="1"/>
  <c r="J48" i="51"/>
  <c r="R48" i="51" s="1"/>
  <c r="I48" i="51"/>
  <c r="AA48" i="51" s="1"/>
  <c r="AD48" i="51" s="1"/>
  <c r="AD47" i="51"/>
  <c r="AB47" i="51"/>
  <c r="AE47" i="51" s="1"/>
  <c r="N47" i="51"/>
  <c r="M47" i="51"/>
  <c r="L47" i="51"/>
  <c r="AC47" i="51" s="1"/>
  <c r="AF47" i="51" s="1"/>
  <c r="K47" i="51"/>
  <c r="S47" i="51" s="1"/>
  <c r="J47" i="51"/>
  <c r="R47" i="51" s="1"/>
  <c r="T47" i="51" s="1"/>
  <c r="I47" i="51"/>
  <c r="AA47" i="51" s="1"/>
  <c r="U46" i="51"/>
  <c r="W46" i="51" s="1"/>
  <c r="Y46" i="51" s="1"/>
  <c r="Z46" i="51" s="1"/>
  <c r="N46" i="51"/>
  <c r="M46" i="51"/>
  <c r="L46" i="51"/>
  <c r="K46" i="51"/>
  <c r="AC46" i="51" s="1"/>
  <c r="AF46" i="51" s="1"/>
  <c r="J46" i="51"/>
  <c r="R46" i="51" s="1"/>
  <c r="T46" i="51" s="1"/>
  <c r="V46" i="51" s="1"/>
  <c r="X46" i="51" s="1"/>
  <c r="I46" i="51"/>
  <c r="AA46" i="51" s="1"/>
  <c r="AD46" i="51" s="1"/>
  <c r="AC45" i="51"/>
  <c r="AF45" i="51" s="1"/>
  <c r="U45" i="51"/>
  <c r="W45" i="51" s="1"/>
  <c r="Y45" i="51" s="1"/>
  <c r="Z45" i="51" s="1"/>
  <c r="N45" i="51"/>
  <c r="M45" i="51"/>
  <c r="L45" i="51"/>
  <c r="K45" i="51"/>
  <c r="S45" i="51" s="1"/>
  <c r="J45" i="51"/>
  <c r="R45" i="51" s="1"/>
  <c r="T45" i="51" s="1"/>
  <c r="V45" i="51" s="1"/>
  <c r="X45" i="51" s="1"/>
  <c r="I45" i="51"/>
  <c r="Q45" i="51" s="1"/>
  <c r="AC44" i="51"/>
  <c r="AF44" i="51" s="1"/>
  <c r="U44" i="51"/>
  <c r="W44" i="51" s="1"/>
  <c r="Y44" i="51" s="1"/>
  <c r="Z44" i="51" s="1"/>
  <c r="N44" i="51"/>
  <c r="M44" i="51"/>
  <c r="L44" i="51"/>
  <c r="K44" i="51"/>
  <c r="S44" i="51" s="1"/>
  <c r="J44" i="51"/>
  <c r="R44" i="51" s="1"/>
  <c r="T44" i="51" s="1"/>
  <c r="V44" i="51" s="1"/>
  <c r="X44" i="51" s="1"/>
  <c r="I44" i="51"/>
  <c r="Q44" i="51" s="1"/>
  <c r="AC43" i="51"/>
  <c r="AF43" i="51" s="1"/>
  <c r="U43" i="51"/>
  <c r="W43" i="51" s="1"/>
  <c r="Y43" i="51" s="1"/>
  <c r="Z43" i="51" s="1"/>
  <c r="N43" i="51"/>
  <c r="M43" i="51"/>
  <c r="L43" i="51"/>
  <c r="K43" i="51"/>
  <c r="S43" i="51" s="1"/>
  <c r="J43" i="51"/>
  <c r="R43" i="51" s="1"/>
  <c r="T43" i="51" s="1"/>
  <c r="V43" i="51" s="1"/>
  <c r="X43" i="51" s="1"/>
  <c r="I43" i="51"/>
  <c r="Q43" i="51" s="1"/>
  <c r="AC42" i="51"/>
  <c r="AF42" i="51" s="1"/>
  <c r="U42" i="51"/>
  <c r="W42" i="51" s="1"/>
  <c r="Y42" i="51" s="1"/>
  <c r="Z42" i="51" s="1"/>
  <c r="N42" i="51"/>
  <c r="M42" i="51"/>
  <c r="L42" i="51"/>
  <c r="K42" i="51"/>
  <c r="S42" i="51" s="1"/>
  <c r="J42" i="51"/>
  <c r="R42" i="51" s="1"/>
  <c r="T42" i="51" s="1"/>
  <c r="V42" i="51" s="1"/>
  <c r="X42" i="51" s="1"/>
  <c r="I42" i="51"/>
  <c r="Q42" i="51" s="1"/>
  <c r="AC41" i="51"/>
  <c r="AF41" i="51" s="1"/>
  <c r="U41" i="51"/>
  <c r="W41" i="51" s="1"/>
  <c r="Y41" i="51" s="1"/>
  <c r="Z41" i="51" s="1"/>
  <c r="N41" i="51"/>
  <c r="M41" i="51"/>
  <c r="L41" i="51"/>
  <c r="K41" i="51"/>
  <c r="S41" i="51" s="1"/>
  <c r="J41" i="51"/>
  <c r="R41" i="51" s="1"/>
  <c r="T41" i="51" s="1"/>
  <c r="V41" i="51" s="1"/>
  <c r="X41" i="51" s="1"/>
  <c r="I41" i="51"/>
  <c r="Q41" i="51" s="1"/>
  <c r="AA40" i="51"/>
  <c r="N40" i="51"/>
  <c r="M40" i="51"/>
  <c r="L40" i="51"/>
  <c r="AC40" i="51" s="1"/>
  <c r="K40" i="51"/>
  <c r="J40" i="51"/>
  <c r="AB40" i="51" s="1"/>
  <c r="I40" i="51"/>
  <c r="AD39" i="51"/>
  <c r="N39" i="51"/>
  <c r="M39" i="51"/>
  <c r="L39" i="51"/>
  <c r="K39" i="51"/>
  <c r="S39" i="51" s="1"/>
  <c r="J39" i="51"/>
  <c r="R39" i="51" s="1"/>
  <c r="T39" i="51" s="1"/>
  <c r="U39" i="51" s="1"/>
  <c r="W39" i="51" s="1"/>
  <c r="I39" i="51"/>
  <c r="AA39" i="51" s="1"/>
  <c r="AD38" i="51"/>
  <c r="N38" i="51"/>
  <c r="M38" i="51"/>
  <c r="L38" i="51"/>
  <c r="K38" i="51"/>
  <c r="S38" i="51" s="1"/>
  <c r="J38" i="51"/>
  <c r="R38" i="51" s="1"/>
  <c r="T38" i="51" s="1"/>
  <c r="U38" i="51" s="1"/>
  <c r="W38" i="51" s="1"/>
  <c r="I38" i="51"/>
  <c r="AA38" i="51" s="1"/>
  <c r="AD37" i="51"/>
  <c r="N37" i="51"/>
  <c r="P37" i="51" s="1"/>
  <c r="M37" i="51"/>
  <c r="L37" i="51"/>
  <c r="K37" i="51"/>
  <c r="S37" i="51" s="1"/>
  <c r="J37" i="51"/>
  <c r="R37" i="51" s="1"/>
  <c r="T37" i="51" s="1"/>
  <c r="U37" i="51" s="1"/>
  <c r="W37" i="51" s="1"/>
  <c r="I37" i="51"/>
  <c r="AA37" i="51" s="1"/>
  <c r="AD36" i="51"/>
  <c r="N36" i="51"/>
  <c r="P36" i="51" s="1"/>
  <c r="M36" i="51"/>
  <c r="L36" i="51"/>
  <c r="K36" i="51"/>
  <c r="S36" i="51" s="1"/>
  <c r="J36" i="51"/>
  <c r="R36" i="51" s="1"/>
  <c r="T36" i="51" s="1"/>
  <c r="U36" i="51" s="1"/>
  <c r="W36" i="51" s="1"/>
  <c r="I36" i="51"/>
  <c r="AA36" i="51" s="1"/>
  <c r="AD35" i="51"/>
  <c r="N35" i="51"/>
  <c r="P35" i="51" s="1"/>
  <c r="M35" i="51"/>
  <c r="L35" i="51"/>
  <c r="K35" i="51"/>
  <c r="S35" i="51" s="1"/>
  <c r="J35" i="51"/>
  <c r="R35" i="51" s="1"/>
  <c r="T35" i="51" s="1"/>
  <c r="U35" i="51" s="1"/>
  <c r="W35" i="51" s="1"/>
  <c r="I35" i="51"/>
  <c r="AA35" i="51" s="1"/>
  <c r="AD34" i="51"/>
  <c r="N34" i="51"/>
  <c r="P34" i="51" s="1"/>
  <c r="M34" i="51"/>
  <c r="L34" i="51"/>
  <c r="K34" i="51"/>
  <c r="S34" i="51" s="1"/>
  <c r="J34" i="51"/>
  <c r="R34" i="51" s="1"/>
  <c r="T34" i="51" s="1"/>
  <c r="U34" i="51" s="1"/>
  <c r="W34" i="51" s="1"/>
  <c r="I34" i="51"/>
  <c r="AA34" i="51" s="1"/>
  <c r="AD33" i="51"/>
  <c r="N33" i="51"/>
  <c r="M33" i="51"/>
  <c r="L33" i="51"/>
  <c r="AC33" i="51" s="1"/>
  <c r="AF33" i="51" s="1"/>
  <c r="K33" i="51"/>
  <c r="S33" i="51" s="1"/>
  <c r="J33" i="51"/>
  <c r="R33" i="51" s="1"/>
  <c r="T33" i="51" s="1"/>
  <c r="U33" i="51" s="1"/>
  <c r="W33" i="51" s="1"/>
  <c r="I33" i="51"/>
  <c r="AA33" i="51" s="1"/>
  <c r="AD32" i="51"/>
  <c r="N32" i="51"/>
  <c r="M32" i="51"/>
  <c r="L32" i="51"/>
  <c r="AC32" i="51" s="1"/>
  <c r="AF32" i="51" s="1"/>
  <c r="K32" i="51"/>
  <c r="S32" i="51" s="1"/>
  <c r="J32" i="51"/>
  <c r="R32" i="51" s="1"/>
  <c r="T32" i="51" s="1"/>
  <c r="U32" i="51" s="1"/>
  <c r="W32" i="51" s="1"/>
  <c r="I32" i="51"/>
  <c r="AA32" i="51" s="1"/>
  <c r="AD31" i="51"/>
  <c r="N31" i="51"/>
  <c r="M31" i="51"/>
  <c r="L31" i="51"/>
  <c r="AC31" i="51" s="1"/>
  <c r="AF31" i="51" s="1"/>
  <c r="K31" i="51"/>
  <c r="S31" i="51" s="1"/>
  <c r="J31" i="51"/>
  <c r="R31" i="51" s="1"/>
  <c r="T31" i="51" s="1"/>
  <c r="U31" i="51" s="1"/>
  <c r="W31" i="51" s="1"/>
  <c r="I31" i="51"/>
  <c r="AA31" i="51" s="1"/>
  <c r="AD30" i="51"/>
  <c r="N30" i="51"/>
  <c r="M30" i="51"/>
  <c r="L30" i="51"/>
  <c r="AC30" i="51" s="1"/>
  <c r="AF30" i="51" s="1"/>
  <c r="K30" i="51"/>
  <c r="S30" i="51" s="1"/>
  <c r="J30" i="51"/>
  <c r="R30" i="51" s="1"/>
  <c r="T30" i="51" s="1"/>
  <c r="U30" i="51" s="1"/>
  <c r="W30" i="51" s="1"/>
  <c r="I30" i="51"/>
  <c r="AA30" i="51" s="1"/>
  <c r="AD29" i="51"/>
  <c r="N29" i="51"/>
  <c r="M29" i="51"/>
  <c r="L29" i="51"/>
  <c r="AC29" i="51" s="1"/>
  <c r="AF29" i="51" s="1"/>
  <c r="K29" i="51"/>
  <c r="S29" i="51" s="1"/>
  <c r="J29" i="51"/>
  <c r="R29" i="51" s="1"/>
  <c r="T29" i="51" s="1"/>
  <c r="U29" i="51" s="1"/>
  <c r="W29" i="51" s="1"/>
  <c r="I29" i="51"/>
  <c r="AA29" i="51" s="1"/>
  <c r="AC28" i="51"/>
  <c r="AB28" i="51"/>
  <c r="AA28" i="51"/>
  <c r="N28" i="51"/>
  <c r="M28" i="51"/>
  <c r="L28" i="51"/>
  <c r="K28" i="51"/>
  <c r="J28" i="51"/>
  <c r="I28" i="51"/>
  <c r="O27" i="51"/>
  <c r="N27" i="51"/>
  <c r="M27" i="51"/>
  <c r="L27" i="51"/>
  <c r="K27" i="51"/>
  <c r="S27" i="51" s="1"/>
  <c r="J27" i="51"/>
  <c r="AB27" i="51" s="1"/>
  <c r="AE27" i="51" s="1"/>
  <c r="I27" i="51"/>
  <c r="AA27" i="51" s="1"/>
  <c r="AE26" i="51"/>
  <c r="O26" i="51"/>
  <c r="N26" i="51"/>
  <c r="M26" i="51"/>
  <c r="L26" i="51"/>
  <c r="K26" i="51"/>
  <c r="S26" i="51" s="1"/>
  <c r="J26" i="51"/>
  <c r="AB26" i="51" s="1"/>
  <c r="I26" i="51"/>
  <c r="AA26" i="51" s="1"/>
  <c r="AD26" i="51" s="1"/>
  <c r="O25" i="51"/>
  <c r="N25" i="51"/>
  <c r="M25" i="51"/>
  <c r="L25" i="51"/>
  <c r="K25" i="51"/>
  <c r="S25" i="51" s="1"/>
  <c r="J25" i="51"/>
  <c r="AB25" i="51" s="1"/>
  <c r="AE25" i="51" s="1"/>
  <c r="I25" i="51"/>
  <c r="AA25" i="51" s="1"/>
  <c r="AE24" i="51"/>
  <c r="O24" i="51"/>
  <c r="N24" i="51"/>
  <c r="M24" i="51"/>
  <c r="L24" i="51"/>
  <c r="K24" i="51"/>
  <c r="S24" i="51" s="1"/>
  <c r="J24" i="51"/>
  <c r="AB24" i="51" s="1"/>
  <c r="I24" i="51"/>
  <c r="AA24" i="51" s="1"/>
  <c r="O23" i="51"/>
  <c r="N23" i="51"/>
  <c r="M23" i="51"/>
  <c r="L23" i="51"/>
  <c r="K23" i="51"/>
  <c r="S23" i="51" s="1"/>
  <c r="J23" i="51"/>
  <c r="AB23" i="51" s="1"/>
  <c r="AE23" i="51" s="1"/>
  <c r="I23" i="51"/>
  <c r="AA23" i="51" s="1"/>
  <c r="AE22" i="51"/>
  <c r="O22" i="51"/>
  <c r="N22" i="51"/>
  <c r="M22" i="51"/>
  <c r="L22" i="51"/>
  <c r="K22" i="51"/>
  <c r="S22" i="51" s="1"/>
  <c r="J22" i="51"/>
  <c r="AB22" i="51" s="1"/>
  <c r="I22" i="51"/>
  <c r="AA22" i="51" s="1"/>
  <c r="AD22" i="51" s="1"/>
  <c r="O21" i="51"/>
  <c r="N21" i="51"/>
  <c r="M21" i="51"/>
  <c r="L21" i="51"/>
  <c r="K21" i="51"/>
  <c r="S21" i="51" s="1"/>
  <c r="J21" i="51"/>
  <c r="AB21" i="51" s="1"/>
  <c r="AE21" i="51" s="1"/>
  <c r="I21" i="51"/>
  <c r="AA21" i="51" s="1"/>
  <c r="AE20" i="51"/>
  <c r="O20" i="51"/>
  <c r="N20" i="51"/>
  <c r="M20" i="51"/>
  <c r="L20" i="51"/>
  <c r="K20" i="51"/>
  <c r="S20" i="51" s="1"/>
  <c r="J20" i="51"/>
  <c r="AB20" i="51" s="1"/>
  <c r="I20" i="51"/>
  <c r="AA20" i="51" s="1"/>
  <c r="AD20" i="51" s="1"/>
  <c r="AE19" i="51"/>
  <c r="N19" i="51"/>
  <c r="M19" i="51"/>
  <c r="L19" i="51"/>
  <c r="K19" i="51"/>
  <c r="S19" i="51" s="1"/>
  <c r="J19" i="51"/>
  <c r="AB19" i="51" s="1"/>
  <c r="I19" i="51"/>
  <c r="S18" i="51"/>
  <c r="N18" i="51"/>
  <c r="M18" i="51"/>
  <c r="L18" i="51"/>
  <c r="K18" i="51"/>
  <c r="AC18" i="51" s="1"/>
  <c r="AF18" i="51" s="1"/>
  <c r="J18" i="51"/>
  <c r="AB18" i="51" s="1"/>
  <c r="AE18" i="51" s="1"/>
  <c r="I18" i="51"/>
  <c r="P18" i="51" s="1"/>
  <c r="S17" i="51"/>
  <c r="N17" i="51"/>
  <c r="M17" i="51"/>
  <c r="L17" i="51"/>
  <c r="K17" i="51"/>
  <c r="AC17" i="51" s="1"/>
  <c r="AF17" i="51" s="1"/>
  <c r="J17" i="51"/>
  <c r="AB17" i="51" s="1"/>
  <c r="AE17" i="51" s="1"/>
  <c r="I17" i="51"/>
  <c r="P17" i="51" s="1"/>
  <c r="S16" i="51"/>
  <c r="N16" i="51"/>
  <c r="M16" i="51"/>
  <c r="L16" i="51"/>
  <c r="K16" i="51"/>
  <c r="AC16" i="51" s="1"/>
  <c r="AF16" i="51" s="1"/>
  <c r="J16" i="51"/>
  <c r="AB16" i="51" s="1"/>
  <c r="AE16" i="51" s="1"/>
  <c r="I16" i="51"/>
  <c r="P16" i="51" s="1"/>
  <c r="N15" i="51"/>
  <c r="M15" i="51"/>
  <c r="L15" i="51"/>
  <c r="AC15" i="51" s="1"/>
  <c r="AF11" i="51" s="1"/>
  <c r="K15" i="51"/>
  <c r="J15" i="51"/>
  <c r="I15" i="51"/>
  <c r="V14" i="51"/>
  <c r="X14" i="51" s="1"/>
  <c r="N14" i="51"/>
  <c r="M14" i="51"/>
  <c r="L14" i="51"/>
  <c r="K14" i="51"/>
  <c r="S14" i="51" s="1"/>
  <c r="J14" i="51"/>
  <c r="R14" i="51" s="1"/>
  <c r="T14" i="51" s="1"/>
  <c r="U14" i="51" s="1"/>
  <c r="I14" i="51"/>
  <c r="AB13" i="51"/>
  <c r="P13" i="51"/>
  <c r="N13" i="51"/>
  <c r="M13" i="51"/>
  <c r="L13" i="51"/>
  <c r="AC13" i="51" s="1"/>
  <c r="K13" i="51"/>
  <c r="S13" i="51" s="1"/>
  <c r="J13" i="51"/>
  <c r="I13" i="51"/>
  <c r="Q13" i="51" s="1"/>
  <c r="AB12" i="51"/>
  <c r="Q12" i="51"/>
  <c r="N12" i="51"/>
  <c r="M12" i="51"/>
  <c r="L12" i="51"/>
  <c r="AC12" i="51" s="1"/>
  <c r="AF12" i="51" s="1"/>
  <c r="K12" i="51"/>
  <c r="S12" i="51" s="1"/>
  <c r="J12" i="51"/>
  <c r="R12" i="51" s="1"/>
  <c r="T12" i="51" s="1"/>
  <c r="I12" i="51"/>
  <c r="AB11" i="51"/>
  <c r="R11" i="51"/>
  <c r="T11" i="51" s="1"/>
  <c r="P11" i="51"/>
  <c r="N11" i="51"/>
  <c r="M11" i="51"/>
  <c r="L11" i="51"/>
  <c r="AC11" i="51" s="1"/>
  <c r="K11" i="51"/>
  <c r="S11" i="51" s="1"/>
  <c r="J11" i="51"/>
  <c r="I11" i="51"/>
  <c r="AB10" i="51"/>
  <c r="N10" i="51"/>
  <c r="M10" i="51"/>
  <c r="L10" i="51"/>
  <c r="K10" i="51"/>
  <c r="S10" i="51" s="1"/>
  <c r="J10" i="51"/>
  <c r="R10" i="51" s="1"/>
  <c r="T10" i="51" s="1"/>
  <c r="I10" i="51"/>
  <c r="AC9" i="51"/>
  <c r="AF9" i="51" s="1"/>
  <c r="S9" i="51"/>
  <c r="R9" i="51"/>
  <c r="T9" i="51" s="1"/>
  <c r="N9" i="51"/>
  <c r="M9" i="51"/>
  <c r="L9" i="51"/>
  <c r="K9" i="51"/>
  <c r="AA9" i="51" s="1"/>
  <c r="J9" i="51"/>
  <c r="AB9" i="51" s="1"/>
  <c r="I9" i="51"/>
  <c r="P9" i="51" s="1"/>
  <c r="N8" i="51"/>
  <c r="M8" i="51"/>
  <c r="L8" i="51"/>
  <c r="AC8" i="51" s="1"/>
  <c r="K8" i="51"/>
  <c r="S5" i="51" s="1"/>
  <c r="J8" i="51"/>
  <c r="I8" i="51"/>
  <c r="N7" i="51"/>
  <c r="M7" i="51"/>
  <c r="L7" i="51"/>
  <c r="K7" i="51"/>
  <c r="J7" i="51"/>
  <c r="I7" i="51"/>
  <c r="Q7" i="51" s="1"/>
  <c r="T6" i="51"/>
  <c r="S6" i="51"/>
  <c r="R6" i="51"/>
  <c r="N6" i="51"/>
  <c r="M6" i="51"/>
  <c r="L6" i="51"/>
  <c r="K6" i="51"/>
  <c r="AA6" i="51" s="1"/>
  <c r="J6" i="51"/>
  <c r="AB6" i="51" s="1"/>
  <c r="I6" i="51"/>
  <c r="Q6" i="51" s="1"/>
  <c r="AB5" i="51"/>
  <c r="AA5" i="51"/>
  <c r="R5" i="51"/>
  <c r="T5" i="51" s="1"/>
  <c r="N5" i="51"/>
  <c r="M5" i="51"/>
  <c r="L5" i="51"/>
  <c r="K5" i="51"/>
  <c r="J5" i="51"/>
  <c r="I5" i="51"/>
  <c r="Q5" i="51" s="1"/>
  <c r="AB4" i="51"/>
  <c r="AA4" i="51"/>
  <c r="N4" i="51"/>
  <c r="M4" i="51"/>
  <c r="L4" i="51"/>
  <c r="K4" i="51"/>
  <c r="S4" i="51" s="1"/>
  <c r="J4" i="51"/>
  <c r="R4" i="51" s="1"/>
  <c r="T4" i="51" s="1"/>
  <c r="I4" i="51"/>
  <c r="Q4" i="51" s="1"/>
  <c r="N3" i="51"/>
  <c r="M3" i="51"/>
  <c r="L3" i="51"/>
  <c r="K3" i="51"/>
  <c r="J3" i="51"/>
  <c r="I3" i="51"/>
  <c r="Q3" i="51" s="1"/>
  <c r="AA78" i="50"/>
  <c r="N78" i="50"/>
  <c r="M78" i="50"/>
  <c r="L78" i="50"/>
  <c r="AC78" i="50" s="1"/>
  <c r="K78" i="50"/>
  <c r="J78" i="50"/>
  <c r="I78" i="50"/>
  <c r="AC77" i="50"/>
  <c r="AF77" i="50" s="1"/>
  <c r="T77" i="50"/>
  <c r="S77" i="50"/>
  <c r="O77" i="50"/>
  <c r="N77" i="50"/>
  <c r="M77" i="50"/>
  <c r="L77" i="50"/>
  <c r="P77" i="50" s="1"/>
  <c r="K77" i="50"/>
  <c r="AB77" i="50" s="1"/>
  <c r="J77" i="50"/>
  <c r="R77" i="50" s="1"/>
  <c r="I77" i="50"/>
  <c r="Q77" i="50" s="1"/>
  <c r="AC76" i="50"/>
  <c r="AF76" i="50" s="1"/>
  <c r="AB76" i="50"/>
  <c r="S76" i="50"/>
  <c r="O76" i="50"/>
  <c r="N76" i="50"/>
  <c r="M76" i="50"/>
  <c r="L76" i="50"/>
  <c r="P76" i="50" s="1"/>
  <c r="K76" i="50"/>
  <c r="AA76" i="50" s="1"/>
  <c r="AD76" i="50" s="1"/>
  <c r="J76" i="50"/>
  <c r="R76" i="50" s="1"/>
  <c r="T76" i="50" s="1"/>
  <c r="I76" i="50"/>
  <c r="Q76" i="50" s="1"/>
  <c r="AC75" i="50"/>
  <c r="AF75" i="50" s="1"/>
  <c r="AB75" i="50"/>
  <c r="AA75" i="50"/>
  <c r="AD75" i="50" s="1"/>
  <c r="T75" i="50"/>
  <c r="V75" i="50" s="1"/>
  <c r="S75" i="50"/>
  <c r="O75" i="50"/>
  <c r="N75" i="50"/>
  <c r="M75" i="50"/>
  <c r="L75" i="50"/>
  <c r="P75" i="50" s="1"/>
  <c r="K75" i="50"/>
  <c r="J75" i="50"/>
  <c r="R75" i="50" s="1"/>
  <c r="I75" i="50"/>
  <c r="Q75" i="50" s="1"/>
  <c r="AC74" i="50"/>
  <c r="AF74" i="50" s="1"/>
  <c r="AB74" i="50"/>
  <c r="AA74" i="50"/>
  <c r="AD74" i="50" s="1"/>
  <c r="T74" i="50"/>
  <c r="V74" i="50" s="1"/>
  <c r="N74" i="50"/>
  <c r="M74" i="50"/>
  <c r="L74" i="50"/>
  <c r="P74" i="50" s="1"/>
  <c r="K74" i="50"/>
  <c r="S74" i="50" s="1"/>
  <c r="J74" i="50"/>
  <c r="R74" i="50" s="1"/>
  <c r="I74" i="50"/>
  <c r="Q74" i="50" s="1"/>
  <c r="AB73" i="50"/>
  <c r="AA73" i="50"/>
  <c r="AD73" i="50" s="1"/>
  <c r="N73" i="50"/>
  <c r="M73" i="50"/>
  <c r="L73" i="50"/>
  <c r="K73" i="50"/>
  <c r="S73" i="50" s="1"/>
  <c r="J73" i="50"/>
  <c r="R73" i="50" s="1"/>
  <c r="T73" i="50" s="1"/>
  <c r="I73" i="50"/>
  <c r="Q73" i="50" s="1"/>
  <c r="N72" i="50"/>
  <c r="M72" i="50"/>
  <c r="L72" i="50"/>
  <c r="K72" i="50"/>
  <c r="AA72" i="50" s="1"/>
  <c r="AD72" i="50" s="1"/>
  <c r="J72" i="50"/>
  <c r="R72" i="50" s="1"/>
  <c r="T72" i="50" s="1"/>
  <c r="I72" i="50"/>
  <c r="Q72" i="50" s="1"/>
  <c r="W71" i="50"/>
  <c r="U71" i="50"/>
  <c r="N71" i="50"/>
  <c r="M71" i="50"/>
  <c r="L71" i="50"/>
  <c r="P71" i="50" s="1"/>
  <c r="K71" i="50"/>
  <c r="J71" i="50"/>
  <c r="R71" i="50" s="1"/>
  <c r="T71" i="50" s="1"/>
  <c r="V71" i="50" s="1"/>
  <c r="I71" i="50"/>
  <c r="Q71" i="50" s="1"/>
  <c r="N70" i="50"/>
  <c r="M70" i="50"/>
  <c r="L70" i="50"/>
  <c r="K70" i="50"/>
  <c r="S70" i="50" s="1"/>
  <c r="J70" i="50"/>
  <c r="R70" i="50" s="1"/>
  <c r="T70" i="50" s="1"/>
  <c r="I70" i="50"/>
  <c r="Q70" i="50" s="1"/>
  <c r="AB69" i="50"/>
  <c r="AA69" i="50"/>
  <c r="AD69" i="50" s="1"/>
  <c r="S69" i="50"/>
  <c r="O69" i="50"/>
  <c r="N69" i="50"/>
  <c r="M69" i="50"/>
  <c r="L69" i="50"/>
  <c r="AC69" i="50" s="1"/>
  <c r="AF69" i="50" s="1"/>
  <c r="K69" i="50"/>
  <c r="J69" i="50"/>
  <c r="R69" i="50" s="1"/>
  <c r="T69" i="50" s="1"/>
  <c r="I69" i="50"/>
  <c r="Q69" i="50" s="1"/>
  <c r="AC68" i="50"/>
  <c r="AF68" i="50" s="1"/>
  <c r="AB68" i="50"/>
  <c r="AA68" i="50"/>
  <c r="AD68" i="50" s="1"/>
  <c r="S68" i="50"/>
  <c r="P68" i="50"/>
  <c r="O68" i="50"/>
  <c r="N68" i="50"/>
  <c r="M68" i="50"/>
  <c r="L68" i="50"/>
  <c r="K68" i="50"/>
  <c r="J68" i="50"/>
  <c r="R68" i="50" s="1"/>
  <c r="T68" i="50" s="1"/>
  <c r="I68" i="50"/>
  <c r="Q68" i="50" s="1"/>
  <c r="U67" i="50"/>
  <c r="W67" i="50" s="1"/>
  <c r="Y67" i="50" s="1"/>
  <c r="Z67" i="50" s="1"/>
  <c r="T67" i="50"/>
  <c r="V67" i="50" s="1"/>
  <c r="X67" i="50" s="1"/>
  <c r="N67" i="50"/>
  <c r="M67" i="50"/>
  <c r="L67" i="50"/>
  <c r="AC67" i="50" s="1"/>
  <c r="AF67" i="50" s="1"/>
  <c r="K67" i="50"/>
  <c r="J67" i="50"/>
  <c r="R67" i="50" s="1"/>
  <c r="I67" i="50"/>
  <c r="Q67" i="50" s="1"/>
  <c r="AC66" i="50"/>
  <c r="AF66" i="50" s="1"/>
  <c r="AB66" i="50"/>
  <c r="AA66" i="50"/>
  <c r="AD66" i="50" s="1"/>
  <c r="S66" i="50"/>
  <c r="P66" i="50"/>
  <c r="O66" i="50"/>
  <c r="N66" i="50"/>
  <c r="M66" i="50"/>
  <c r="L66" i="50"/>
  <c r="K66" i="50"/>
  <c r="J66" i="50"/>
  <c r="R66" i="50" s="1"/>
  <c r="T66" i="50" s="1"/>
  <c r="I66" i="50"/>
  <c r="Q66" i="50" s="1"/>
  <c r="V65" i="50"/>
  <c r="X65" i="50" s="1"/>
  <c r="U65" i="50"/>
  <c r="W65" i="50" s="1"/>
  <c r="Y65" i="50" s="1"/>
  <c r="Z65" i="50" s="1"/>
  <c r="T65" i="50"/>
  <c r="N65" i="50"/>
  <c r="M65" i="50"/>
  <c r="L65" i="50"/>
  <c r="K65" i="50"/>
  <c r="AB65" i="50" s="1"/>
  <c r="J65" i="50"/>
  <c r="R65" i="50" s="1"/>
  <c r="I65" i="50"/>
  <c r="AA65" i="50" s="1"/>
  <c r="AD65" i="50" s="1"/>
  <c r="AC64" i="50"/>
  <c r="AF64" i="50" s="1"/>
  <c r="AB64" i="50"/>
  <c r="S64" i="50"/>
  <c r="N64" i="50"/>
  <c r="M64" i="50"/>
  <c r="L64" i="50"/>
  <c r="K64" i="50"/>
  <c r="J64" i="50"/>
  <c r="R64" i="50" s="1"/>
  <c r="T64" i="50" s="1"/>
  <c r="I64" i="50"/>
  <c r="AA64" i="50" s="1"/>
  <c r="AD64" i="50" s="1"/>
  <c r="T63" i="50"/>
  <c r="V63" i="50" s="1"/>
  <c r="X63" i="50" s="1"/>
  <c r="N63" i="50"/>
  <c r="M63" i="50"/>
  <c r="L63" i="50"/>
  <c r="K63" i="50"/>
  <c r="AC63" i="50" s="1"/>
  <c r="AF63" i="50" s="1"/>
  <c r="J63" i="50"/>
  <c r="R63" i="50" s="1"/>
  <c r="I63" i="50"/>
  <c r="AB62" i="50"/>
  <c r="S62" i="50"/>
  <c r="N62" i="50"/>
  <c r="O62" i="50" s="1"/>
  <c r="M62" i="50"/>
  <c r="L62" i="50"/>
  <c r="AC62" i="50" s="1"/>
  <c r="AF62" i="50" s="1"/>
  <c r="K62" i="50"/>
  <c r="J62" i="50"/>
  <c r="R62" i="50" s="1"/>
  <c r="T62" i="50" s="1"/>
  <c r="I62" i="50"/>
  <c r="AA62" i="50" s="1"/>
  <c r="AD62" i="50" s="1"/>
  <c r="AC61" i="50"/>
  <c r="AB61" i="50"/>
  <c r="AA61" i="50"/>
  <c r="N61" i="50"/>
  <c r="M61" i="50"/>
  <c r="L61" i="50"/>
  <c r="K61" i="50"/>
  <c r="J61" i="50"/>
  <c r="I61" i="50"/>
  <c r="AE60" i="50"/>
  <c r="N60" i="50"/>
  <c r="M60" i="50"/>
  <c r="L60" i="50"/>
  <c r="AC60" i="50" s="1"/>
  <c r="AF60" i="50" s="1"/>
  <c r="K60" i="50"/>
  <c r="S60" i="50" s="1"/>
  <c r="J60" i="50"/>
  <c r="AB60" i="50" s="1"/>
  <c r="I60" i="50"/>
  <c r="AA60" i="50" s="1"/>
  <c r="AD59" i="50"/>
  <c r="AC59" i="50"/>
  <c r="AF59" i="50" s="1"/>
  <c r="N59" i="50"/>
  <c r="M59" i="50"/>
  <c r="L59" i="50"/>
  <c r="K59" i="50"/>
  <c r="S59" i="50" s="1"/>
  <c r="J59" i="50"/>
  <c r="AB59" i="50" s="1"/>
  <c r="AE59" i="50" s="1"/>
  <c r="I59" i="50"/>
  <c r="AA59" i="50" s="1"/>
  <c r="R58" i="50"/>
  <c r="T58" i="50" s="1"/>
  <c r="Q58" i="50"/>
  <c r="N58" i="50"/>
  <c r="M58" i="50"/>
  <c r="L58" i="50"/>
  <c r="AC58" i="50" s="1"/>
  <c r="AF58" i="50" s="1"/>
  <c r="K58" i="50"/>
  <c r="S58" i="50" s="1"/>
  <c r="J58" i="50"/>
  <c r="AB58" i="50" s="1"/>
  <c r="AE58" i="50" s="1"/>
  <c r="I58" i="50"/>
  <c r="AF57" i="50"/>
  <c r="AC57" i="50"/>
  <c r="P57" i="50"/>
  <c r="O57" i="50"/>
  <c r="N57" i="50"/>
  <c r="M57" i="50"/>
  <c r="L57" i="50"/>
  <c r="K57" i="50"/>
  <c r="S57" i="50" s="1"/>
  <c r="J57" i="50"/>
  <c r="AB57" i="50" s="1"/>
  <c r="AE57" i="50" s="1"/>
  <c r="I57" i="50"/>
  <c r="AA57" i="50" s="1"/>
  <c r="AD57" i="50" s="1"/>
  <c r="AF56" i="50"/>
  <c r="N56" i="50"/>
  <c r="M56" i="50"/>
  <c r="L56" i="50"/>
  <c r="AC56" i="50" s="1"/>
  <c r="K56" i="50"/>
  <c r="S56" i="50" s="1"/>
  <c r="J56" i="50"/>
  <c r="AB56" i="50" s="1"/>
  <c r="AE56" i="50" s="1"/>
  <c r="I56" i="50"/>
  <c r="AA56" i="50" s="1"/>
  <c r="N55" i="50"/>
  <c r="M55" i="50"/>
  <c r="L55" i="50"/>
  <c r="AC55" i="50" s="1"/>
  <c r="AF55" i="50" s="1"/>
  <c r="K55" i="50"/>
  <c r="S55" i="50" s="1"/>
  <c r="J55" i="50"/>
  <c r="AB55" i="50" s="1"/>
  <c r="AE55" i="50" s="1"/>
  <c r="I55" i="50"/>
  <c r="AA55" i="50" s="1"/>
  <c r="Q54" i="50"/>
  <c r="N54" i="50"/>
  <c r="M54" i="50"/>
  <c r="L54" i="50"/>
  <c r="AC54" i="50" s="1"/>
  <c r="AF54" i="50" s="1"/>
  <c r="K54" i="50"/>
  <c r="S54" i="50" s="1"/>
  <c r="J54" i="50"/>
  <c r="AB54" i="50" s="1"/>
  <c r="AE54" i="50" s="1"/>
  <c r="I54" i="50"/>
  <c r="AF53" i="50"/>
  <c r="AC53" i="50"/>
  <c r="P53" i="50"/>
  <c r="O53" i="50"/>
  <c r="N53" i="50"/>
  <c r="M53" i="50"/>
  <c r="L53" i="50"/>
  <c r="K53" i="50"/>
  <c r="S53" i="50" s="1"/>
  <c r="J53" i="50"/>
  <c r="AB53" i="50" s="1"/>
  <c r="AE53" i="50" s="1"/>
  <c r="I53" i="50"/>
  <c r="AA53" i="50" s="1"/>
  <c r="AD53" i="50" s="1"/>
  <c r="N52" i="50"/>
  <c r="M52" i="50"/>
  <c r="L52" i="50"/>
  <c r="AC52" i="50" s="1"/>
  <c r="AF52" i="50" s="1"/>
  <c r="K52" i="50"/>
  <c r="S52" i="50" s="1"/>
  <c r="J52" i="50"/>
  <c r="AB52" i="50" s="1"/>
  <c r="AE52" i="50" s="1"/>
  <c r="I52" i="50"/>
  <c r="AA52" i="50" s="1"/>
  <c r="AC51" i="50"/>
  <c r="AF51" i="50" s="1"/>
  <c r="N51" i="50"/>
  <c r="M51" i="50"/>
  <c r="L51" i="50"/>
  <c r="K51" i="50"/>
  <c r="S51" i="50" s="1"/>
  <c r="J51" i="50"/>
  <c r="AB51" i="50" s="1"/>
  <c r="AE51" i="50" s="1"/>
  <c r="I51" i="50"/>
  <c r="P51" i="50" s="1"/>
  <c r="AA50" i="50"/>
  <c r="AD50" i="50" s="1"/>
  <c r="T50" i="50"/>
  <c r="S50" i="50"/>
  <c r="N50" i="50"/>
  <c r="M50" i="50"/>
  <c r="L50" i="50"/>
  <c r="AC50" i="50" s="1"/>
  <c r="AF50" i="50" s="1"/>
  <c r="K50" i="50"/>
  <c r="AB50" i="50" s="1"/>
  <c r="AE50" i="50" s="1"/>
  <c r="J50" i="50"/>
  <c r="R50" i="50" s="1"/>
  <c r="I50" i="50"/>
  <c r="Q50" i="50" s="1"/>
  <c r="AB49" i="50"/>
  <c r="AE49" i="50" s="1"/>
  <c r="AA49" i="50"/>
  <c r="AD49" i="50" s="1"/>
  <c r="N49" i="50"/>
  <c r="M49" i="50"/>
  <c r="L49" i="50"/>
  <c r="K49" i="50"/>
  <c r="S49" i="50" s="1"/>
  <c r="J49" i="50"/>
  <c r="R49" i="50" s="1"/>
  <c r="T49" i="50" s="1"/>
  <c r="I49" i="50"/>
  <c r="Q49" i="50" s="1"/>
  <c r="T48" i="50"/>
  <c r="S48" i="50"/>
  <c r="R48" i="50"/>
  <c r="N48" i="50"/>
  <c r="M48" i="50"/>
  <c r="L48" i="50"/>
  <c r="AC48" i="50" s="1"/>
  <c r="AF48" i="50" s="1"/>
  <c r="K48" i="50"/>
  <c r="AB48" i="50" s="1"/>
  <c r="AE48" i="50" s="1"/>
  <c r="J48" i="50"/>
  <c r="I48" i="50"/>
  <c r="Q48" i="50" s="1"/>
  <c r="Q47" i="50"/>
  <c r="N47" i="50"/>
  <c r="M47" i="50"/>
  <c r="L47" i="50"/>
  <c r="K47" i="50"/>
  <c r="J47" i="50"/>
  <c r="R47" i="50" s="1"/>
  <c r="T47" i="50" s="1"/>
  <c r="I47" i="50"/>
  <c r="N46" i="50"/>
  <c r="M46" i="50"/>
  <c r="L46" i="50"/>
  <c r="K46" i="50"/>
  <c r="J46" i="50"/>
  <c r="AB46" i="50" s="1"/>
  <c r="I46" i="50"/>
  <c r="R45" i="50"/>
  <c r="T45" i="50" s="1"/>
  <c r="N45" i="50"/>
  <c r="M45" i="50"/>
  <c r="L45" i="50"/>
  <c r="K45" i="50"/>
  <c r="AC45" i="50" s="1"/>
  <c r="J45" i="50"/>
  <c r="AB45" i="50" s="1"/>
  <c r="AE45" i="50" s="1"/>
  <c r="I45" i="50"/>
  <c r="Q45" i="50" s="1"/>
  <c r="AB44" i="50"/>
  <c r="AE44" i="50" s="1"/>
  <c r="AA44" i="50"/>
  <c r="S44" i="50"/>
  <c r="N44" i="50"/>
  <c r="M44" i="50"/>
  <c r="L44" i="50"/>
  <c r="AC44" i="50" s="1"/>
  <c r="K44" i="50"/>
  <c r="J44" i="50"/>
  <c r="I44" i="50"/>
  <c r="Q44" i="50" s="1"/>
  <c r="R43" i="50"/>
  <c r="T43" i="50" s="1"/>
  <c r="N43" i="50"/>
  <c r="M43" i="50"/>
  <c r="L43" i="50"/>
  <c r="K43" i="50"/>
  <c r="J43" i="50"/>
  <c r="AB43" i="50" s="1"/>
  <c r="AE43" i="50" s="1"/>
  <c r="I43" i="50"/>
  <c r="Q43" i="50" s="1"/>
  <c r="AB42" i="50"/>
  <c r="AE42" i="50" s="1"/>
  <c r="S42" i="50"/>
  <c r="N42" i="50"/>
  <c r="M42" i="50"/>
  <c r="L42" i="50"/>
  <c r="K42" i="50"/>
  <c r="AA42" i="50" s="1"/>
  <c r="J42" i="50"/>
  <c r="R42" i="50" s="1"/>
  <c r="T42" i="50" s="1"/>
  <c r="I42" i="50"/>
  <c r="Q42" i="50" s="1"/>
  <c r="AA41" i="50"/>
  <c r="S41" i="50"/>
  <c r="N41" i="50"/>
  <c r="M41" i="50"/>
  <c r="L41" i="50"/>
  <c r="P41" i="50" s="1"/>
  <c r="K41" i="50"/>
  <c r="J41" i="50"/>
  <c r="I41" i="50"/>
  <c r="Q41" i="50" s="1"/>
  <c r="O40" i="50"/>
  <c r="N40" i="50"/>
  <c r="M40" i="50"/>
  <c r="L40" i="50"/>
  <c r="P40" i="50" s="1"/>
  <c r="K40" i="50"/>
  <c r="J40" i="50"/>
  <c r="R40" i="50" s="1"/>
  <c r="T40" i="50" s="1"/>
  <c r="V40" i="50" s="1"/>
  <c r="I40" i="50"/>
  <c r="Q40" i="50" s="1"/>
  <c r="P39" i="50"/>
  <c r="O39" i="50"/>
  <c r="N39" i="50"/>
  <c r="M39" i="50"/>
  <c r="L39" i="50"/>
  <c r="K39" i="50"/>
  <c r="AC39" i="50" s="1"/>
  <c r="J39" i="50"/>
  <c r="AB39" i="50" s="1"/>
  <c r="AE39" i="50" s="1"/>
  <c r="I39" i="50"/>
  <c r="Q39" i="50" s="1"/>
  <c r="AE38" i="50"/>
  <c r="O38" i="50"/>
  <c r="N38" i="50"/>
  <c r="M38" i="50"/>
  <c r="L38" i="50"/>
  <c r="P38" i="50" s="1"/>
  <c r="K38" i="50"/>
  <c r="J38" i="50"/>
  <c r="AB38" i="50" s="1"/>
  <c r="I38" i="50"/>
  <c r="Q38" i="50" s="1"/>
  <c r="T37" i="50"/>
  <c r="V37" i="50" s="1"/>
  <c r="X37" i="50" s="1"/>
  <c r="R37" i="50"/>
  <c r="P37" i="50"/>
  <c r="O37" i="50"/>
  <c r="N37" i="50"/>
  <c r="M37" i="50"/>
  <c r="L37" i="50"/>
  <c r="K37" i="50"/>
  <c r="AC37" i="50" s="1"/>
  <c r="J37" i="50"/>
  <c r="I37" i="50"/>
  <c r="Q37" i="50" s="1"/>
  <c r="N36" i="50"/>
  <c r="M36" i="50"/>
  <c r="L36" i="50"/>
  <c r="K36" i="50"/>
  <c r="S36" i="50" s="1"/>
  <c r="J36" i="50"/>
  <c r="AB36" i="50" s="1"/>
  <c r="AE36" i="50" s="1"/>
  <c r="I36" i="50"/>
  <c r="Q36" i="50" s="1"/>
  <c r="AA35" i="50"/>
  <c r="S35" i="50"/>
  <c r="N35" i="50"/>
  <c r="M35" i="50"/>
  <c r="L35" i="50"/>
  <c r="P35" i="50" s="1"/>
  <c r="K35" i="50"/>
  <c r="AC35" i="50" s="1"/>
  <c r="J35" i="50"/>
  <c r="R35" i="50" s="1"/>
  <c r="T35" i="50" s="1"/>
  <c r="I35" i="50"/>
  <c r="Q35" i="50" s="1"/>
  <c r="AA34" i="50"/>
  <c r="S34" i="50"/>
  <c r="R34" i="50"/>
  <c r="T34" i="50" s="1"/>
  <c r="P34" i="50"/>
  <c r="N34" i="50"/>
  <c r="M34" i="50"/>
  <c r="L34" i="50"/>
  <c r="O34" i="50" s="1"/>
  <c r="K34" i="50"/>
  <c r="J34" i="50"/>
  <c r="AB34" i="50" s="1"/>
  <c r="AE34" i="50" s="1"/>
  <c r="I34" i="50"/>
  <c r="Q34" i="50" s="1"/>
  <c r="AA33" i="50"/>
  <c r="S33" i="50"/>
  <c r="N33" i="50"/>
  <c r="M33" i="50"/>
  <c r="O33" i="50" s="1"/>
  <c r="L33" i="50"/>
  <c r="AC33" i="50" s="1"/>
  <c r="K33" i="50"/>
  <c r="J33" i="50"/>
  <c r="AB33" i="50" s="1"/>
  <c r="AE33" i="50" s="1"/>
  <c r="I33" i="50"/>
  <c r="Q33" i="50" s="1"/>
  <c r="AA32" i="50"/>
  <c r="N32" i="50"/>
  <c r="M32" i="50"/>
  <c r="L32" i="50"/>
  <c r="K32" i="50"/>
  <c r="J32" i="50"/>
  <c r="I32" i="50"/>
  <c r="V31" i="50"/>
  <c r="U31" i="50"/>
  <c r="W31" i="50" s="1"/>
  <c r="T31" i="50"/>
  <c r="N31" i="50"/>
  <c r="M31" i="50"/>
  <c r="L31" i="50"/>
  <c r="AC31" i="50" s="1"/>
  <c r="K31" i="50"/>
  <c r="AB31" i="50" s="1"/>
  <c r="J31" i="50"/>
  <c r="R31" i="50" s="1"/>
  <c r="I31" i="50"/>
  <c r="AA31" i="50" s="1"/>
  <c r="AD31" i="50" s="1"/>
  <c r="AC30" i="50"/>
  <c r="AB30" i="50"/>
  <c r="U30" i="50"/>
  <c r="W30" i="50" s="1"/>
  <c r="N30" i="50"/>
  <c r="M30" i="50"/>
  <c r="L30" i="50"/>
  <c r="K30" i="50"/>
  <c r="S30" i="50" s="1"/>
  <c r="J30" i="50"/>
  <c r="R30" i="50" s="1"/>
  <c r="T30" i="50" s="1"/>
  <c r="V30" i="50" s="1"/>
  <c r="I30" i="50"/>
  <c r="AA30" i="50" s="1"/>
  <c r="AD30" i="50" s="1"/>
  <c r="AC29" i="50"/>
  <c r="AB29" i="50"/>
  <c r="N29" i="50"/>
  <c r="M29" i="50"/>
  <c r="L29" i="50"/>
  <c r="K29" i="50"/>
  <c r="S29" i="50" s="1"/>
  <c r="J29" i="50"/>
  <c r="R29" i="50" s="1"/>
  <c r="T29" i="50" s="1"/>
  <c r="V29" i="50" s="1"/>
  <c r="I29" i="50"/>
  <c r="AA29" i="50" s="1"/>
  <c r="AD29" i="50" s="1"/>
  <c r="AC28" i="50"/>
  <c r="AB28" i="50"/>
  <c r="N28" i="50"/>
  <c r="M28" i="50"/>
  <c r="L28" i="50"/>
  <c r="K28" i="50"/>
  <c r="S28" i="50" s="1"/>
  <c r="J28" i="50"/>
  <c r="R28" i="50" s="1"/>
  <c r="T28" i="50" s="1"/>
  <c r="V28" i="50" s="1"/>
  <c r="I28" i="50"/>
  <c r="AA28" i="50" s="1"/>
  <c r="AD28" i="50" s="1"/>
  <c r="AC27" i="50"/>
  <c r="AB27" i="50"/>
  <c r="U27" i="50"/>
  <c r="W27" i="50" s="1"/>
  <c r="N27" i="50"/>
  <c r="M27" i="50"/>
  <c r="L27" i="50"/>
  <c r="K27" i="50"/>
  <c r="S27" i="50" s="1"/>
  <c r="J27" i="50"/>
  <c r="R27" i="50" s="1"/>
  <c r="T27" i="50" s="1"/>
  <c r="V27" i="50" s="1"/>
  <c r="I27" i="50"/>
  <c r="AA27" i="50" s="1"/>
  <c r="AD27" i="50" s="1"/>
  <c r="AC26" i="50"/>
  <c r="AB26" i="50"/>
  <c r="U26" i="50"/>
  <c r="W26" i="50" s="1"/>
  <c r="N26" i="50"/>
  <c r="M26" i="50"/>
  <c r="L26" i="50"/>
  <c r="K26" i="50"/>
  <c r="S26" i="50" s="1"/>
  <c r="J26" i="50"/>
  <c r="R26" i="50" s="1"/>
  <c r="T26" i="50" s="1"/>
  <c r="V26" i="50" s="1"/>
  <c r="I26" i="50"/>
  <c r="AA26" i="50" s="1"/>
  <c r="AD26" i="50" s="1"/>
  <c r="AC25" i="50"/>
  <c r="AB25" i="50"/>
  <c r="Q25" i="50"/>
  <c r="N25" i="50"/>
  <c r="M25" i="50"/>
  <c r="L25" i="50"/>
  <c r="K25" i="50"/>
  <c r="S25" i="50" s="1"/>
  <c r="J25" i="50"/>
  <c r="R25" i="50" s="1"/>
  <c r="T25" i="50" s="1"/>
  <c r="I25" i="50"/>
  <c r="AC24" i="50"/>
  <c r="AB24" i="50"/>
  <c r="Q24" i="50"/>
  <c r="N24" i="50"/>
  <c r="M24" i="50"/>
  <c r="L24" i="50"/>
  <c r="K24" i="50"/>
  <c r="S24" i="50" s="1"/>
  <c r="J24" i="50"/>
  <c r="R24" i="50" s="1"/>
  <c r="T24" i="50" s="1"/>
  <c r="V24" i="50" s="1"/>
  <c r="I24" i="50"/>
  <c r="AA23" i="50"/>
  <c r="N23" i="50"/>
  <c r="M23" i="50"/>
  <c r="L23" i="50"/>
  <c r="AC23" i="50" s="1"/>
  <c r="K23" i="50"/>
  <c r="J23" i="50"/>
  <c r="AB23" i="50" s="1"/>
  <c r="I23" i="50"/>
  <c r="AC22" i="50"/>
  <c r="U22" i="50"/>
  <c r="W22" i="50" s="1"/>
  <c r="Y22" i="50" s="1"/>
  <c r="Z22" i="50" s="1"/>
  <c r="R22" i="50"/>
  <c r="T22" i="50" s="1"/>
  <c r="V22" i="50" s="1"/>
  <c r="X22" i="50" s="1"/>
  <c r="N22" i="50"/>
  <c r="M22" i="50"/>
  <c r="O22" i="50" s="1"/>
  <c r="L22" i="50"/>
  <c r="K22" i="50"/>
  <c r="S22" i="50" s="1"/>
  <c r="J22" i="50"/>
  <c r="AB22" i="50" s="1"/>
  <c r="AE22" i="50" s="1"/>
  <c r="I22" i="50"/>
  <c r="AA22" i="50" s="1"/>
  <c r="AD22" i="50" s="1"/>
  <c r="AD21" i="50"/>
  <c r="AC21" i="50"/>
  <c r="V21" i="50"/>
  <c r="X21" i="50" s="1"/>
  <c r="R21" i="50"/>
  <c r="T21" i="50" s="1"/>
  <c r="U21" i="50" s="1"/>
  <c r="W21" i="50" s="1"/>
  <c r="Y21" i="50" s="1"/>
  <c r="Z21" i="50" s="1"/>
  <c r="N21" i="50"/>
  <c r="M21" i="50"/>
  <c r="L21" i="50"/>
  <c r="P21" i="50" s="1"/>
  <c r="K21" i="50"/>
  <c r="S21" i="50" s="1"/>
  <c r="J21" i="50"/>
  <c r="AB21" i="50" s="1"/>
  <c r="AE21" i="50" s="1"/>
  <c r="I21" i="50"/>
  <c r="AA21" i="50" s="1"/>
  <c r="AC20" i="50"/>
  <c r="U20" i="50"/>
  <c r="W20" i="50" s="1"/>
  <c r="R20" i="50"/>
  <c r="T20" i="50" s="1"/>
  <c r="V20" i="50" s="1"/>
  <c r="X20" i="50" s="1"/>
  <c r="N20" i="50"/>
  <c r="M20" i="50"/>
  <c r="O20" i="50" s="1"/>
  <c r="L20" i="50"/>
  <c r="K20" i="50"/>
  <c r="S20" i="50" s="1"/>
  <c r="J20" i="50"/>
  <c r="AB20" i="50" s="1"/>
  <c r="AE20" i="50" s="1"/>
  <c r="I20" i="50"/>
  <c r="AA20" i="50" s="1"/>
  <c r="AD20" i="50" s="1"/>
  <c r="AD19" i="50"/>
  <c r="AC19" i="50"/>
  <c r="V19" i="50"/>
  <c r="X19" i="50" s="1"/>
  <c r="R19" i="50"/>
  <c r="T19" i="50" s="1"/>
  <c r="U19" i="50" s="1"/>
  <c r="W19" i="50" s="1"/>
  <c r="Y19" i="50" s="1"/>
  <c r="Z19" i="50" s="1"/>
  <c r="N19" i="50"/>
  <c r="M19" i="50"/>
  <c r="L19" i="50"/>
  <c r="P19" i="50" s="1"/>
  <c r="K19" i="50"/>
  <c r="S19" i="50" s="1"/>
  <c r="J19" i="50"/>
  <c r="AB19" i="50" s="1"/>
  <c r="AE19" i="50" s="1"/>
  <c r="I19" i="50"/>
  <c r="AA19" i="50" s="1"/>
  <c r="AC18" i="50"/>
  <c r="U18" i="50"/>
  <c r="W18" i="50" s="1"/>
  <c r="R18" i="50"/>
  <c r="T18" i="50" s="1"/>
  <c r="V18" i="50" s="1"/>
  <c r="X18" i="50" s="1"/>
  <c r="N18" i="50"/>
  <c r="M18" i="50"/>
  <c r="O18" i="50" s="1"/>
  <c r="L18" i="50"/>
  <c r="K18" i="50"/>
  <c r="S18" i="50" s="1"/>
  <c r="J18" i="50"/>
  <c r="AB18" i="50" s="1"/>
  <c r="AE18" i="50" s="1"/>
  <c r="I18" i="50"/>
  <c r="AA18" i="50" s="1"/>
  <c r="AD18" i="50" s="1"/>
  <c r="AA17" i="50"/>
  <c r="N17" i="50"/>
  <c r="M17" i="50"/>
  <c r="L17" i="50"/>
  <c r="K17" i="50"/>
  <c r="J17" i="50"/>
  <c r="I17" i="50"/>
  <c r="O16" i="50"/>
  <c r="N16" i="50"/>
  <c r="P16" i="50" s="1"/>
  <c r="M16" i="50"/>
  <c r="L16" i="50"/>
  <c r="K16" i="50"/>
  <c r="AC16" i="50" s="1"/>
  <c r="J16" i="50"/>
  <c r="I16" i="50"/>
  <c r="Q16" i="50" s="1"/>
  <c r="S15" i="50"/>
  <c r="N15" i="50"/>
  <c r="P15" i="50" s="1"/>
  <c r="M15" i="50"/>
  <c r="L15" i="50"/>
  <c r="K15" i="50"/>
  <c r="AC15" i="50" s="1"/>
  <c r="J15" i="50"/>
  <c r="I15" i="50"/>
  <c r="Q15" i="50" s="1"/>
  <c r="N14" i="50"/>
  <c r="M14" i="50"/>
  <c r="L14" i="50"/>
  <c r="K14" i="50"/>
  <c r="AC14" i="50" s="1"/>
  <c r="J14" i="50"/>
  <c r="I14" i="50"/>
  <c r="Q14" i="50" s="1"/>
  <c r="N13" i="50"/>
  <c r="P13" i="50" s="1"/>
  <c r="M13" i="50"/>
  <c r="L13" i="50"/>
  <c r="K13" i="50"/>
  <c r="J13" i="50"/>
  <c r="I13" i="50"/>
  <c r="Q13" i="50" s="1"/>
  <c r="S12" i="50"/>
  <c r="O12" i="50"/>
  <c r="N12" i="50"/>
  <c r="P12" i="50" s="1"/>
  <c r="M12" i="50"/>
  <c r="L12" i="50"/>
  <c r="K12" i="50"/>
  <c r="AC12" i="50" s="1"/>
  <c r="J12" i="50"/>
  <c r="I12" i="50"/>
  <c r="Q12" i="50" s="1"/>
  <c r="S11" i="50"/>
  <c r="O11" i="50"/>
  <c r="N11" i="50"/>
  <c r="P11" i="50" s="1"/>
  <c r="M11" i="50"/>
  <c r="L11" i="50"/>
  <c r="K11" i="50"/>
  <c r="AC11" i="50" s="1"/>
  <c r="J11" i="50"/>
  <c r="AB11" i="50" s="1"/>
  <c r="I11" i="50"/>
  <c r="Q11" i="50" s="1"/>
  <c r="AB10" i="50"/>
  <c r="AE9" i="50" s="1"/>
  <c r="AA10" i="50"/>
  <c r="N10" i="50"/>
  <c r="M10" i="50"/>
  <c r="L10" i="50"/>
  <c r="AC10" i="50" s="1"/>
  <c r="K10" i="50"/>
  <c r="J10" i="50"/>
  <c r="I10" i="50"/>
  <c r="AF9" i="50"/>
  <c r="AB9" i="50"/>
  <c r="P9" i="50"/>
  <c r="N9" i="50"/>
  <c r="M9" i="50"/>
  <c r="L9" i="50"/>
  <c r="AC9" i="50" s="1"/>
  <c r="K9" i="50"/>
  <c r="S9" i="50" s="1"/>
  <c r="J9" i="50"/>
  <c r="R9" i="50" s="1"/>
  <c r="T9" i="50" s="1"/>
  <c r="I9" i="50"/>
  <c r="AA9" i="50" s="1"/>
  <c r="AD9" i="50" s="1"/>
  <c r="AF8" i="50"/>
  <c r="AB8" i="50"/>
  <c r="AE8" i="50" s="1"/>
  <c r="T8" i="50"/>
  <c r="N8" i="50"/>
  <c r="M8" i="50"/>
  <c r="L8" i="50"/>
  <c r="AC8" i="50" s="1"/>
  <c r="K8" i="50"/>
  <c r="S8" i="50" s="1"/>
  <c r="J8" i="50"/>
  <c r="R8" i="50" s="1"/>
  <c r="I8" i="50"/>
  <c r="AA8" i="50" s="1"/>
  <c r="AD8" i="50" s="1"/>
  <c r="AB7" i="50"/>
  <c r="AE7" i="50" s="1"/>
  <c r="O7" i="50"/>
  <c r="N7" i="50"/>
  <c r="M7" i="50"/>
  <c r="L7" i="50"/>
  <c r="AC7" i="50" s="1"/>
  <c r="AF7" i="50" s="1"/>
  <c r="K7" i="50"/>
  <c r="S7" i="50" s="1"/>
  <c r="J7" i="50"/>
  <c r="R7" i="50" s="1"/>
  <c r="T7" i="50" s="1"/>
  <c r="I7" i="50"/>
  <c r="AA7" i="50" s="1"/>
  <c r="AD7" i="50" s="1"/>
  <c r="AE6" i="50"/>
  <c r="AB6" i="50"/>
  <c r="P6" i="50"/>
  <c r="N6" i="50"/>
  <c r="M6" i="50"/>
  <c r="L6" i="50"/>
  <c r="AC6" i="50" s="1"/>
  <c r="AF6" i="50" s="1"/>
  <c r="K6" i="50"/>
  <c r="S6" i="50" s="1"/>
  <c r="J6" i="50"/>
  <c r="R6" i="50" s="1"/>
  <c r="T6" i="50" s="1"/>
  <c r="I6" i="50"/>
  <c r="AA6" i="50" s="1"/>
  <c r="AF5" i="50"/>
  <c r="AB5" i="50"/>
  <c r="P5" i="50"/>
  <c r="N5" i="50"/>
  <c r="M5" i="50"/>
  <c r="L5" i="50"/>
  <c r="AC5" i="50" s="1"/>
  <c r="K5" i="50"/>
  <c r="S5" i="50" s="1"/>
  <c r="J5" i="50"/>
  <c r="R5" i="50" s="1"/>
  <c r="T5" i="50" s="1"/>
  <c r="I5" i="50"/>
  <c r="AA5" i="50" s="1"/>
  <c r="AD5" i="50" s="1"/>
  <c r="AF4" i="50"/>
  <c r="AB4" i="50"/>
  <c r="AE4" i="50" s="1"/>
  <c r="T4" i="50"/>
  <c r="N4" i="50"/>
  <c r="M4" i="50"/>
  <c r="L4" i="50"/>
  <c r="AC4" i="50" s="1"/>
  <c r="K4" i="50"/>
  <c r="S4" i="50" s="1"/>
  <c r="J4" i="50"/>
  <c r="R4" i="50" s="1"/>
  <c r="I4" i="50"/>
  <c r="AA4" i="50" s="1"/>
  <c r="AD4" i="50" s="1"/>
  <c r="AF3" i="50"/>
  <c r="AB3" i="50"/>
  <c r="AE3" i="50" s="1"/>
  <c r="P3" i="50"/>
  <c r="O3" i="50"/>
  <c r="N3" i="50"/>
  <c r="M3" i="50"/>
  <c r="L3" i="50"/>
  <c r="AC3" i="50" s="1"/>
  <c r="K3" i="50"/>
  <c r="S3" i="50" s="1"/>
  <c r="J3" i="50"/>
  <c r="R3" i="50" s="1"/>
  <c r="T3" i="50" s="1"/>
  <c r="I3" i="50"/>
  <c r="AA3" i="50" s="1"/>
  <c r="AC43" i="52"/>
  <c r="AB43" i="52"/>
  <c r="N43" i="52"/>
  <c r="M43" i="52"/>
  <c r="L43" i="52"/>
  <c r="K43" i="52"/>
  <c r="J43" i="52"/>
  <c r="I43" i="52"/>
  <c r="AC42" i="52"/>
  <c r="AF42" i="52" s="1"/>
  <c r="P42" i="52"/>
  <c r="N42" i="52"/>
  <c r="M42" i="52"/>
  <c r="L42" i="52"/>
  <c r="K42" i="52"/>
  <c r="S42" i="52" s="1"/>
  <c r="J42" i="52"/>
  <c r="AB42" i="52" s="1"/>
  <c r="AE42" i="52" s="1"/>
  <c r="I42" i="52"/>
  <c r="AA42" i="52" s="1"/>
  <c r="AC41" i="52"/>
  <c r="P41" i="52"/>
  <c r="N41" i="52"/>
  <c r="M41" i="52"/>
  <c r="O41" i="52" s="1"/>
  <c r="L41" i="52"/>
  <c r="K41" i="52"/>
  <c r="S41" i="52" s="1"/>
  <c r="J41" i="52"/>
  <c r="AB41" i="52" s="1"/>
  <c r="AE41" i="52" s="1"/>
  <c r="I41" i="52"/>
  <c r="AA41" i="52" s="1"/>
  <c r="AC40" i="52"/>
  <c r="O40" i="52"/>
  <c r="N40" i="52"/>
  <c r="M40" i="52"/>
  <c r="L40" i="52"/>
  <c r="K40" i="52"/>
  <c r="S40" i="52" s="1"/>
  <c r="J40" i="52"/>
  <c r="AB40" i="52" s="1"/>
  <c r="AE40" i="52" s="1"/>
  <c r="I40" i="52"/>
  <c r="AA40" i="52" s="1"/>
  <c r="AE39" i="52"/>
  <c r="AC39" i="52"/>
  <c r="AF39" i="52" s="1"/>
  <c r="N39" i="52"/>
  <c r="M39" i="52"/>
  <c r="L39" i="52"/>
  <c r="K39" i="52"/>
  <c r="S39" i="52" s="1"/>
  <c r="J39" i="52"/>
  <c r="AB39" i="52" s="1"/>
  <c r="I39" i="52"/>
  <c r="AC38" i="52"/>
  <c r="AF38" i="52" s="1"/>
  <c r="P38" i="52"/>
  <c r="N38" i="52"/>
  <c r="M38" i="52"/>
  <c r="L38" i="52"/>
  <c r="K38" i="52"/>
  <c r="S38" i="52" s="1"/>
  <c r="J38" i="52"/>
  <c r="AB38" i="52" s="1"/>
  <c r="AE38" i="52" s="1"/>
  <c r="I38" i="52"/>
  <c r="AA38" i="52" s="1"/>
  <c r="N37" i="52"/>
  <c r="M37" i="52"/>
  <c r="L37" i="52"/>
  <c r="K37" i="52"/>
  <c r="J37" i="52"/>
  <c r="AB37" i="52" s="1"/>
  <c r="I37" i="52"/>
  <c r="Q36" i="52"/>
  <c r="P36" i="52"/>
  <c r="N36" i="52"/>
  <c r="M36" i="52"/>
  <c r="L36" i="52"/>
  <c r="K36" i="52"/>
  <c r="AC36" i="52" s="1"/>
  <c r="J36" i="52"/>
  <c r="AB36" i="52" s="1"/>
  <c r="AE36" i="52" s="1"/>
  <c r="I36" i="52"/>
  <c r="AC35" i="52"/>
  <c r="P35" i="52"/>
  <c r="N35" i="52"/>
  <c r="M35" i="52"/>
  <c r="O35" i="52" s="1"/>
  <c r="L35" i="52"/>
  <c r="K35" i="52"/>
  <c r="AA35" i="52" s="1"/>
  <c r="J35" i="52"/>
  <c r="AB35" i="52" s="1"/>
  <c r="AE35" i="52" s="1"/>
  <c r="I35" i="52"/>
  <c r="Q35" i="52" s="1"/>
  <c r="AC34" i="52"/>
  <c r="P34" i="52"/>
  <c r="N34" i="52"/>
  <c r="M34" i="52"/>
  <c r="O34" i="52" s="1"/>
  <c r="L34" i="52"/>
  <c r="K34" i="52"/>
  <c r="AA34" i="52" s="1"/>
  <c r="J34" i="52"/>
  <c r="AB34" i="52" s="1"/>
  <c r="AE34" i="52" s="1"/>
  <c r="I34" i="52"/>
  <c r="Q34" i="52" s="1"/>
  <c r="AC33" i="52"/>
  <c r="P33" i="52"/>
  <c r="N33" i="52"/>
  <c r="M33" i="52"/>
  <c r="O33" i="52" s="1"/>
  <c r="L33" i="52"/>
  <c r="K33" i="52"/>
  <c r="AA33" i="52" s="1"/>
  <c r="J33" i="52"/>
  <c r="AB33" i="52" s="1"/>
  <c r="AE33" i="52" s="1"/>
  <c r="I33" i="52"/>
  <c r="Q33" i="52" s="1"/>
  <c r="AC32" i="52"/>
  <c r="P32" i="52"/>
  <c r="N32" i="52"/>
  <c r="M32" i="52"/>
  <c r="O32" i="52" s="1"/>
  <c r="L32" i="52"/>
  <c r="K32" i="52"/>
  <c r="AA32" i="52" s="1"/>
  <c r="J32" i="52"/>
  <c r="AB32" i="52" s="1"/>
  <c r="AE32" i="52" s="1"/>
  <c r="I32" i="52"/>
  <c r="Q32" i="52" s="1"/>
  <c r="AC31" i="52"/>
  <c r="AB31" i="52"/>
  <c r="N31" i="52"/>
  <c r="M31" i="52"/>
  <c r="L31" i="52"/>
  <c r="K31" i="52"/>
  <c r="J31" i="52"/>
  <c r="I31" i="52"/>
  <c r="AB30" i="52"/>
  <c r="AE30" i="52" s="1"/>
  <c r="N30" i="52"/>
  <c r="M30" i="52"/>
  <c r="L30" i="52"/>
  <c r="AC30" i="52" s="1"/>
  <c r="K30" i="52"/>
  <c r="S30" i="52" s="1"/>
  <c r="J30" i="52"/>
  <c r="R30" i="52" s="1"/>
  <c r="T30" i="52" s="1"/>
  <c r="I30" i="52"/>
  <c r="AB29" i="52"/>
  <c r="AE29" i="52" s="1"/>
  <c r="N29" i="52"/>
  <c r="M29" i="52"/>
  <c r="L29" i="52"/>
  <c r="AC29" i="52" s="1"/>
  <c r="K29" i="52"/>
  <c r="S29" i="52" s="1"/>
  <c r="J29" i="52"/>
  <c r="R29" i="52" s="1"/>
  <c r="T29" i="52" s="1"/>
  <c r="I29" i="52"/>
  <c r="AB28" i="52"/>
  <c r="AE28" i="52" s="1"/>
  <c r="N28" i="52"/>
  <c r="M28" i="52"/>
  <c r="L28" i="52"/>
  <c r="AC28" i="52" s="1"/>
  <c r="AF28" i="52" s="1"/>
  <c r="K28" i="52"/>
  <c r="S28" i="52" s="1"/>
  <c r="J28" i="52"/>
  <c r="R28" i="52" s="1"/>
  <c r="T28" i="52" s="1"/>
  <c r="I28" i="52"/>
  <c r="AB27" i="52"/>
  <c r="AE27" i="52" s="1"/>
  <c r="N27" i="52"/>
  <c r="M27" i="52"/>
  <c r="L27" i="52"/>
  <c r="AC27" i="52" s="1"/>
  <c r="AF27" i="52" s="1"/>
  <c r="K27" i="52"/>
  <c r="S27" i="52" s="1"/>
  <c r="J27" i="52"/>
  <c r="R27" i="52" s="1"/>
  <c r="T27" i="52" s="1"/>
  <c r="I27" i="52"/>
  <c r="AB26" i="52"/>
  <c r="AE26" i="52" s="1"/>
  <c r="N26" i="52"/>
  <c r="M26" i="52"/>
  <c r="L26" i="52"/>
  <c r="AC26" i="52" s="1"/>
  <c r="K26" i="52"/>
  <c r="S26" i="52" s="1"/>
  <c r="J26" i="52"/>
  <c r="R26" i="52" s="1"/>
  <c r="T26" i="52" s="1"/>
  <c r="I26" i="52"/>
  <c r="AC25" i="52"/>
  <c r="N25" i="52"/>
  <c r="M25" i="52"/>
  <c r="L25" i="52"/>
  <c r="K25" i="52"/>
  <c r="J25" i="52"/>
  <c r="AB25" i="52" s="1"/>
  <c r="I25" i="52"/>
  <c r="AA25" i="52" s="1"/>
  <c r="AC24" i="52"/>
  <c r="AF24" i="52" s="1"/>
  <c r="N24" i="52"/>
  <c r="M24" i="52"/>
  <c r="L24" i="52"/>
  <c r="K24" i="52"/>
  <c r="S24" i="52" s="1"/>
  <c r="J24" i="52"/>
  <c r="AB24" i="52" s="1"/>
  <c r="I24" i="52"/>
  <c r="Q24" i="52" s="1"/>
  <c r="AC23" i="52"/>
  <c r="AF23" i="52" s="1"/>
  <c r="R23" i="52"/>
  <c r="T23" i="52" s="1"/>
  <c r="N23" i="52"/>
  <c r="M23" i="52"/>
  <c r="L23" i="52"/>
  <c r="K23" i="52"/>
  <c r="S23" i="52" s="1"/>
  <c r="J23" i="52"/>
  <c r="AB23" i="52" s="1"/>
  <c r="I23" i="52"/>
  <c r="Q23" i="52" s="1"/>
  <c r="AC22" i="52"/>
  <c r="AF22" i="52" s="1"/>
  <c r="R22" i="52"/>
  <c r="T22" i="52" s="1"/>
  <c r="N22" i="52"/>
  <c r="M22" i="52"/>
  <c r="L22" i="52"/>
  <c r="K22" i="52"/>
  <c r="S22" i="52" s="1"/>
  <c r="J22" i="52"/>
  <c r="AB22" i="52" s="1"/>
  <c r="I22" i="52"/>
  <c r="Q22" i="52" s="1"/>
  <c r="AC21" i="52"/>
  <c r="AF21" i="52" s="1"/>
  <c r="N21" i="52"/>
  <c r="M21" i="52"/>
  <c r="L21" i="52"/>
  <c r="K21" i="52"/>
  <c r="S21" i="52" s="1"/>
  <c r="J21" i="52"/>
  <c r="AB21" i="52" s="1"/>
  <c r="I21" i="52"/>
  <c r="Q21" i="52" s="1"/>
  <c r="AC20" i="52"/>
  <c r="AF20" i="52" s="1"/>
  <c r="N20" i="52"/>
  <c r="M20" i="52"/>
  <c r="L20" i="52"/>
  <c r="K20" i="52"/>
  <c r="S20" i="52" s="1"/>
  <c r="J20" i="52"/>
  <c r="I20" i="52"/>
  <c r="Q20" i="52" s="1"/>
  <c r="N19" i="52"/>
  <c r="M19" i="52"/>
  <c r="L19" i="52"/>
  <c r="K19" i="52"/>
  <c r="J19" i="52"/>
  <c r="AB19" i="52" s="1"/>
  <c r="I19" i="52"/>
  <c r="AA18" i="52"/>
  <c r="S18" i="52"/>
  <c r="N18" i="52"/>
  <c r="P18" i="52" s="1"/>
  <c r="M18" i="52"/>
  <c r="L18" i="52"/>
  <c r="K18" i="52"/>
  <c r="AC18" i="52" s="1"/>
  <c r="J18" i="52"/>
  <c r="R18" i="52" s="1"/>
  <c r="T18" i="52" s="1"/>
  <c r="I18" i="52"/>
  <c r="Q18" i="52" s="1"/>
  <c r="AA17" i="52"/>
  <c r="S17" i="52"/>
  <c r="N17" i="52"/>
  <c r="P17" i="52" s="1"/>
  <c r="M17" i="52"/>
  <c r="L17" i="52"/>
  <c r="K17" i="52"/>
  <c r="AC17" i="52" s="1"/>
  <c r="J17" i="52"/>
  <c r="R17" i="52" s="1"/>
  <c r="T17" i="52" s="1"/>
  <c r="I17" i="52"/>
  <c r="Q17" i="52" s="1"/>
  <c r="AA16" i="52"/>
  <c r="S16" i="52"/>
  <c r="N16" i="52"/>
  <c r="P16" i="52" s="1"/>
  <c r="M16" i="52"/>
  <c r="L16" i="52"/>
  <c r="K16" i="52"/>
  <c r="AC16" i="52" s="1"/>
  <c r="J16" i="52"/>
  <c r="R16" i="52" s="1"/>
  <c r="T16" i="52" s="1"/>
  <c r="I16" i="52"/>
  <c r="Q16" i="52" s="1"/>
  <c r="AA15" i="52"/>
  <c r="S15" i="52"/>
  <c r="N15" i="52"/>
  <c r="P15" i="52" s="1"/>
  <c r="M15" i="52"/>
  <c r="L15" i="52"/>
  <c r="K15" i="52"/>
  <c r="AC15" i="52" s="1"/>
  <c r="J15" i="52"/>
  <c r="R15" i="52" s="1"/>
  <c r="T15" i="52" s="1"/>
  <c r="I15" i="52"/>
  <c r="Q15" i="52" s="1"/>
  <c r="N14" i="52"/>
  <c r="M14" i="52"/>
  <c r="L14" i="52"/>
  <c r="AC14" i="52" s="1"/>
  <c r="K14" i="52"/>
  <c r="J14" i="52"/>
  <c r="AB14" i="52" s="1"/>
  <c r="I14" i="52"/>
  <c r="AA14" i="52" s="1"/>
  <c r="AB13" i="52"/>
  <c r="AE13" i="52" s="1"/>
  <c r="T13" i="52"/>
  <c r="N13" i="52"/>
  <c r="M13" i="52"/>
  <c r="L13" i="52"/>
  <c r="AC13" i="52" s="1"/>
  <c r="AF13" i="52" s="1"/>
  <c r="K13" i="52"/>
  <c r="S13" i="52" s="1"/>
  <c r="J13" i="52"/>
  <c r="R13" i="52" s="1"/>
  <c r="I13" i="52"/>
  <c r="AA13" i="52" s="1"/>
  <c r="AD13" i="52" s="1"/>
  <c r="AB12" i="52"/>
  <c r="AE12" i="52" s="1"/>
  <c r="T12" i="52"/>
  <c r="N12" i="52"/>
  <c r="M12" i="52"/>
  <c r="L12" i="52"/>
  <c r="K12" i="52"/>
  <c r="S12" i="52" s="1"/>
  <c r="J12" i="52"/>
  <c r="R12" i="52" s="1"/>
  <c r="I12" i="52"/>
  <c r="AA12" i="52" s="1"/>
  <c r="AD12" i="52" s="1"/>
  <c r="AB11" i="52"/>
  <c r="AE11" i="52" s="1"/>
  <c r="T11" i="52"/>
  <c r="N11" i="52"/>
  <c r="M11" i="52"/>
  <c r="L11" i="52"/>
  <c r="K11" i="52"/>
  <c r="S11" i="52" s="1"/>
  <c r="J11" i="52"/>
  <c r="R11" i="52" s="1"/>
  <c r="I11" i="52"/>
  <c r="AA11" i="52" s="1"/>
  <c r="AD11" i="52" s="1"/>
  <c r="AB10" i="52"/>
  <c r="AE10" i="52" s="1"/>
  <c r="T10" i="52"/>
  <c r="N10" i="52"/>
  <c r="M10" i="52"/>
  <c r="L10" i="52"/>
  <c r="K10" i="52"/>
  <c r="S10" i="52" s="1"/>
  <c r="J10" i="52"/>
  <c r="R10" i="52" s="1"/>
  <c r="I10" i="52"/>
  <c r="AA10" i="52" s="1"/>
  <c r="AD10" i="52" s="1"/>
  <c r="AB9" i="52"/>
  <c r="N9" i="52"/>
  <c r="M9" i="52"/>
  <c r="L9" i="52"/>
  <c r="AC9" i="52" s="1"/>
  <c r="K9" i="52"/>
  <c r="AA9" i="52" s="1"/>
  <c r="J9" i="52"/>
  <c r="I9" i="52"/>
  <c r="AC8" i="52"/>
  <c r="AF8" i="52" s="1"/>
  <c r="P8" i="52"/>
  <c r="N8" i="52"/>
  <c r="M8" i="52"/>
  <c r="L8" i="52"/>
  <c r="K8" i="52"/>
  <c r="AA8" i="52" s="1"/>
  <c r="AD8" i="52" s="1"/>
  <c r="J8" i="52"/>
  <c r="AB8" i="52" s="1"/>
  <c r="AE8" i="52" s="1"/>
  <c r="I8" i="52"/>
  <c r="Q8" i="52" s="1"/>
  <c r="AC7" i="52"/>
  <c r="AF7" i="52" s="1"/>
  <c r="P7" i="52"/>
  <c r="N7" i="52"/>
  <c r="M7" i="52"/>
  <c r="L7" i="52"/>
  <c r="O7" i="52" s="1"/>
  <c r="K7" i="52"/>
  <c r="AA7" i="52" s="1"/>
  <c r="AD7" i="52" s="1"/>
  <c r="J7" i="52"/>
  <c r="AB7" i="52" s="1"/>
  <c r="AE7" i="52" s="1"/>
  <c r="I7" i="52"/>
  <c r="Q7" i="52" s="1"/>
  <c r="AC6" i="52"/>
  <c r="P6" i="52"/>
  <c r="N6" i="52"/>
  <c r="M6" i="52"/>
  <c r="L6" i="52"/>
  <c r="K6" i="52"/>
  <c r="AA6" i="52" s="1"/>
  <c r="AD6" i="52" s="1"/>
  <c r="J6" i="52"/>
  <c r="AB6" i="52" s="1"/>
  <c r="AE6" i="52" s="1"/>
  <c r="I6" i="52"/>
  <c r="Q6" i="52" s="1"/>
  <c r="AC5" i="52"/>
  <c r="AF5" i="52" s="1"/>
  <c r="P5" i="52"/>
  <c r="N5" i="52"/>
  <c r="M5" i="52"/>
  <c r="L5" i="52"/>
  <c r="O5" i="52" s="1"/>
  <c r="K5" i="52"/>
  <c r="AA5" i="52" s="1"/>
  <c r="AD5" i="52" s="1"/>
  <c r="J5" i="52"/>
  <c r="AB5" i="52" s="1"/>
  <c r="AE5" i="52" s="1"/>
  <c r="I5" i="52"/>
  <c r="Q5" i="52" s="1"/>
  <c r="AC4" i="52"/>
  <c r="AF4" i="52" s="1"/>
  <c r="P4" i="52"/>
  <c r="N4" i="52"/>
  <c r="M4" i="52"/>
  <c r="L4" i="52"/>
  <c r="K4" i="52"/>
  <c r="AA4" i="52" s="1"/>
  <c r="AD4" i="52" s="1"/>
  <c r="J4" i="52"/>
  <c r="AB4" i="52" s="1"/>
  <c r="AE4" i="52" s="1"/>
  <c r="I4" i="52"/>
  <c r="Q4" i="52" s="1"/>
  <c r="AC3" i="52"/>
  <c r="P3" i="52"/>
  <c r="N3" i="52"/>
  <c r="M3" i="52"/>
  <c r="L3" i="52"/>
  <c r="K3" i="52"/>
  <c r="AA3" i="52" s="1"/>
  <c r="AD3" i="52" s="1"/>
  <c r="J3" i="52"/>
  <c r="AB3" i="52" s="1"/>
  <c r="AE3" i="52" s="1"/>
  <c r="I3" i="52"/>
  <c r="Q3" i="52" s="1"/>
  <c r="R7" i="46"/>
  <c r="N7" i="46"/>
  <c r="M7" i="46"/>
  <c r="L7" i="46"/>
  <c r="K7" i="46"/>
  <c r="J7" i="46"/>
  <c r="I7" i="46"/>
  <c r="AG6" i="46"/>
  <c r="V6" i="46"/>
  <c r="X6" i="46" s="1"/>
  <c r="Z6" i="46" s="1"/>
  <c r="R6" i="46"/>
  <c r="AH6" i="46" s="1"/>
  <c r="N6" i="46"/>
  <c r="M6" i="46"/>
  <c r="L6" i="46"/>
  <c r="K6" i="46"/>
  <c r="AF6" i="46" s="1"/>
  <c r="J6" i="46"/>
  <c r="I6" i="46"/>
  <c r="AE6" i="46" s="1"/>
  <c r="V5" i="46"/>
  <c r="X5" i="46" s="1"/>
  <c r="R5" i="46"/>
  <c r="AH5" i="46" s="1"/>
  <c r="N5" i="46"/>
  <c r="M5" i="46"/>
  <c r="L5" i="46"/>
  <c r="AG5" i="46" s="1"/>
  <c r="K5" i="46"/>
  <c r="J5" i="46"/>
  <c r="AF5" i="46" s="1"/>
  <c r="I5" i="46"/>
  <c r="AH4" i="46"/>
  <c r="AE4" i="46"/>
  <c r="U4" i="46"/>
  <c r="R4" i="46"/>
  <c r="N4" i="46"/>
  <c r="M4" i="46"/>
  <c r="L4" i="46"/>
  <c r="K4" i="46"/>
  <c r="J4" i="46"/>
  <c r="V4" i="46" s="1"/>
  <c r="X4" i="46" s="1"/>
  <c r="I4" i="46"/>
  <c r="AH3" i="46"/>
  <c r="R3" i="46"/>
  <c r="O3" i="46"/>
  <c r="N3" i="46"/>
  <c r="M3" i="46"/>
  <c r="L3" i="46"/>
  <c r="AG3" i="46" s="1"/>
  <c r="K3" i="46"/>
  <c r="J3" i="46"/>
  <c r="AF3" i="46" s="1"/>
  <c r="I3" i="46"/>
  <c r="AE3" i="46" s="1"/>
  <c r="AE10" i="71"/>
  <c r="R10" i="71"/>
  <c r="AH10" i="71" s="1"/>
  <c r="N10" i="71"/>
  <c r="M10" i="71"/>
  <c r="L10" i="71"/>
  <c r="AG10" i="71" s="1"/>
  <c r="K10" i="71"/>
  <c r="J10" i="71"/>
  <c r="AF10" i="71" s="1"/>
  <c r="AJ7" i="71" s="1"/>
  <c r="I10" i="71"/>
  <c r="AI9" i="71"/>
  <c r="U9" i="71"/>
  <c r="R9" i="71"/>
  <c r="P9" i="71"/>
  <c r="N9" i="71"/>
  <c r="O9" i="71" s="1"/>
  <c r="M9" i="71"/>
  <c r="L9" i="71"/>
  <c r="K9" i="71"/>
  <c r="AH9" i="71" s="1"/>
  <c r="AL9" i="71" s="1"/>
  <c r="J9" i="71"/>
  <c r="AF9" i="71" s="1"/>
  <c r="AJ9" i="71" s="1"/>
  <c r="I9" i="71"/>
  <c r="AE9" i="71" s="1"/>
  <c r="AL8" i="71"/>
  <c r="V8" i="71"/>
  <c r="X8" i="71" s="1"/>
  <c r="R8" i="71"/>
  <c r="AH8" i="71" s="1"/>
  <c r="N8" i="71"/>
  <c r="M8" i="71"/>
  <c r="L8" i="71"/>
  <c r="K8" i="71"/>
  <c r="J8" i="71"/>
  <c r="I8" i="71"/>
  <c r="U8" i="71" s="1"/>
  <c r="AG7" i="71"/>
  <c r="AF7" i="71"/>
  <c r="Y7" i="71"/>
  <c r="AA7" i="71" s="1"/>
  <c r="X7" i="71"/>
  <c r="Z7" i="71" s="1"/>
  <c r="AB7" i="71" s="1"/>
  <c r="W7" i="71"/>
  <c r="V7" i="71"/>
  <c r="R7" i="71"/>
  <c r="AH7" i="71" s="1"/>
  <c r="AL7" i="71" s="1"/>
  <c r="N7" i="71"/>
  <c r="M7" i="71"/>
  <c r="L7" i="71"/>
  <c r="K7" i="71"/>
  <c r="J7" i="71"/>
  <c r="I7" i="71"/>
  <c r="AE7" i="71" s="1"/>
  <c r="AI7" i="71" s="1"/>
  <c r="V6" i="71"/>
  <c r="X6" i="71" s="1"/>
  <c r="R6" i="71"/>
  <c r="AH6" i="71" s="1"/>
  <c r="N6" i="71"/>
  <c r="M6" i="71"/>
  <c r="L6" i="71"/>
  <c r="AG6" i="71" s="1"/>
  <c r="AK6" i="71" s="1"/>
  <c r="K6" i="71"/>
  <c r="W6" i="71" s="1"/>
  <c r="J6" i="71"/>
  <c r="AF6" i="71" s="1"/>
  <c r="AJ6" i="71" s="1"/>
  <c r="I6" i="71"/>
  <c r="AH5" i="71"/>
  <c r="AE5" i="71"/>
  <c r="AI5" i="71" s="1"/>
  <c r="W5" i="71"/>
  <c r="U5" i="71"/>
  <c r="R5" i="71"/>
  <c r="N5" i="71"/>
  <c r="M5" i="71"/>
  <c r="L5" i="71"/>
  <c r="K5" i="71"/>
  <c r="J5" i="71"/>
  <c r="V5" i="71" s="1"/>
  <c r="X5" i="71" s="1"/>
  <c r="I5" i="71"/>
  <c r="AH4" i="71"/>
  <c r="W4" i="71"/>
  <c r="R4" i="71"/>
  <c r="O4" i="71"/>
  <c r="N4" i="71"/>
  <c r="M4" i="71"/>
  <c r="L4" i="71"/>
  <c r="AG4" i="71" s="1"/>
  <c r="AK4" i="71" s="1"/>
  <c r="K4" i="71"/>
  <c r="J4" i="71"/>
  <c r="AF4" i="71" s="1"/>
  <c r="AJ4" i="71" s="1"/>
  <c r="I4" i="71"/>
  <c r="AE4" i="71" s="1"/>
  <c r="AI4" i="71" s="1"/>
  <c r="AE3" i="71"/>
  <c r="AI3" i="71" s="1"/>
  <c r="W3" i="71"/>
  <c r="U3" i="71"/>
  <c r="R3" i="71"/>
  <c r="AH3" i="71" s="1"/>
  <c r="N3" i="71"/>
  <c r="M3" i="71"/>
  <c r="L3" i="71"/>
  <c r="P3" i="71" s="1"/>
  <c r="K3" i="71"/>
  <c r="J3" i="71"/>
  <c r="I3" i="71"/>
  <c r="O3" i="71" s="1"/>
  <c r="AE16" i="72"/>
  <c r="S16" i="72"/>
  <c r="O16" i="72"/>
  <c r="N16" i="72"/>
  <c r="M16" i="72"/>
  <c r="AF16" i="72" s="1"/>
  <c r="L16" i="72"/>
  <c r="K16" i="72"/>
  <c r="J16" i="72"/>
  <c r="AD16" i="72" s="1"/>
  <c r="AE15" i="72"/>
  <c r="AI15" i="72" s="1"/>
  <c r="Y15" i="72"/>
  <c r="AA15" i="72" s="1"/>
  <c r="O15" i="72"/>
  <c r="N15" i="72"/>
  <c r="M15" i="72"/>
  <c r="AF15" i="72" s="1"/>
  <c r="AJ15" i="72" s="1"/>
  <c r="L15" i="72"/>
  <c r="V15" i="72" s="1"/>
  <c r="K15" i="72"/>
  <c r="U15" i="72" s="1"/>
  <c r="W15" i="72" s="1"/>
  <c r="X15" i="72" s="1"/>
  <c r="J15" i="72"/>
  <c r="AD15" i="72" s="1"/>
  <c r="AH15" i="72" s="1"/>
  <c r="AE14" i="72"/>
  <c r="AI14" i="72" s="1"/>
  <c r="Y14" i="72"/>
  <c r="AA14" i="72" s="1"/>
  <c r="O14" i="72"/>
  <c r="N14" i="72"/>
  <c r="M14" i="72"/>
  <c r="AF14" i="72" s="1"/>
  <c r="AJ14" i="72" s="1"/>
  <c r="L14" i="72"/>
  <c r="V14" i="72" s="1"/>
  <c r="K14" i="72"/>
  <c r="U14" i="72" s="1"/>
  <c r="W14" i="72" s="1"/>
  <c r="X14" i="72" s="1"/>
  <c r="J14" i="72"/>
  <c r="AD14" i="72" s="1"/>
  <c r="AH14" i="72" s="1"/>
  <c r="AE13" i="72"/>
  <c r="AI13" i="72" s="1"/>
  <c r="O13" i="72"/>
  <c r="N13" i="72"/>
  <c r="M13" i="72"/>
  <c r="AF13" i="72" s="1"/>
  <c r="AJ13" i="72" s="1"/>
  <c r="L13" i="72"/>
  <c r="V13" i="72" s="1"/>
  <c r="K13" i="72"/>
  <c r="U13" i="72" s="1"/>
  <c r="W13" i="72" s="1"/>
  <c r="X13" i="72" s="1"/>
  <c r="J13" i="72"/>
  <c r="AD13" i="72" s="1"/>
  <c r="AH13" i="72" s="1"/>
  <c r="AE12" i="72"/>
  <c r="AI12" i="72" s="1"/>
  <c r="Y12" i="72"/>
  <c r="AA12" i="72" s="1"/>
  <c r="O12" i="72"/>
  <c r="N12" i="72"/>
  <c r="M12" i="72"/>
  <c r="AF12" i="72" s="1"/>
  <c r="AJ12" i="72" s="1"/>
  <c r="L12" i="72"/>
  <c r="V12" i="72" s="1"/>
  <c r="K12" i="72"/>
  <c r="U12" i="72" s="1"/>
  <c r="W12" i="72" s="1"/>
  <c r="X12" i="72" s="1"/>
  <c r="J12" i="72"/>
  <c r="AD12" i="72" s="1"/>
  <c r="AH12" i="72" s="1"/>
  <c r="AE11" i="72"/>
  <c r="AI11" i="72" s="1"/>
  <c r="O11" i="72"/>
  <c r="N11" i="72"/>
  <c r="M11" i="72"/>
  <c r="AF11" i="72" s="1"/>
  <c r="AJ11" i="72" s="1"/>
  <c r="L11" i="72"/>
  <c r="V11" i="72" s="1"/>
  <c r="K11" i="72"/>
  <c r="U11" i="72" s="1"/>
  <c r="W11" i="72" s="1"/>
  <c r="J11" i="72"/>
  <c r="AD11" i="72" s="1"/>
  <c r="AH11" i="72" s="1"/>
  <c r="AH10" i="72"/>
  <c r="AE10" i="72"/>
  <c r="AI10" i="72" s="1"/>
  <c r="O10" i="72"/>
  <c r="N10" i="72"/>
  <c r="M10" i="72"/>
  <c r="AF10" i="72" s="1"/>
  <c r="AJ10" i="72" s="1"/>
  <c r="L10" i="72"/>
  <c r="V10" i="72" s="1"/>
  <c r="K10" i="72"/>
  <c r="U10" i="72" s="1"/>
  <c r="W10" i="72" s="1"/>
  <c r="J10" i="72"/>
  <c r="AD10" i="72" s="1"/>
  <c r="AE9" i="72"/>
  <c r="AI9" i="72" s="1"/>
  <c r="Y9" i="72"/>
  <c r="AA9" i="72" s="1"/>
  <c r="W9" i="72"/>
  <c r="X9" i="72" s="1"/>
  <c r="O9" i="72"/>
  <c r="N9" i="72"/>
  <c r="M9" i="72"/>
  <c r="AF9" i="72" s="1"/>
  <c r="AJ9" i="72" s="1"/>
  <c r="L9" i="72"/>
  <c r="V9" i="72" s="1"/>
  <c r="K9" i="72"/>
  <c r="U9" i="72" s="1"/>
  <c r="J9" i="72"/>
  <c r="AE8" i="72"/>
  <c r="AI8" i="72" s="1"/>
  <c r="W8" i="72"/>
  <c r="X8" i="72" s="1"/>
  <c r="O8" i="72"/>
  <c r="N8" i="72"/>
  <c r="M8" i="72"/>
  <c r="L8" i="72"/>
  <c r="V8" i="72" s="1"/>
  <c r="K8" i="72"/>
  <c r="U8" i="72" s="1"/>
  <c r="J8" i="72"/>
  <c r="T8" i="72" s="1"/>
  <c r="AE7" i="72"/>
  <c r="AI7" i="72" s="1"/>
  <c r="T7" i="72"/>
  <c r="O7" i="72"/>
  <c r="N7" i="72"/>
  <c r="M7" i="72"/>
  <c r="AF7" i="72" s="1"/>
  <c r="AJ7" i="72" s="1"/>
  <c r="L7" i="72"/>
  <c r="V7" i="72" s="1"/>
  <c r="K7" i="72"/>
  <c r="U7" i="72" s="1"/>
  <c r="W7" i="72" s="1"/>
  <c r="J7" i="72"/>
  <c r="Q7" i="72" s="1"/>
  <c r="AE6" i="72"/>
  <c r="AI6" i="72" s="1"/>
  <c r="O6" i="72"/>
  <c r="N6" i="72"/>
  <c r="M6" i="72"/>
  <c r="AF6" i="72" s="1"/>
  <c r="AJ6" i="72" s="1"/>
  <c r="L6" i="72"/>
  <c r="V6" i="72" s="1"/>
  <c r="K6" i="72"/>
  <c r="U6" i="72" s="1"/>
  <c r="W6" i="72" s="1"/>
  <c r="X6" i="72" s="1"/>
  <c r="J6" i="72"/>
  <c r="T6" i="72" s="1"/>
  <c r="AE5" i="72"/>
  <c r="AI5" i="72" s="1"/>
  <c r="W5" i="72"/>
  <c r="O5" i="72"/>
  <c r="N5" i="72"/>
  <c r="M5" i="72"/>
  <c r="AF5" i="72" s="1"/>
  <c r="AJ5" i="72" s="1"/>
  <c r="L5" i="72"/>
  <c r="V5" i="72" s="1"/>
  <c r="K5" i="72"/>
  <c r="U5" i="72" s="1"/>
  <c r="J5" i="72"/>
  <c r="T4" i="72"/>
  <c r="Q4" i="72"/>
  <c r="O4" i="72"/>
  <c r="N4" i="72"/>
  <c r="M4" i="72"/>
  <c r="L4" i="72"/>
  <c r="V4" i="72" s="1"/>
  <c r="K4" i="72"/>
  <c r="U4" i="72" s="1"/>
  <c r="W4" i="72" s="1"/>
  <c r="J4" i="72"/>
  <c r="T3" i="72"/>
  <c r="O3" i="72"/>
  <c r="N3" i="72"/>
  <c r="M3" i="72"/>
  <c r="L3" i="72"/>
  <c r="K3" i="72"/>
  <c r="U3" i="72" s="1"/>
  <c r="W3" i="72" s="1"/>
  <c r="Y3" i="72" s="1"/>
  <c r="AA3" i="72" s="1"/>
  <c r="J3" i="72"/>
  <c r="AG22" i="73"/>
  <c r="T22" i="73"/>
  <c r="O22" i="73"/>
  <c r="N22" i="73"/>
  <c r="M22" i="73"/>
  <c r="L22" i="73"/>
  <c r="AH22" i="73" s="1"/>
  <c r="K22" i="73"/>
  <c r="V21" i="73" s="1"/>
  <c r="X21" i="73" s="1"/>
  <c r="Z21" i="73" s="1"/>
  <c r="AB21" i="73" s="1"/>
  <c r="J22" i="73"/>
  <c r="U19" i="73" s="1"/>
  <c r="AF21" i="73"/>
  <c r="Y21" i="73"/>
  <c r="T21" i="73"/>
  <c r="O21" i="73"/>
  <c r="N21" i="73"/>
  <c r="M21" i="73"/>
  <c r="L21" i="73"/>
  <c r="W21" i="73" s="1"/>
  <c r="K21" i="73"/>
  <c r="J21" i="73"/>
  <c r="AE21" i="73" s="1"/>
  <c r="AG20" i="73"/>
  <c r="AK20" i="73" s="1"/>
  <c r="T20" i="73"/>
  <c r="AH20" i="73" s="1"/>
  <c r="O20" i="73"/>
  <c r="N20" i="73"/>
  <c r="M20" i="73"/>
  <c r="P20" i="73" s="1"/>
  <c r="L20" i="73"/>
  <c r="W20" i="73" s="1"/>
  <c r="K20" i="73"/>
  <c r="J20" i="73"/>
  <c r="Q20" i="73" s="1"/>
  <c r="AH19" i="73"/>
  <c r="AF19" i="73"/>
  <c r="W19" i="73"/>
  <c r="T19" i="73"/>
  <c r="Q19" i="73"/>
  <c r="O19" i="73"/>
  <c r="N19" i="73"/>
  <c r="P19" i="73" s="1"/>
  <c r="M19" i="73"/>
  <c r="AG19" i="73" s="1"/>
  <c r="AK19" i="73" s="1"/>
  <c r="L19" i="73"/>
  <c r="AE19" i="73" s="1"/>
  <c r="K19" i="73"/>
  <c r="V19" i="73" s="1"/>
  <c r="X19" i="73" s="1"/>
  <c r="J19" i="73"/>
  <c r="V18" i="73"/>
  <c r="X18" i="73" s="1"/>
  <c r="U18" i="73"/>
  <c r="T18" i="73"/>
  <c r="Q18" i="73"/>
  <c r="O18" i="73"/>
  <c r="N18" i="73"/>
  <c r="P18" i="73" s="1"/>
  <c r="M18" i="73"/>
  <c r="L18" i="73"/>
  <c r="AH18" i="73" s="1"/>
  <c r="K18" i="73"/>
  <c r="AF18" i="73" s="1"/>
  <c r="J18" i="73"/>
  <c r="AE18" i="73" s="1"/>
  <c r="V17" i="73"/>
  <c r="X17" i="73" s="1"/>
  <c r="U17" i="73"/>
  <c r="T17" i="73"/>
  <c r="AH17" i="73" s="1"/>
  <c r="AL17" i="73" s="1"/>
  <c r="O17" i="73"/>
  <c r="Q17" i="73" s="1"/>
  <c r="N17" i="73"/>
  <c r="M17" i="73"/>
  <c r="L17" i="73"/>
  <c r="K17" i="73"/>
  <c r="J17" i="73"/>
  <c r="P17" i="73" s="1"/>
  <c r="AG16" i="73"/>
  <c r="AK16" i="73" s="1"/>
  <c r="V16" i="73"/>
  <c r="X16" i="73" s="1"/>
  <c r="Z16" i="73" s="1"/>
  <c r="AB16" i="73" s="1"/>
  <c r="T16" i="73"/>
  <c r="AH16" i="73" s="1"/>
  <c r="AL16" i="73" s="1"/>
  <c r="O16" i="73"/>
  <c r="N16" i="73"/>
  <c r="M16" i="73"/>
  <c r="L16" i="73"/>
  <c r="AF16" i="73" s="1"/>
  <c r="K16" i="73"/>
  <c r="J16" i="73"/>
  <c r="AE16" i="73" s="1"/>
  <c r="W15" i="73"/>
  <c r="V15" i="73"/>
  <c r="X15" i="73" s="1"/>
  <c r="T15" i="73"/>
  <c r="AH15" i="73" s="1"/>
  <c r="AL15" i="73" s="1"/>
  <c r="O15" i="73"/>
  <c r="N15" i="73"/>
  <c r="M15" i="73"/>
  <c r="AG15" i="73" s="1"/>
  <c r="AK15" i="73" s="1"/>
  <c r="L15" i="73"/>
  <c r="K15" i="73"/>
  <c r="AF15" i="73" s="1"/>
  <c r="J15" i="73"/>
  <c r="AH14" i="73"/>
  <c r="AE14" i="73"/>
  <c r="W14" i="73"/>
  <c r="V14" i="73"/>
  <c r="X14" i="73" s="1"/>
  <c r="T14" i="73"/>
  <c r="O14" i="73"/>
  <c r="N14" i="73"/>
  <c r="M14" i="73"/>
  <c r="L14" i="73"/>
  <c r="K14" i="73"/>
  <c r="AF14" i="73" s="1"/>
  <c r="J14" i="73"/>
  <c r="U14" i="73" s="1"/>
  <c r="AG13" i="73"/>
  <c r="T13" i="73"/>
  <c r="AH13" i="73" s="1"/>
  <c r="O13" i="73"/>
  <c r="N13" i="73"/>
  <c r="M13" i="73"/>
  <c r="L13" i="73"/>
  <c r="K13" i="73"/>
  <c r="V8" i="73" s="1"/>
  <c r="X8" i="73" s="1"/>
  <c r="Z8" i="73" s="1"/>
  <c r="AB8" i="73" s="1"/>
  <c r="J13" i="73"/>
  <c r="AE12" i="73"/>
  <c r="W12" i="73"/>
  <c r="U12" i="73"/>
  <c r="T12" i="73"/>
  <c r="AH12" i="73" s="1"/>
  <c r="O12" i="73"/>
  <c r="N12" i="73"/>
  <c r="M12" i="73"/>
  <c r="AG12" i="73" s="1"/>
  <c r="AK12" i="73" s="1"/>
  <c r="L12" i="73"/>
  <c r="K12" i="73"/>
  <c r="J12" i="73"/>
  <c r="Q12" i="73" s="1"/>
  <c r="AH11" i="73"/>
  <c r="AL11" i="73" s="1"/>
  <c r="AF11" i="73"/>
  <c r="AE11" i="73"/>
  <c r="W11" i="73"/>
  <c r="T11" i="73"/>
  <c r="Q11" i="73"/>
  <c r="O11" i="73"/>
  <c r="N11" i="73"/>
  <c r="P11" i="73" s="1"/>
  <c r="M11" i="73"/>
  <c r="AG11" i="73" s="1"/>
  <c r="AK11" i="73" s="1"/>
  <c r="L11" i="73"/>
  <c r="K11" i="73"/>
  <c r="V11" i="73" s="1"/>
  <c r="X11" i="73" s="1"/>
  <c r="J11" i="73"/>
  <c r="V10" i="73"/>
  <c r="X10" i="73" s="1"/>
  <c r="U10" i="73"/>
  <c r="T10" i="73"/>
  <c r="Q10" i="73"/>
  <c r="O10" i="73"/>
  <c r="N10" i="73"/>
  <c r="P10" i="73" s="1"/>
  <c r="M10" i="73"/>
  <c r="L10" i="73"/>
  <c r="AH10" i="73" s="1"/>
  <c r="AL10" i="73" s="1"/>
  <c r="K10" i="73"/>
  <c r="AF10" i="73" s="1"/>
  <c r="J10" i="73"/>
  <c r="AE10" i="73" s="1"/>
  <c r="V9" i="73"/>
  <c r="X9" i="73" s="1"/>
  <c r="U9" i="73"/>
  <c r="T9" i="73"/>
  <c r="AH9" i="73" s="1"/>
  <c r="AL9" i="73" s="1"/>
  <c r="O9" i="73"/>
  <c r="Q9" i="73" s="1"/>
  <c r="N9" i="73"/>
  <c r="M9" i="73"/>
  <c r="L9" i="73"/>
  <c r="K9" i="73"/>
  <c r="J9" i="73"/>
  <c r="P9" i="73" s="1"/>
  <c r="AG8" i="73"/>
  <c r="AK8" i="73" s="1"/>
  <c r="T8" i="73"/>
  <c r="AH8" i="73" s="1"/>
  <c r="AL8" i="73" s="1"/>
  <c r="O8" i="73"/>
  <c r="N8" i="73"/>
  <c r="M8" i="73"/>
  <c r="L8" i="73"/>
  <c r="AF8" i="73" s="1"/>
  <c r="K8" i="73"/>
  <c r="J8" i="73"/>
  <c r="AE8" i="73" s="1"/>
  <c r="W7" i="73"/>
  <c r="V7" i="73"/>
  <c r="X7" i="73" s="1"/>
  <c r="T7" i="73"/>
  <c r="AH7" i="73" s="1"/>
  <c r="AL7" i="73" s="1"/>
  <c r="O7" i="73"/>
  <c r="N7" i="73"/>
  <c r="M7" i="73"/>
  <c r="AG7" i="73" s="1"/>
  <c r="AK7" i="73" s="1"/>
  <c r="L7" i="73"/>
  <c r="K7" i="73"/>
  <c r="AF7" i="73" s="1"/>
  <c r="J7" i="73"/>
  <c r="AH6" i="73"/>
  <c r="AL6" i="73" s="1"/>
  <c r="AE6" i="73"/>
  <c r="W6" i="73"/>
  <c r="V6" i="73"/>
  <c r="X6" i="73" s="1"/>
  <c r="T6" i="73"/>
  <c r="O6" i="73"/>
  <c r="N6" i="73"/>
  <c r="M6" i="73"/>
  <c r="L6" i="73"/>
  <c r="K6" i="73"/>
  <c r="AF6" i="73" s="1"/>
  <c r="J6" i="73"/>
  <c r="U6" i="73" s="1"/>
  <c r="AH5" i="73"/>
  <c r="AL5" i="73" s="1"/>
  <c r="W5" i="73"/>
  <c r="U5" i="73"/>
  <c r="T5" i="73"/>
  <c r="P5" i="73"/>
  <c r="O5" i="73"/>
  <c r="N5" i="73"/>
  <c r="M5" i="73"/>
  <c r="AG5" i="73" s="1"/>
  <c r="AK5" i="73" s="1"/>
  <c r="L5" i="73"/>
  <c r="K5" i="73"/>
  <c r="AF5" i="73" s="1"/>
  <c r="J5" i="73"/>
  <c r="AE5" i="73" s="1"/>
  <c r="AK4" i="73"/>
  <c r="AE4" i="73"/>
  <c r="W4" i="73"/>
  <c r="U4" i="73"/>
  <c r="T4" i="73"/>
  <c r="AH4" i="73" s="1"/>
  <c r="AL4" i="73" s="1"/>
  <c r="O4" i="73"/>
  <c r="N4" i="73"/>
  <c r="M4" i="73"/>
  <c r="AG4" i="73" s="1"/>
  <c r="L4" i="73"/>
  <c r="K4" i="73"/>
  <c r="J4" i="73"/>
  <c r="Q4" i="73" s="1"/>
  <c r="AH3" i="73"/>
  <c r="AL3" i="73" s="1"/>
  <c r="AF3" i="73"/>
  <c r="AE3" i="73"/>
  <c r="W3" i="73"/>
  <c r="U3" i="73"/>
  <c r="T3" i="73"/>
  <c r="Q3" i="73"/>
  <c r="O3" i="73"/>
  <c r="N3" i="73"/>
  <c r="P3" i="73" s="1"/>
  <c r="M3" i="73"/>
  <c r="AG3" i="73" s="1"/>
  <c r="AK3" i="73" s="1"/>
  <c r="L3" i="73"/>
  <c r="K3" i="73"/>
  <c r="V3" i="73" s="1"/>
  <c r="X3" i="73" s="1"/>
  <c r="J3" i="73"/>
  <c r="AD11" i="79"/>
  <c r="O11" i="79"/>
  <c r="N11" i="79"/>
  <c r="M11" i="79"/>
  <c r="AE11" i="79" s="1"/>
  <c r="L11" i="79"/>
  <c r="AC11" i="79" s="1"/>
  <c r="K11" i="79"/>
  <c r="J11" i="79"/>
  <c r="Q10" i="79"/>
  <c r="P10" i="79"/>
  <c r="O10" i="79"/>
  <c r="N10" i="79"/>
  <c r="M10" i="79"/>
  <c r="L10" i="79"/>
  <c r="AE10" i="79" s="1"/>
  <c r="AH10" i="79" s="1"/>
  <c r="K10" i="79"/>
  <c r="AD10" i="79" s="1"/>
  <c r="AG10" i="79" s="1"/>
  <c r="J10" i="79"/>
  <c r="S10" i="79" s="1"/>
  <c r="AH9" i="79"/>
  <c r="Q9" i="79"/>
  <c r="P9" i="79"/>
  <c r="O9" i="79"/>
  <c r="N9" i="79"/>
  <c r="M9" i="79"/>
  <c r="L9" i="79"/>
  <c r="AE9" i="79" s="1"/>
  <c r="K9" i="79"/>
  <c r="AD9" i="79" s="1"/>
  <c r="AG9" i="79" s="1"/>
  <c r="J9" i="79"/>
  <c r="S9" i="79" s="1"/>
  <c r="Q8" i="79"/>
  <c r="P8" i="79"/>
  <c r="O8" i="79"/>
  <c r="N8" i="79"/>
  <c r="M8" i="79"/>
  <c r="L8" i="79"/>
  <c r="AE8" i="79" s="1"/>
  <c r="AH8" i="79" s="1"/>
  <c r="K8" i="79"/>
  <c r="AD8" i="79" s="1"/>
  <c r="AG8" i="79" s="1"/>
  <c r="J8" i="79"/>
  <c r="S8" i="79" s="1"/>
  <c r="Q7" i="79"/>
  <c r="P7" i="79"/>
  <c r="O7" i="79"/>
  <c r="N7" i="79"/>
  <c r="M7" i="79"/>
  <c r="L7" i="79"/>
  <c r="AE7" i="79" s="1"/>
  <c r="AH7" i="79" s="1"/>
  <c r="K7" i="79"/>
  <c r="AD7" i="79" s="1"/>
  <c r="AG7" i="79" s="1"/>
  <c r="J7" i="79"/>
  <c r="S7" i="79" s="1"/>
  <c r="Q6" i="79"/>
  <c r="P6" i="79"/>
  <c r="O6" i="79"/>
  <c r="N6" i="79"/>
  <c r="M6" i="79"/>
  <c r="L6" i="79"/>
  <c r="AE6" i="79" s="1"/>
  <c r="AH6" i="79" s="1"/>
  <c r="K6" i="79"/>
  <c r="AD6" i="79" s="1"/>
  <c r="AG6" i="79" s="1"/>
  <c r="J6" i="79"/>
  <c r="S6" i="79" s="1"/>
  <c r="AH5" i="79"/>
  <c r="Q5" i="79"/>
  <c r="P5" i="79"/>
  <c r="O5" i="79"/>
  <c r="N5" i="79"/>
  <c r="M5" i="79"/>
  <c r="L5" i="79"/>
  <c r="AE5" i="79" s="1"/>
  <c r="K5" i="79"/>
  <c r="AD5" i="79" s="1"/>
  <c r="AG5" i="79" s="1"/>
  <c r="J5" i="79"/>
  <c r="S5" i="79" s="1"/>
  <c r="Q4" i="79"/>
  <c r="P4" i="79"/>
  <c r="O4" i="79"/>
  <c r="N4" i="79"/>
  <c r="M4" i="79"/>
  <c r="L4" i="79"/>
  <c r="AE4" i="79" s="1"/>
  <c r="AH4" i="79" s="1"/>
  <c r="K4" i="79"/>
  <c r="AD4" i="79" s="1"/>
  <c r="AG4" i="79" s="1"/>
  <c r="J4" i="79"/>
  <c r="S4" i="79" s="1"/>
  <c r="Q3" i="79"/>
  <c r="P3" i="79"/>
  <c r="O3" i="79"/>
  <c r="N3" i="79"/>
  <c r="M3" i="79"/>
  <c r="L3" i="79"/>
  <c r="AE3" i="79" s="1"/>
  <c r="AH3" i="79" s="1"/>
  <c r="K3" i="79"/>
  <c r="AD3" i="79" s="1"/>
  <c r="AG3" i="79" s="1"/>
  <c r="J3" i="79"/>
  <c r="S3" i="79" s="1"/>
  <c r="N7" i="56"/>
  <c r="M7" i="56"/>
  <c r="L7" i="56"/>
  <c r="K7" i="56"/>
  <c r="J7" i="56"/>
  <c r="I7" i="56"/>
  <c r="AA6" i="56"/>
  <c r="S6" i="56"/>
  <c r="N6" i="56"/>
  <c r="M6" i="56"/>
  <c r="L6" i="56"/>
  <c r="K6" i="56"/>
  <c r="AC6" i="56" s="1"/>
  <c r="J6" i="56"/>
  <c r="R6" i="56" s="1"/>
  <c r="T6" i="56" s="1"/>
  <c r="I6" i="56"/>
  <c r="Q6" i="56" s="1"/>
  <c r="AA5" i="56"/>
  <c r="S5" i="56"/>
  <c r="N5" i="56"/>
  <c r="M5" i="56"/>
  <c r="L5" i="56"/>
  <c r="K5" i="56"/>
  <c r="AC5" i="56" s="1"/>
  <c r="J5" i="56"/>
  <c r="R5" i="56" s="1"/>
  <c r="T5" i="56" s="1"/>
  <c r="I5" i="56"/>
  <c r="Q5" i="56" s="1"/>
  <c r="AA4" i="56"/>
  <c r="S4" i="56"/>
  <c r="N4" i="56"/>
  <c r="M4" i="56"/>
  <c r="L4" i="56"/>
  <c r="K4" i="56"/>
  <c r="AC4" i="56" s="1"/>
  <c r="J4" i="56"/>
  <c r="R4" i="56" s="1"/>
  <c r="T4" i="56" s="1"/>
  <c r="I4" i="56"/>
  <c r="Q4" i="56" s="1"/>
  <c r="AA3" i="56"/>
  <c r="S3" i="56"/>
  <c r="N3" i="56"/>
  <c r="M3" i="56"/>
  <c r="L3" i="56"/>
  <c r="K3" i="56"/>
  <c r="AC3" i="56" s="1"/>
  <c r="J3" i="56"/>
  <c r="R3" i="56" s="1"/>
  <c r="T3" i="56" s="1"/>
  <c r="I3" i="56"/>
  <c r="Q3" i="56" s="1"/>
  <c r="AK16" i="54"/>
  <c r="V16" i="54"/>
  <c r="AL16" i="54" s="1"/>
  <c r="U16" i="54"/>
  <c r="T16" i="54"/>
  <c r="W16" i="54" s="1"/>
  <c r="S16" i="54"/>
  <c r="R16" i="54"/>
  <c r="Q16" i="54"/>
  <c r="N16" i="54"/>
  <c r="M16" i="54"/>
  <c r="L16" i="54"/>
  <c r="AJ16" i="54" s="1"/>
  <c r="AQ14" i="54" s="1"/>
  <c r="K16" i="54"/>
  <c r="J16" i="54"/>
  <c r="AI16" i="54" s="1"/>
  <c r="I16" i="54"/>
  <c r="AN15" i="54"/>
  <c r="AI15" i="54"/>
  <c r="Z15" i="54"/>
  <c r="X15" i="54"/>
  <c r="W15" i="54"/>
  <c r="AM15" i="54" s="1"/>
  <c r="V15" i="54"/>
  <c r="AL15" i="54" s="1"/>
  <c r="U15" i="54"/>
  <c r="AK15" i="54" s="1"/>
  <c r="N15" i="54"/>
  <c r="M15" i="54"/>
  <c r="L15" i="54"/>
  <c r="K15" i="54"/>
  <c r="AH15" i="54" s="1"/>
  <c r="J15" i="54"/>
  <c r="Y15" i="54" s="1"/>
  <c r="AA15" i="54" s="1"/>
  <c r="I15" i="54"/>
  <c r="AI14" i="54"/>
  <c r="AA14" i="54"/>
  <c r="Z14" i="54"/>
  <c r="W14" i="54"/>
  <c r="AM14" i="54" s="1"/>
  <c r="V14" i="54"/>
  <c r="AN14" i="54" s="1"/>
  <c r="U14" i="54"/>
  <c r="AK14" i="54" s="1"/>
  <c r="O14" i="54"/>
  <c r="N14" i="54"/>
  <c r="M14" i="54"/>
  <c r="L14" i="54"/>
  <c r="AJ14" i="54" s="1"/>
  <c r="K14" i="54"/>
  <c r="J14" i="54"/>
  <c r="Y14" i="54" s="1"/>
  <c r="I14" i="54"/>
  <c r="AH14" i="54" s="1"/>
  <c r="W13" i="54"/>
  <c r="AM13" i="54" s="1"/>
  <c r="V13" i="54"/>
  <c r="AN13" i="54" s="1"/>
  <c r="U13" i="54"/>
  <c r="AK13" i="54" s="1"/>
  <c r="N13" i="54"/>
  <c r="M13" i="54"/>
  <c r="L13" i="54"/>
  <c r="AJ13" i="54" s="1"/>
  <c r="AQ13" i="54" s="1"/>
  <c r="K13" i="54"/>
  <c r="Z13" i="54" s="1"/>
  <c r="J13" i="54"/>
  <c r="I13" i="54"/>
  <c r="P13" i="54" s="1"/>
  <c r="AN12" i="54"/>
  <c r="AI12" i="54"/>
  <c r="Y12" i="54"/>
  <c r="AA12" i="54" s="1"/>
  <c r="W12" i="54"/>
  <c r="AM12" i="54" s="1"/>
  <c r="V12" i="54"/>
  <c r="AL12" i="54" s="1"/>
  <c r="AS12" i="54" s="1"/>
  <c r="U12" i="54"/>
  <c r="AK12" i="54" s="1"/>
  <c r="P12" i="54"/>
  <c r="N12" i="54"/>
  <c r="M12" i="54"/>
  <c r="O12" i="54" s="1"/>
  <c r="L12" i="54"/>
  <c r="AJ12" i="54" s="1"/>
  <c r="AQ12" i="54" s="1"/>
  <c r="K12" i="54"/>
  <c r="Z12" i="54" s="1"/>
  <c r="J12" i="54"/>
  <c r="I12" i="54"/>
  <c r="AH12" i="54" s="1"/>
  <c r="AJ11" i="54"/>
  <c r="W11" i="54"/>
  <c r="AN11" i="54" s="1"/>
  <c r="V11" i="54"/>
  <c r="AL11" i="54" s="1"/>
  <c r="AS11" i="54" s="1"/>
  <c r="U11" i="54"/>
  <c r="AK11" i="54" s="1"/>
  <c r="AR11" i="54" s="1"/>
  <c r="P11" i="54"/>
  <c r="O11" i="54"/>
  <c r="N11" i="54"/>
  <c r="M11" i="54"/>
  <c r="L11" i="54"/>
  <c r="K11" i="54"/>
  <c r="AH11" i="54" s="1"/>
  <c r="J11" i="54"/>
  <c r="AI11" i="54" s="1"/>
  <c r="AP11" i="54" s="1"/>
  <c r="I11" i="54"/>
  <c r="X11" i="54" s="1"/>
  <c r="W10" i="54"/>
  <c r="AN10" i="54" s="1"/>
  <c r="V10" i="54"/>
  <c r="U10" i="54"/>
  <c r="N10" i="54"/>
  <c r="M10" i="54"/>
  <c r="L10" i="54"/>
  <c r="K10" i="54"/>
  <c r="J10" i="54"/>
  <c r="I10" i="54"/>
  <c r="P10" i="54" s="1"/>
  <c r="AN9" i="54"/>
  <c r="AJ9" i="54"/>
  <c r="AQ9" i="54" s="1"/>
  <c r="AH9" i="54"/>
  <c r="Z9" i="54"/>
  <c r="Y9" i="54"/>
  <c r="AA9" i="54" s="1"/>
  <c r="W9" i="54"/>
  <c r="AM9" i="54" s="1"/>
  <c r="V9" i="54"/>
  <c r="AL9" i="54" s="1"/>
  <c r="U9" i="54"/>
  <c r="AK9" i="54" s="1"/>
  <c r="N9" i="54"/>
  <c r="M9" i="54"/>
  <c r="L9" i="54"/>
  <c r="K9" i="54"/>
  <c r="J9" i="54"/>
  <c r="AI9" i="54" s="1"/>
  <c r="AP9" i="54" s="1"/>
  <c r="I9" i="54"/>
  <c r="X9" i="54" s="1"/>
  <c r="AK8" i="54"/>
  <c r="W8" i="54"/>
  <c r="AN8" i="54" s="1"/>
  <c r="V8" i="54"/>
  <c r="AL8" i="54" s="1"/>
  <c r="AS8" i="54" s="1"/>
  <c r="U8" i="54"/>
  <c r="N8" i="54"/>
  <c r="M8" i="54"/>
  <c r="L8" i="54"/>
  <c r="AJ8" i="54" s="1"/>
  <c r="K8" i="54"/>
  <c r="AI8" i="54" s="1"/>
  <c r="J8" i="54"/>
  <c r="Y8" i="54" s="1"/>
  <c r="AA8" i="54" s="1"/>
  <c r="AB8" i="54" s="1"/>
  <c r="I8" i="54"/>
  <c r="AN7" i="54"/>
  <c r="Z7" i="54"/>
  <c r="X7" i="54"/>
  <c r="W7" i="54"/>
  <c r="AM7" i="54" s="1"/>
  <c r="V7" i="54"/>
  <c r="AL7" i="54" s="1"/>
  <c r="U7" i="54"/>
  <c r="AK7" i="54" s="1"/>
  <c r="N7" i="54"/>
  <c r="M7" i="54"/>
  <c r="L7" i="54"/>
  <c r="K7" i="54"/>
  <c r="AI7" i="54" s="1"/>
  <c r="AP7" i="54" s="1"/>
  <c r="J7" i="54"/>
  <c r="Y7" i="54" s="1"/>
  <c r="AA7" i="54" s="1"/>
  <c r="I7" i="54"/>
  <c r="P7" i="54" s="1"/>
  <c r="AI6" i="54"/>
  <c r="AA6" i="54"/>
  <c r="Z6" i="54"/>
  <c r="W6" i="54"/>
  <c r="AM6" i="54" s="1"/>
  <c r="V6" i="54"/>
  <c r="AN6" i="54" s="1"/>
  <c r="U6" i="54"/>
  <c r="AK6" i="54" s="1"/>
  <c r="O6" i="54"/>
  <c r="N6" i="54"/>
  <c r="M6" i="54"/>
  <c r="L6" i="54"/>
  <c r="AJ6" i="54" s="1"/>
  <c r="AQ6" i="54" s="1"/>
  <c r="K6" i="54"/>
  <c r="J6" i="54"/>
  <c r="Y6" i="54" s="1"/>
  <c r="I6" i="54"/>
  <c r="AH6" i="54" s="1"/>
  <c r="W5" i="54"/>
  <c r="AM5" i="54" s="1"/>
  <c r="V5" i="54"/>
  <c r="U5" i="54"/>
  <c r="AK5" i="54" s="1"/>
  <c r="N5" i="54"/>
  <c r="M5" i="54"/>
  <c r="L5" i="54"/>
  <c r="AJ5" i="54" s="1"/>
  <c r="K5" i="54"/>
  <c r="Z5" i="54" s="1"/>
  <c r="J5" i="54"/>
  <c r="I5" i="54"/>
  <c r="P5" i="54" s="1"/>
  <c r="AN4" i="54"/>
  <c r="AI4" i="54"/>
  <c r="Y4" i="54"/>
  <c r="AA4" i="54" s="1"/>
  <c r="W4" i="54"/>
  <c r="AM4" i="54" s="1"/>
  <c r="V4" i="54"/>
  <c r="AL4" i="54" s="1"/>
  <c r="U4" i="54"/>
  <c r="AK4" i="54" s="1"/>
  <c r="P4" i="54"/>
  <c r="N4" i="54"/>
  <c r="M4" i="54"/>
  <c r="O4" i="54" s="1"/>
  <c r="L4" i="54"/>
  <c r="AJ4" i="54" s="1"/>
  <c r="AQ4" i="54" s="1"/>
  <c r="K4" i="54"/>
  <c r="Z4" i="54" s="1"/>
  <c r="J4" i="54"/>
  <c r="I4" i="54"/>
  <c r="AH4" i="54" s="1"/>
  <c r="AJ3" i="54"/>
  <c r="AQ3" i="54" s="1"/>
  <c r="W3" i="54"/>
  <c r="AN3" i="54" s="1"/>
  <c r="V3" i="54"/>
  <c r="AL3" i="54" s="1"/>
  <c r="AS3" i="54" s="1"/>
  <c r="U3" i="54"/>
  <c r="AK3" i="54" s="1"/>
  <c r="P3" i="54"/>
  <c r="O3" i="54"/>
  <c r="N3" i="54"/>
  <c r="M3" i="54"/>
  <c r="L3" i="54"/>
  <c r="K3" i="54"/>
  <c r="AH3" i="54" s="1"/>
  <c r="J3" i="54"/>
  <c r="AI3" i="54" s="1"/>
  <c r="AP3" i="54" s="1"/>
  <c r="I3" i="54"/>
  <c r="X3" i="54" s="1"/>
  <c r="AD17" i="34"/>
  <c r="S17" i="34"/>
  <c r="AG17" i="34" s="1"/>
  <c r="O17" i="34"/>
  <c r="N17" i="34"/>
  <c r="M17" i="34"/>
  <c r="AF17" i="34" s="1"/>
  <c r="L17" i="34"/>
  <c r="K17" i="34"/>
  <c r="AE17" i="34" s="1"/>
  <c r="J17" i="34"/>
  <c r="T16" i="34"/>
  <c r="S16" i="34"/>
  <c r="Q16" i="34"/>
  <c r="P16" i="34"/>
  <c r="O16" i="34"/>
  <c r="N16" i="34"/>
  <c r="M16" i="34"/>
  <c r="L16" i="34"/>
  <c r="AG16" i="34" s="1"/>
  <c r="AK16" i="34" s="1"/>
  <c r="K16" i="34"/>
  <c r="AE16" i="34" s="1"/>
  <c r="AI16" i="34" s="1"/>
  <c r="J16" i="34"/>
  <c r="AD16" i="34" s="1"/>
  <c r="AH16" i="34" s="1"/>
  <c r="U15" i="34"/>
  <c r="W15" i="34" s="1"/>
  <c r="T15" i="34"/>
  <c r="S15" i="34"/>
  <c r="AG15" i="34" s="1"/>
  <c r="AK15" i="34" s="1"/>
  <c r="O15" i="34"/>
  <c r="N15" i="34"/>
  <c r="M15" i="34"/>
  <c r="L15" i="34"/>
  <c r="K15" i="34"/>
  <c r="AE15" i="34" s="1"/>
  <c r="AI15" i="34" s="1"/>
  <c r="J15" i="34"/>
  <c r="Q15" i="34" s="1"/>
  <c r="AF14" i="34"/>
  <c r="AJ14" i="34" s="1"/>
  <c r="AE14" i="34"/>
  <c r="X14" i="34"/>
  <c r="Z14" i="34" s="1"/>
  <c r="W14" i="34"/>
  <c r="Y14" i="34" s="1"/>
  <c r="AA14" i="34" s="1"/>
  <c r="V14" i="34"/>
  <c r="U14" i="34"/>
  <c r="S14" i="34"/>
  <c r="AG14" i="34" s="1"/>
  <c r="AK14" i="34" s="1"/>
  <c r="O14" i="34"/>
  <c r="N14" i="34"/>
  <c r="M14" i="34"/>
  <c r="L14" i="34"/>
  <c r="K14" i="34"/>
  <c r="J14" i="34"/>
  <c r="AD14" i="34" s="1"/>
  <c r="AH14" i="34" s="1"/>
  <c r="U13" i="34"/>
  <c r="W13" i="34" s="1"/>
  <c r="S13" i="34"/>
  <c r="AG13" i="34" s="1"/>
  <c r="AK13" i="34" s="1"/>
  <c r="O13" i="34"/>
  <c r="N13" i="34"/>
  <c r="M13" i="34"/>
  <c r="AF13" i="34" s="1"/>
  <c r="AJ13" i="34" s="1"/>
  <c r="L13" i="34"/>
  <c r="V13" i="34" s="1"/>
  <c r="K13" i="34"/>
  <c r="AE13" i="34" s="1"/>
  <c r="AI13" i="34" s="1"/>
  <c r="J13" i="34"/>
  <c r="S12" i="34"/>
  <c r="O12" i="34"/>
  <c r="N12" i="34"/>
  <c r="M12" i="34"/>
  <c r="AF12" i="34" s="1"/>
  <c r="L12" i="34"/>
  <c r="AG12" i="34" s="1"/>
  <c r="K12" i="34"/>
  <c r="AE12" i="34" s="1"/>
  <c r="J12" i="34"/>
  <c r="AD12" i="34" s="1"/>
  <c r="AG11" i="34"/>
  <c r="AF11" i="34"/>
  <c r="AJ11" i="34" s="1"/>
  <c r="S11" i="34"/>
  <c r="P11" i="34"/>
  <c r="O11" i="34"/>
  <c r="N11" i="34"/>
  <c r="M11" i="34"/>
  <c r="L11" i="34"/>
  <c r="K11" i="34"/>
  <c r="AE11" i="34" s="1"/>
  <c r="J11" i="34"/>
  <c r="AD11" i="34" s="1"/>
  <c r="AH11" i="34" s="1"/>
  <c r="AD10" i="34"/>
  <c r="AH10" i="34" s="1"/>
  <c r="V10" i="34"/>
  <c r="T10" i="34"/>
  <c r="S10" i="34"/>
  <c r="AG10" i="34" s="1"/>
  <c r="O10" i="34"/>
  <c r="N10" i="34"/>
  <c r="M10" i="34"/>
  <c r="AF10" i="34" s="1"/>
  <c r="AJ10" i="34" s="1"/>
  <c r="L10" i="34"/>
  <c r="K10" i="34"/>
  <c r="J10" i="34"/>
  <c r="AG9" i="34"/>
  <c r="AE9" i="34"/>
  <c r="AD9" i="34"/>
  <c r="AH9" i="34" s="1"/>
  <c r="W9" i="34"/>
  <c r="X9" i="34" s="1"/>
  <c r="Z9" i="34" s="1"/>
  <c r="V9" i="34"/>
  <c r="T9" i="34"/>
  <c r="S9" i="34"/>
  <c r="P9" i="34"/>
  <c r="O9" i="34"/>
  <c r="N9" i="34"/>
  <c r="M9" i="34"/>
  <c r="AF9" i="34" s="1"/>
  <c r="AJ9" i="34" s="1"/>
  <c r="L9" i="34"/>
  <c r="K9" i="34"/>
  <c r="U9" i="34" s="1"/>
  <c r="J9" i="34"/>
  <c r="AF8" i="34"/>
  <c r="AD8" i="34"/>
  <c r="S8" i="34"/>
  <c r="O8" i="34"/>
  <c r="N8" i="34"/>
  <c r="M8" i="34"/>
  <c r="L8" i="34"/>
  <c r="AG8" i="34" s="1"/>
  <c r="K8" i="34"/>
  <c r="J8" i="34"/>
  <c r="AF7" i="34"/>
  <c r="X7" i="34"/>
  <c r="Z7" i="34" s="1"/>
  <c r="S7" i="34"/>
  <c r="O7" i="34"/>
  <c r="N7" i="34"/>
  <c r="M7" i="34"/>
  <c r="L7" i="34"/>
  <c r="V7" i="34" s="1"/>
  <c r="K7" i="34"/>
  <c r="U7" i="34" s="1"/>
  <c r="W7" i="34" s="1"/>
  <c r="Y7" i="34" s="1"/>
  <c r="J7" i="34"/>
  <c r="Q7" i="34" s="1"/>
  <c r="AE6" i="34"/>
  <c r="U6" i="34"/>
  <c r="W6" i="34" s="1"/>
  <c r="S6" i="34"/>
  <c r="AG6" i="34" s="1"/>
  <c r="AK6" i="34" s="1"/>
  <c r="O6" i="34"/>
  <c r="N6" i="34"/>
  <c r="M6" i="34"/>
  <c r="AF6" i="34" s="1"/>
  <c r="AJ6" i="34" s="1"/>
  <c r="L6" i="34"/>
  <c r="V6" i="34" s="1"/>
  <c r="K6" i="34"/>
  <c r="J6" i="34"/>
  <c r="AA5" i="34"/>
  <c r="X5" i="34"/>
  <c r="Z5" i="34" s="1"/>
  <c r="U5" i="34"/>
  <c r="W5" i="34" s="1"/>
  <c r="Y5" i="34" s="1"/>
  <c r="S5" i="34"/>
  <c r="P5" i="34"/>
  <c r="O5" i="34"/>
  <c r="N5" i="34"/>
  <c r="M5" i="34"/>
  <c r="AF5" i="34" s="1"/>
  <c r="AJ5" i="34" s="1"/>
  <c r="L5" i="34"/>
  <c r="AG5" i="34" s="1"/>
  <c r="AK5" i="34" s="1"/>
  <c r="K5" i="34"/>
  <c r="AE5" i="34" s="1"/>
  <c r="J5" i="34"/>
  <c r="T5" i="34" s="1"/>
  <c r="Y4" i="34"/>
  <c r="U4" i="34"/>
  <c r="W4" i="34" s="1"/>
  <c r="X4" i="34" s="1"/>
  <c r="Z4" i="34" s="1"/>
  <c r="S4" i="34"/>
  <c r="AG4" i="34" s="1"/>
  <c r="O4" i="34"/>
  <c r="N4" i="34"/>
  <c r="M4" i="34"/>
  <c r="L4" i="34"/>
  <c r="V4" i="34" s="1"/>
  <c r="K4" i="34"/>
  <c r="J4" i="34"/>
  <c r="AD4" i="34" s="1"/>
  <c r="AH4" i="34" s="1"/>
  <c r="AF3" i="34"/>
  <c r="AJ3" i="34" s="1"/>
  <c r="AE3" i="34"/>
  <c r="AA3" i="34"/>
  <c r="X3" i="34"/>
  <c r="Z3" i="34" s="1"/>
  <c r="W3" i="34"/>
  <c r="Y3" i="34" s="1"/>
  <c r="V3" i="34"/>
  <c r="U3" i="34"/>
  <c r="S3" i="34"/>
  <c r="AG3" i="34" s="1"/>
  <c r="O3" i="34"/>
  <c r="N3" i="34"/>
  <c r="M3" i="34"/>
  <c r="L3" i="34"/>
  <c r="K3" i="34"/>
  <c r="J3" i="34"/>
  <c r="O20" i="23"/>
  <c r="N20" i="23"/>
  <c r="M20" i="23"/>
  <c r="AD20" i="23" s="1"/>
  <c r="L20" i="23"/>
  <c r="AC20" i="23" s="1"/>
  <c r="K20" i="23"/>
  <c r="J20" i="23"/>
  <c r="AB20" i="23" s="1"/>
  <c r="AC19" i="23"/>
  <c r="O19" i="23"/>
  <c r="N19" i="23"/>
  <c r="M19" i="23"/>
  <c r="AD19" i="23" s="1"/>
  <c r="AG19" i="23" s="1"/>
  <c r="L19" i="23"/>
  <c r="T19" i="23" s="1"/>
  <c r="K19" i="23"/>
  <c r="S19" i="23" s="1"/>
  <c r="U19" i="23" s="1"/>
  <c r="J19" i="23"/>
  <c r="AB19" i="23" s="1"/>
  <c r="AE19" i="23" s="1"/>
  <c r="AC18" i="23"/>
  <c r="O18" i="23"/>
  <c r="N18" i="23"/>
  <c r="M18" i="23"/>
  <c r="AD18" i="23" s="1"/>
  <c r="AG18" i="23" s="1"/>
  <c r="L18" i="23"/>
  <c r="T18" i="23" s="1"/>
  <c r="K18" i="23"/>
  <c r="S18" i="23" s="1"/>
  <c r="U18" i="23" s="1"/>
  <c r="J18" i="23"/>
  <c r="AB18" i="23" s="1"/>
  <c r="AE18" i="23" s="1"/>
  <c r="AC17" i="23"/>
  <c r="O17" i="23"/>
  <c r="N17" i="23"/>
  <c r="M17" i="23"/>
  <c r="AD17" i="23" s="1"/>
  <c r="AG17" i="23" s="1"/>
  <c r="L17" i="23"/>
  <c r="T17" i="23" s="1"/>
  <c r="K17" i="23"/>
  <c r="S17" i="23" s="1"/>
  <c r="U17" i="23" s="1"/>
  <c r="J17" i="23"/>
  <c r="AB17" i="23" s="1"/>
  <c r="AE17" i="23" s="1"/>
  <c r="AC16" i="23"/>
  <c r="O16" i="23"/>
  <c r="N16" i="23"/>
  <c r="M16" i="23"/>
  <c r="AD16" i="23" s="1"/>
  <c r="AG16" i="23" s="1"/>
  <c r="L16" i="23"/>
  <c r="T16" i="23" s="1"/>
  <c r="K16" i="23"/>
  <c r="S16" i="23" s="1"/>
  <c r="U16" i="23" s="1"/>
  <c r="J16" i="23"/>
  <c r="AB16" i="23" s="1"/>
  <c r="AE16" i="23" s="1"/>
  <c r="AC15" i="23"/>
  <c r="O15" i="23"/>
  <c r="N15" i="23"/>
  <c r="M15" i="23"/>
  <c r="AD15" i="23" s="1"/>
  <c r="AG15" i="23" s="1"/>
  <c r="L15" i="23"/>
  <c r="T15" i="23" s="1"/>
  <c r="K15" i="23"/>
  <c r="S15" i="23" s="1"/>
  <c r="U15" i="23" s="1"/>
  <c r="J15" i="23"/>
  <c r="AB15" i="23" s="1"/>
  <c r="AE15" i="23" s="1"/>
  <c r="AC14" i="23"/>
  <c r="O14" i="23"/>
  <c r="N14" i="23"/>
  <c r="M14" i="23"/>
  <c r="AD14" i="23" s="1"/>
  <c r="AG14" i="23" s="1"/>
  <c r="L14" i="23"/>
  <c r="T14" i="23" s="1"/>
  <c r="K14" i="23"/>
  <c r="S14" i="23" s="1"/>
  <c r="U14" i="23" s="1"/>
  <c r="J14" i="23"/>
  <c r="AB14" i="23" s="1"/>
  <c r="AE14" i="23" s="1"/>
  <c r="AC13" i="23"/>
  <c r="O13" i="23"/>
  <c r="N13" i="23"/>
  <c r="M13" i="23"/>
  <c r="AD13" i="23" s="1"/>
  <c r="AG13" i="23" s="1"/>
  <c r="L13" i="23"/>
  <c r="T13" i="23" s="1"/>
  <c r="K13" i="23"/>
  <c r="S13" i="23" s="1"/>
  <c r="U13" i="23" s="1"/>
  <c r="J13" i="23"/>
  <c r="AB13" i="23" s="1"/>
  <c r="AE13" i="23" s="1"/>
  <c r="AC12" i="23"/>
  <c r="O12" i="23"/>
  <c r="N12" i="23"/>
  <c r="M12" i="23"/>
  <c r="AD12" i="23" s="1"/>
  <c r="AG12" i="23" s="1"/>
  <c r="L12" i="23"/>
  <c r="T12" i="23" s="1"/>
  <c r="K12" i="23"/>
  <c r="S12" i="23" s="1"/>
  <c r="U12" i="23" s="1"/>
  <c r="J12" i="23"/>
  <c r="AB12" i="23" s="1"/>
  <c r="AE12" i="23" s="1"/>
  <c r="AC11" i="23"/>
  <c r="O11" i="23"/>
  <c r="N11" i="23"/>
  <c r="M11" i="23"/>
  <c r="AD11" i="23" s="1"/>
  <c r="AG11" i="23" s="1"/>
  <c r="L11" i="23"/>
  <c r="T11" i="23" s="1"/>
  <c r="K11" i="23"/>
  <c r="S11" i="23" s="1"/>
  <c r="U11" i="23" s="1"/>
  <c r="J11" i="23"/>
  <c r="AB11" i="23" s="1"/>
  <c r="AE11" i="23" s="1"/>
  <c r="AC10" i="23"/>
  <c r="O10" i="23"/>
  <c r="N10" i="23"/>
  <c r="M10" i="23"/>
  <c r="AD10" i="23" s="1"/>
  <c r="AG10" i="23" s="1"/>
  <c r="L10" i="23"/>
  <c r="T10" i="23" s="1"/>
  <c r="K10" i="23"/>
  <c r="S10" i="23" s="1"/>
  <c r="U10" i="23" s="1"/>
  <c r="J10" i="23"/>
  <c r="AB10" i="23" s="1"/>
  <c r="AE10" i="23" s="1"/>
  <c r="AC9" i="23"/>
  <c r="O9" i="23"/>
  <c r="N9" i="23"/>
  <c r="M9" i="23"/>
  <c r="AD9" i="23" s="1"/>
  <c r="AG9" i="23" s="1"/>
  <c r="L9" i="23"/>
  <c r="T9" i="23" s="1"/>
  <c r="K9" i="23"/>
  <c r="S9" i="23" s="1"/>
  <c r="U9" i="23" s="1"/>
  <c r="J9" i="23"/>
  <c r="AB9" i="23" s="1"/>
  <c r="AE9" i="23" s="1"/>
  <c r="AC8" i="23"/>
  <c r="O8" i="23"/>
  <c r="N8" i="23"/>
  <c r="M8" i="23"/>
  <c r="AD8" i="23" s="1"/>
  <c r="AG8" i="23" s="1"/>
  <c r="L8" i="23"/>
  <c r="T8" i="23" s="1"/>
  <c r="K8" i="23"/>
  <c r="S8" i="23" s="1"/>
  <c r="U8" i="23" s="1"/>
  <c r="J8" i="23"/>
  <c r="AB8" i="23" s="1"/>
  <c r="AE8" i="23" s="1"/>
  <c r="AC7" i="23"/>
  <c r="O7" i="23"/>
  <c r="N7" i="23"/>
  <c r="M7" i="23"/>
  <c r="AD7" i="23" s="1"/>
  <c r="AG7" i="23" s="1"/>
  <c r="L7" i="23"/>
  <c r="T7" i="23" s="1"/>
  <c r="K7" i="23"/>
  <c r="S7" i="23" s="1"/>
  <c r="U7" i="23" s="1"/>
  <c r="J7" i="23"/>
  <c r="AB7" i="23" s="1"/>
  <c r="AE7" i="23" s="1"/>
  <c r="AC6" i="23"/>
  <c r="AF6" i="23" s="1"/>
  <c r="O6" i="23"/>
  <c r="N6" i="23"/>
  <c r="M6" i="23"/>
  <c r="AD6" i="23" s="1"/>
  <c r="AG6" i="23" s="1"/>
  <c r="L6" i="23"/>
  <c r="T6" i="23" s="1"/>
  <c r="K6" i="23"/>
  <c r="S6" i="23" s="1"/>
  <c r="U6" i="23" s="1"/>
  <c r="J6" i="23"/>
  <c r="AB6" i="23" s="1"/>
  <c r="AE6" i="23" s="1"/>
  <c r="AC5" i="23"/>
  <c r="AF5" i="23" s="1"/>
  <c r="O5" i="23"/>
  <c r="N5" i="23"/>
  <c r="M5" i="23"/>
  <c r="AD5" i="23" s="1"/>
  <c r="AG5" i="23" s="1"/>
  <c r="L5" i="23"/>
  <c r="T5" i="23" s="1"/>
  <c r="K5" i="23"/>
  <c r="S5" i="23" s="1"/>
  <c r="U5" i="23" s="1"/>
  <c r="J5" i="23"/>
  <c r="AB5" i="23" s="1"/>
  <c r="AE5" i="23" s="1"/>
  <c r="AC4" i="23"/>
  <c r="AF4" i="23" s="1"/>
  <c r="O4" i="23"/>
  <c r="N4" i="23"/>
  <c r="M4" i="23"/>
  <c r="AD4" i="23" s="1"/>
  <c r="AG4" i="23" s="1"/>
  <c r="L4" i="23"/>
  <c r="T4" i="23" s="1"/>
  <c r="K4" i="23"/>
  <c r="S4" i="23" s="1"/>
  <c r="U4" i="23" s="1"/>
  <c r="J4" i="23"/>
  <c r="AB4" i="23" s="1"/>
  <c r="AE4" i="23" s="1"/>
  <c r="AC3" i="23"/>
  <c r="AF3" i="23" s="1"/>
  <c r="O3" i="23"/>
  <c r="N3" i="23"/>
  <c r="M3" i="23"/>
  <c r="AD3" i="23" s="1"/>
  <c r="AG3" i="23" s="1"/>
  <c r="L3" i="23"/>
  <c r="T3" i="23" s="1"/>
  <c r="K3" i="23"/>
  <c r="S3" i="23" s="1"/>
  <c r="U3" i="23" s="1"/>
  <c r="J3" i="23"/>
  <c r="AB3" i="23" s="1"/>
  <c r="AE3" i="23" s="1"/>
  <c r="AL51" i="61"/>
  <c r="W51" i="61"/>
  <c r="AN51" i="61" s="1"/>
  <c r="V51" i="61"/>
  <c r="U51" i="61"/>
  <c r="N51" i="61"/>
  <c r="M51" i="61"/>
  <c r="K51" i="61"/>
  <c r="AK51" i="61" s="1"/>
  <c r="J51" i="61"/>
  <c r="Y50" i="61" s="1"/>
  <c r="AA50" i="61" s="1"/>
  <c r="F51" i="61"/>
  <c r="L51" i="61" s="1"/>
  <c r="AJ51" i="61" s="1"/>
  <c r="D51" i="61"/>
  <c r="C51" i="61"/>
  <c r="I51" i="61" s="1"/>
  <c r="AN50" i="61"/>
  <c r="X50" i="61"/>
  <c r="W50" i="61"/>
  <c r="AM50" i="61" s="1"/>
  <c r="V50" i="61"/>
  <c r="AL50" i="61" s="1"/>
  <c r="AS50" i="61" s="1"/>
  <c r="U50" i="61"/>
  <c r="AK50" i="61" s="1"/>
  <c r="N50" i="61"/>
  <c r="M50" i="61"/>
  <c r="L50" i="61"/>
  <c r="AJ50" i="61" s="1"/>
  <c r="K50" i="61"/>
  <c r="AI50" i="61" s="1"/>
  <c r="J50" i="61"/>
  <c r="I50" i="61"/>
  <c r="P50" i="61" s="1"/>
  <c r="AQ49" i="61"/>
  <c r="AN49" i="61"/>
  <c r="AI49" i="61"/>
  <c r="AH49" i="61"/>
  <c r="W49" i="61"/>
  <c r="AM49" i="61" s="1"/>
  <c r="V49" i="61"/>
  <c r="AL49" i="61" s="1"/>
  <c r="AS49" i="61" s="1"/>
  <c r="U49" i="61"/>
  <c r="AK49" i="61" s="1"/>
  <c r="O49" i="61"/>
  <c r="N49" i="61"/>
  <c r="M49" i="61"/>
  <c r="L49" i="61"/>
  <c r="AJ49" i="61" s="1"/>
  <c r="K49" i="61"/>
  <c r="J49" i="61"/>
  <c r="Y49" i="61" s="1"/>
  <c r="AA49" i="61" s="1"/>
  <c r="I49" i="61"/>
  <c r="P49" i="61" s="1"/>
  <c r="AL48" i="61"/>
  <c r="AS48" i="61" s="1"/>
  <c r="W48" i="61"/>
  <c r="AM48" i="61" s="1"/>
  <c r="V48" i="61"/>
  <c r="AN48" i="61" s="1"/>
  <c r="U48" i="61"/>
  <c r="AK48" i="61" s="1"/>
  <c r="O48" i="61"/>
  <c r="N48" i="61"/>
  <c r="M48" i="61"/>
  <c r="L48" i="61"/>
  <c r="AJ48" i="61" s="1"/>
  <c r="AQ48" i="61" s="1"/>
  <c r="K48" i="61"/>
  <c r="J48" i="61"/>
  <c r="I48" i="61"/>
  <c r="P48" i="61" s="1"/>
  <c r="AL47" i="61"/>
  <c r="AS47" i="61" s="1"/>
  <c r="W47" i="61"/>
  <c r="AM47" i="61" s="1"/>
  <c r="V47" i="61"/>
  <c r="AN47" i="61" s="1"/>
  <c r="U47" i="61"/>
  <c r="AK47" i="61" s="1"/>
  <c r="N47" i="61"/>
  <c r="M47" i="61"/>
  <c r="L47" i="61"/>
  <c r="AJ47" i="61" s="1"/>
  <c r="AQ47" i="61" s="1"/>
  <c r="K47" i="61"/>
  <c r="Z47" i="61" s="1"/>
  <c r="J47" i="61"/>
  <c r="AI47" i="61" s="1"/>
  <c r="I47" i="61"/>
  <c r="AJ46" i="61"/>
  <c r="AQ46" i="61" s="1"/>
  <c r="AI46" i="61"/>
  <c r="AB46" i="61"/>
  <c r="Y46" i="61"/>
  <c r="AA46" i="61" s="1"/>
  <c r="AC46" i="61" s="1"/>
  <c r="W46" i="61"/>
  <c r="AN46" i="61" s="1"/>
  <c r="AU46" i="61" s="1"/>
  <c r="V46" i="61"/>
  <c r="AL46" i="61" s="1"/>
  <c r="U46" i="61"/>
  <c r="AK46" i="61" s="1"/>
  <c r="P46" i="61"/>
  <c r="N46" i="61"/>
  <c r="M46" i="61"/>
  <c r="O46" i="61" s="1"/>
  <c r="L46" i="61"/>
  <c r="K46" i="61"/>
  <c r="Z46" i="61" s="1"/>
  <c r="J46" i="61"/>
  <c r="I46" i="61"/>
  <c r="AH46" i="61" s="1"/>
  <c r="AM45" i="61"/>
  <c r="AJ45" i="61"/>
  <c r="AQ45" i="61" s="1"/>
  <c r="W45" i="61"/>
  <c r="AN45" i="61" s="1"/>
  <c r="AU45" i="61" s="1"/>
  <c r="V45" i="61"/>
  <c r="U45" i="61"/>
  <c r="P45" i="61"/>
  <c r="N45" i="61"/>
  <c r="O45" i="61" s="1"/>
  <c r="M45" i="61"/>
  <c r="L45" i="61"/>
  <c r="K45" i="61"/>
  <c r="J45" i="61"/>
  <c r="I45" i="61"/>
  <c r="X45" i="61" s="1"/>
  <c r="AM44" i="61"/>
  <c r="AH44" i="61"/>
  <c r="Y44" i="61"/>
  <c r="AA44" i="61" s="1"/>
  <c r="W44" i="61"/>
  <c r="AN44" i="61" s="1"/>
  <c r="AU44" i="61" s="1"/>
  <c r="V44" i="61"/>
  <c r="AL44" i="61" s="1"/>
  <c r="AS44" i="61" s="1"/>
  <c r="U44" i="61"/>
  <c r="AK44" i="61" s="1"/>
  <c r="AR44" i="61" s="1"/>
  <c r="N44" i="61"/>
  <c r="M44" i="61"/>
  <c r="L44" i="61"/>
  <c r="K44" i="61"/>
  <c r="AJ44" i="61" s="1"/>
  <c r="AQ44" i="61" s="1"/>
  <c r="J44" i="61"/>
  <c r="AI44" i="61" s="1"/>
  <c r="I44" i="61"/>
  <c r="X44" i="61" s="1"/>
  <c r="AS43" i="61"/>
  <c r="AR43" i="61"/>
  <c r="AN43" i="61"/>
  <c r="AU43" i="61" s="1"/>
  <c r="AK43" i="61"/>
  <c r="AJ43" i="61"/>
  <c r="AQ43" i="61" s="1"/>
  <c r="Z43" i="61"/>
  <c r="Y43" i="61"/>
  <c r="AA43" i="61" s="1"/>
  <c r="AC43" i="61" s="1"/>
  <c r="W43" i="61"/>
  <c r="AM43" i="61" s="1"/>
  <c r="V43" i="61"/>
  <c r="AL43" i="61" s="1"/>
  <c r="U43" i="61"/>
  <c r="N43" i="61"/>
  <c r="M43" i="61"/>
  <c r="L43" i="61"/>
  <c r="K43" i="61"/>
  <c r="J43" i="61"/>
  <c r="AI43" i="61" s="1"/>
  <c r="I43" i="61"/>
  <c r="AH43" i="61" s="1"/>
  <c r="AN42" i="61"/>
  <c r="AU42" i="61" s="1"/>
  <c r="AM42" i="61"/>
  <c r="AK42" i="61"/>
  <c r="AR42" i="61" s="1"/>
  <c r="AE42" i="61"/>
  <c r="AC42" i="61"/>
  <c r="W42" i="61"/>
  <c r="V42" i="61"/>
  <c r="AL42" i="61" s="1"/>
  <c r="AS42" i="61" s="1"/>
  <c r="U42" i="61"/>
  <c r="N42" i="61"/>
  <c r="M42" i="61"/>
  <c r="L42" i="61"/>
  <c r="AJ42" i="61" s="1"/>
  <c r="AQ42" i="61" s="1"/>
  <c r="K42" i="61"/>
  <c r="J42" i="61"/>
  <c r="Y42" i="61" s="1"/>
  <c r="AA42" i="61" s="1"/>
  <c r="AB42" i="61" s="1"/>
  <c r="I42" i="61"/>
  <c r="AQ41" i="61"/>
  <c r="AN41" i="61"/>
  <c r="AU41" i="61" s="1"/>
  <c r="AI41" i="61"/>
  <c r="AH41" i="61"/>
  <c r="Z41" i="61"/>
  <c r="X41" i="61"/>
  <c r="W41" i="61"/>
  <c r="AM41" i="61" s="1"/>
  <c r="V41" i="61"/>
  <c r="AL41" i="61" s="1"/>
  <c r="AS41" i="61" s="1"/>
  <c r="U41" i="61"/>
  <c r="AK41" i="61" s="1"/>
  <c r="O41" i="61"/>
  <c r="N41" i="61"/>
  <c r="M41" i="61"/>
  <c r="L41" i="61"/>
  <c r="AJ41" i="61" s="1"/>
  <c r="K41" i="61"/>
  <c r="J41" i="61"/>
  <c r="Y41" i="61" s="1"/>
  <c r="AA41" i="61" s="1"/>
  <c r="I41" i="61"/>
  <c r="P41" i="61" s="1"/>
  <c r="AK40" i="61"/>
  <c r="AI40" i="61"/>
  <c r="AC40" i="61"/>
  <c r="AA40" i="61"/>
  <c r="AB40" i="61" s="1"/>
  <c r="AD40" i="61" s="1"/>
  <c r="W40" i="61"/>
  <c r="AM40" i="61" s="1"/>
  <c r="V40" i="61"/>
  <c r="AN40" i="61" s="1"/>
  <c r="AU40" i="61" s="1"/>
  <c r="U40" i="61"/>
  <c r="N40" i="61"/>
  <c r="M40" i="61"/>
  <c r="L40" i="61"/>
  <c r="AJ40" i="61" s="1"/>
  <c r="AQ40" i="61" s="1"/>
  <c r="K40" i="61"/>
  <c r="J40" i="61"/>
  <c r="Y40" i="61" s="1"/>
  <c r="I40" i="61"/>
  <c r="O40" i="61" s="1"/>
  <c r="Y39" i="61"/>
  <c r="AA39" i="61" s="1"/>
  <c r="X39" i="61"/>
  <c r="W39" i="61"/>
  <c r="AM39" i="61" s="1"/>
  <c r="V39" i="61"/>
  <c r="AN39" i="61" s="1"/>
  <c r="AU39" i="61" s="1"/>
  <c r="U39" i="61"/>
  <c r="AK39" i="61" s="1"/>
  <c r="N39" i="61"/>
  <c r="M39" i="61"/>
  <c r="L39" i="61"/>
  <c r="K39" i="61"/>
  <c r="J39" i="61"/>
  <c r="AI39" i="61" s="1"/>
  <c r="I39" i="61"/>
  <c r="AJ38" i="61"/>
  <c r="AQ38" i="61" s="1"/>
  <c r="AI38" i="61"/>
  <c r="Y38" i="61"/>
  <c r="AA38" i="61" s="1"/>
  <c r="W38" i="61"/>
  <c r="AN38" i="61" s="1"/>
  <c r="AU38" i="61" s="1"/>
  <c r="V38" i="61"/>
  <c r="AL38" i="61" s="1"/>
  <c r="AS38" i="61" s="1"/>
  <c r="U38" i="61"/>
  <c r="AK38" i="61" s="1"/>
  <c r="AR38" i="61" s="1"/>
  <c r="P38" i="61"/>
  <c r="O38" i="61"/>
  <c r="N38" i="61"/>
  <c r="M38" i="61"/>
  <c r="L38" i="61"/>
  <c r="K38" i="61"/>
  <c r="Z38" i="61" s="1"/>
  <c r="J38" i="61"/>
  <c r="I38" i="61"/>
  <c r="AH38" i="61" s="1"/>
  <c r="AJ37" i="61"/>
  <c r="AQ37" i="61" s="1"/>
  <c r="AH37" i="61"/>
  <c r="W37" i="61"/>
  <c r="V37" i="61"/>
  <c r="AL37" i="61" s="1"/>
  <c r="AS37" i="61" s="1"/>
  <c r="U37" i="61"/>
  <c r="AK37" i="61" s="1"/>
  <c r="AR37" i="61" s="1"/>
  <c r="P37" i="61"/>
  <c r="N37" i="61"/>
  <c r="O37" i="61" s="1"/>
  <c r="M37" i="61"/>
  <c r="L37" i="61"/>
  <c r="K37" i="61"/>
  <c r="Z37" i="61" s="1"/>
  <c r="J37" i="61"/>
  <c r="I37" i="61"/>
  <c r="X37" i="61" s="1"/>
  <c r="AU36" i="61"/>
  <c r="AH36" i="61"/>
  <c r="AE36" i="61"/>
  <c r="AC36" i="61"/>
  <c r="Y36" i="61"/>
  <c r="AA36" i="61" s="1"/>
  <c r="AB36" i="61" s="1"/>
  <c r="W36" i="61"/>
  <c r="AN36" i="61" s="1"/>
  <c r="V36" i="61"/>
  <c r="U36" i="61"/>
  <c r="AK36" i="61" s="1"/>
  <c r="AR36" i="61" s="1"/>
  <c r="N36" i="61"/>
  <c r="M36" i="61"/>
  <c r="L36" i="61"/>
  <c r="K36" i="61"/>
  <c r="AJ36" i="61" s="1"/>
  <c r="AQ36" i="61" s="1"/>
  <c r="J36" i="61"/>
  <c r="I36" i="61"/>
  <c r="AN35" i="61"/>
  <c r="AU35" i="61" s="1"/>
  <c r="AK35" i="61"/>
  <c r="AR35" i="61" s="1"/>
  <c r="Z35" i="61"/>
  <c r="Y35" i="61"/>
  <c r="AA35" i="61" s="1"/>
  <c r="X35" i="61"/>
  <c r="W35" i="61"/>
  <c r="AM35" i="61" s="1"/>
  <c r="V35" i="61"/>
  <c r="AL35" i="61" s="1"/>
  <c r="AS35" i="61" s="1"/>
  <c r="U35" i="61"/>
  <c r="N35" i="61"/>
  <c r="M35" i="61"/>
  <c r="L35" i="61"/>
  <c r="AJ35" i="61" s="1"/>
  <c r="AQ35" i="61" s="1"/>
  <c r="K35" i="61"/>
  <c r="J35" i="61"/>
  <c r="AI35" i="61" s="1"/>
  <c r="I35" i="61"/>
  <c r="AM34" i="61"/>
  <c r="AK34" i="61"/>
  <c r="W34" i="61"/>
  <c r="AN34" i="61" s="1"/>
  <c r="AU34" i="61" s="1"/>
  <c r="V34" i="61"/>
  <c r="AL34" i="61" s="1"/>
  <c r="AS34" i="61" s="1"/>
  <c r="U34" i="61"/>
  <c r="N34" i="61"/>
  <c r="M34" i="61"/>
  <c r="L34" i="61"/>
  <c r="K34" i="61"/>
  <c r="Z34" i="61" s="1"/>
  <c r="J34" i="61"/>
  <c r="Y34" i="61" s="1"/>
  <c r="AA34" i="61" s="1"/>
  <c r="I34" i="61"/>
  <c r="O34" i="61" s="1"/>
  <c r="AQ33" i="61"/>
  <c r="AI33" i="61"/>
  <c r="AH33" i="61"/>
  <c r="Z33" i="61"/>
  <c r="X33" i="61"/>
  <c r="W33" i="61"/>
  <c r="AM33" i="61" s="1"/>
  <c r="V33" i="61"/>
  <c r="AN33" i="61" s="1"/>
  <c r="AU33" i="61" s="1"/>
  <c r="U33" i="61"/>
  <c r="AK33" i="61" s="1"/>
  <c r="O33" i="61"/>
  <c r="N33" i="61"/>
  <c r="M33" i="61"/>
  <c r="L33" i="61"/>
  <c r="AJ33" i="61" s="1"/>
  <c r="K33" i="61"/>
  <c r="J33" i="61"/>
  <c r="Y33" i="61" s="1"/>
  <c r="AA33" i="61" s="1"/>
  <c r="I33" i="61"/>
  <c r="P33" i="61" s="1"/>
  <c r="AQ32" i="61"/>
  <c r="AH32" i="61"/>
  <c r="Z32" i="61"/>
  <c r="W32" i="61"/>
  <c r="AM32" i="61" s="1"/>
  <c r="V32" i="61"/>
  <c r="U32" i="61"/>
  <c r="AK32" i="61" s="1"/>
  <c r="AR32" i="61" s="1"/>
  <c r="N32" i="61"/>
  <c r="M32" i="61"/>
  <c r="L32" i="61"/>
  <c r="AJ32" i="61" s="1"/>
  <c r="K32" i="61"/>
  <c r="J32" i="61"/>
  <c r="Y32" i="61" s="1"/>
  <c r="AA32" i="61" s="1"/>
  <c r="I32" i="61"/>
  <c r="AK31" i="61"/>
  <c r="AR31" i="61" s="1"/>
  <c r="AJ31" i="61"/>
  <c r="AQ31" i="61" s="1"/>
  <c r="W31" i="61"/>
  <c r="AM31" i="61" s="1"/>
  <c r="V31" i="61"/>
  <c r="AN31" i="61" s="1"/>
  <c r="AU31" i="61" s="1"/>
  <c r="U31" i="61"/>
  <c r="N31" i="61"/>
  <c r="M31" i="61"/>
  <c r="L31" i="61"/>
  <c r="K31" i="61"/>
  <c r="Z31" i="61" s="1"/>
  <c r="J31" i="61"/>
  <c r="I31" i="61"/>
  <c r="P31" i="61" s="1"/>
  <c r="Y30" i="61"/>
  <c r="AA30" i="61" s="1"/>
  <c r="X30" i="61"/>
  <c r="W30" i="61"/>
  <c r="AN30" i="61" s="1"/>
  <c r="AU30" i="61" s="1"/>
  <c r="V30" i="61"/>
  <c r="U30" i="61"/>
  <c r="N30" i="61"/>
  <c r="M30" i="61"/>
  <c r="L30" i="61"/>
  <c r="K30" i="61"/>
  <c r="Z30" i="61" s="1"/>
  <c r="J30" i="61"/>
  <c r="I30" i="61"/>
  <c r="AM29" i="61"/>
  <c r="AL29" i="61"/>
  <c r="AS29" i="61" s="1"/>
  <c r="AB29" i="61"/>
  <c r="AD29" i="61" s="1"/>
  <c r="AF29" i="61" s="1"/>
  <c r="AA29" i="61"/>
  <c r="AC29" i="61" s="1"/>
  <c r="AE29" i="61" s="1"/>
  <c r="Z29" i="61"/>
  <c r="W29" i="61"/>
  <c r="AN29" i="61" s="1"/>
  <c r="AU29" i="61" s="1"/>
  <c r="V29" i="61"/>
  <c r="U29" i="61"/>
  <c r="N29" i="61"/>
  <c r="M29" i="61"/>
  <c r="L29" i="61"/>
  <c r="K29" i="61"/>
  <c r="AJ29" i="61" s="1"/>
  <c r="AQ29" i="61" s="1"/>
  <c r="J29" i="61"/>
  <c r="Y29" i="61" s="1"/>
  <c r="I29" i="61"/>
  <c r="X29" i="61" s="1"/>
  <c r="AH28" i="61"/>
  <c r="W28" i="61"/>
  <c r="V28" i="61"/>
  <c r="AL28" i="61" s="1"/>
  <c r="AS28" i="61" s="1"/>
  <c r="U28" i="61"/>
  <c r="AK28" i="61" s="1"/>
  <c r="AR28" i="61" s="1"/>
  <c r="N28" i="61"/>
  <c r="M28" i="61"/>
  <c r="L28" i="61"/>
  <c r="K28" i="61"/>
  <c r="AJ28" i="61" s="1"/>
  <c r="AQ28" i="61" s="1"/>
  <c r="J28" i="61"/>
  <c r="I28" i="61"/>
  <c r="AN27" i="61"/>
  <c r="AU27" i="61" s="1"/>
  <c r="AC27" i="61"/>
  <c r="AE27" i="61" s="1"/>
  <c r="AB27" i="61"/>
  <c r="Z27" i="61"/>
  <c r="Y27" i="61"/>
  <c r="AA27" i="61" s="1"/>
  <c r="W27" i="61"/>
  <c r="AM27" i="61" s="1"/>
  <c r="V27" i="61"/>
  <c r="AL27" i="61" s="1"/>
  <c r="AS27" i="61" s="1"/>
  <c r="U27" i="61"/>
  <c r="AK27" i="61" s="1"/>
  <c r="AR27" i="61" s="1"/>
  <c r="P27" i="61"/>
  <c r="N27" i="61"/>
  <c r="M27" i="61"/>
  <c r="L27" i="61"/>
  <c r="AJ27" i="61" s="1"/>
  <c r="AQ27" i="61" s="1"/>
  <c r="K27" i="61"/>
  <c r="J27" i="61"/>
  <c r="AI27" i="61" s="1"/>
  <c r="I27" i="61"/>
  <c r="AI26" i="61"/>
  <c r="X26" i="61"/>
  <c r="W26" i="61"/>
  <c r="AN26" i="61" s="1"/>
  <c r="AU26" i="61" s="1"/>
  <c r="V26" i="61"/>
  <c r="U26" i="61"/>
  <c r="N26" i="61"/>
  <c r="M26" i="61"/>
  <c r="L26" i="61"/>
  <c r="AJ26" i="61" s="1"/>
  <c r="AQ26" i="61" s="1"/>
  <c r="K26" i="61"/>
  <c r="AH26" i="61" s="1"/>
  <c r="J26" i="61"/>
  <c r="Y26" i="61" s="1"/>
  <c r="AA26" i="61" s="1"/>
  <c r="I26" i="61"/>
  <c r="AN25" i="61"/>
  <c r="AU25" i="61" s="1"/>
  <c r="AM25" i="61"/>
  <c r="W25" i="61"/>
  <c r="V25" i="61"/>
  <c r="AL25" i="61" s="1"/>
  <c r="AS25" i="61" s="1"/>
  <c r="U25" i="61"/>
  <c r="AK25" i="61" s="1"/>
  <c r="AR25" i="61" s="1"/>
  <c r="O25" i="61"/>
  <c r="N25" i="61"/>
  <c r="M25" i="61"/>
  <c r="L25" i="61"/>
  <c r="K25" i="61"/>
  <c r="Z25" i="61" s="1"/>
  <c r="J25" i="61"/>
  <c r="Y25" i="61" s="1"/>
  <c r="AA25" i="61" s="1"/>
  <c r="I25" i="61"/>
  <c r="P25" i="61" s="1"/>
  <c r="AS24" i="61"/>
  <c r="AL24" i="61"/>
  <c r="AK24" i="61"/>
  <c r="AI24" i="61"/>
  <c r="AH24" i="61"/>
  <c r="Z24" i="61"/>
  <c r="Y24" i="61"/>
  <c r="AA24" i="61" s="1"/>
  <c r="X24" i="61"/>
  <c r="W24" i="61"/>
  <c r="AM24" i="61" s="1"/>
  <c r="V24" i="61"/>
  <c r="AN24" i="61" s="1"/>
  <c r="AU24" i="61" s="1"/>
  <c r="U24" i="61"/>
  <c r="N24" i="61"/>
  <c r="M24" i="61"/>
  <c r="L24" i="61"/>
  <c r="AJ24" i="61" s="1"/>
  <c r="AQ24" i="61" s="1"/>
  <c r="K24" i="61"/>
  <c r="J24" i="61"/>
  <c r="I24" i="61"/>
  <c r="W23" i="61"/>
  <c r="V23" i="61"/>
  <c r="AN23" i="61" s="1"/>
  <c r="AU23" i="61" s="1"/>
  <c r="U23" i="61"/>
  <c r="AK23" i="61" s="1"/>
  <c r="AR23" i="61" s="1"/>
  <c r="N23" i="61"/>
  <c r="M23" i="61"/>
  <c r="L23" i="61"/>
  <c r="AJ23" i="61" s="1"/>
  <c r="AQ23" i="61" s="1"/>
  <c r="K23" i="61"/>
  <c r="Z23" i="61" s="1"/>
  <c r="J23" i="61"/>
  <c r="Y23" i="61" s="1"/>
  <c r="AA23" i="61" s="1"/>
  <c r="I23" i="61"/>
  <c r="AN22" i="61"/>
  <c r="AU22" i="61" s="1"/>
  <c r="Y22" i="61"/>
  <c r="AA22" i="61" s="1"/>
  <c r="X22" i="61"/>
  <c r="W22" i="61"/>
  <c r="AM22" i="61" s="1"/>
  <c r="V22" i="61"/>
  <c r="AL22" i="61" s="1"/>
  <c r="AS22" i="61" s="1"/>
  <c r="U22" i="61"/>
  <c r="AK22" i="61" s="1"/>
  <c r="AR22" i="61" s="1"/>
  <c r="N22" i="61"/>
  <c r="M22" i="61"/>
  <c r="L22" i="61"/>
  <c r="AJ22" i="61" s="1"/>
  <c r="AQ22" i="61" s="1"/>
  <c r="K22" i="61"/>
  <c r="AH22" i="61" s="1"/>
  <c r="J22" i="61"/>
  <c r="AI22" i="61" s="1"/>
  <c r="I22" i="61"/>
  <c r="AQ21" i="61"/>
  <c r="AN21" i="61"/>
  <c r="AU21" i="61" s="1"/>
  <c r="AJ21" i="61"/>
  <c r="AI21" i="61"/>
  <c r="AH21" i="61"/>
  <c r="AA21" i="61"/>
  <c r="Z21" i="61"/>
  <c r="Y21" i="61"/>
  <c r="W21" i="61"/>
  <c r="AM21" i="61" s="1"/>
  <c r="V21" i="61"/>
  <c r="AL21" i="61" s="1"/>
  <c r="AS21" i="61" s="1"/>
  <c r="U21" i="61"/>
  <c r="AK21" i="61" s="1"/>
  <c r="AR21" i="61" s="1"/>
  <c r="P21" i="61"/>
  <c r="O21" i="61"/>
  <c r="N21" i="61"/>
  <c r="M21" i="61"/>
  <c r="L21" i="61"/>
  <c r="K21" i="61"/>
  <c r="J21" i="61"/>
  <c r="I21" i="61"/>
  <c r="X21" i="61" s="1"/>
  <c r="AL20" i="61"/>
  <c r="AS20" i="61" s="1"/>
  <c r="W20" i="61"/>
  <c r="AN20" i="61" s="1"/>
  <c r="AU20" i="61" s="1"/>
  <c r="V20" i="61"/>
  <c r="U20" i="61"/>
  <c r="AK20" i="61" s="1"/>
  <c r="AR20" i="61" s="1"/>
  <c r="N20" i="61"/>
  <c r="M20" i="61"/>
  <c r="L20" i="61"/>
  <c r="K20" i="61"/>
  <c r="AJ20" i="61" s="1"/>
  <c r="AQ20" i="61" s="1"/>
  <c r="J20" i="61"/>
  <c r="I20" i="61"/>
  <c r="P20" i="61" s="1"/>
  <c r="AN19" i="61"/>
  <c r="AU19" i="61" s="1"/>
  <c r="AH19" i="61"/>
  <c r="Z19" i="61"/>
  <c r="Y19" i="61"/>
  <c r="AA19" i="61" s="1"/>
  <c r="X19" i="61"/>
  <c r="W19" i="61"/>
  <c r="AM19" i="61" s="1"/>
  <c r="V19" i="61"/>
  <c r="AL19" i="61" s="1"/>
  <c r="AS19" i="61" s="1"/>
  <c r="U19" i="61"/>
  <c r="AK19" i="61" s="1"/>
  <c r="AR19" i="61" s="1"/>
  <c r="N19" i="61"/>
  <c r="M19" i="61"/>
  <c r="L19" i="61"/>
  <c r="AJ19" i="61" s="1"/>
  <c r="AQ19" i="61" s="1"/>
  <c r="K19" i="61"/>
  <c r="AI19" i="61" s="1"/>
  <c r="J19" i="61"/>
  <c r="I19" i="61"/>
  <c r="AJ18" i="61"/>
  <c r="AQ18" i="61" s="1"/>
  <c r="AI18" i="61"/>
  <c r="Z18" i="61"/>
  <c r="W18" i="61"/>
  <c r="AN18" i="61" s="1"/>
  <c r="AU18" i="61" s="1"/>
  <c r="V18" i="61"/>
  <c r="AL18" i="61" s="1"/>
  <c r="AS18" i="61" s="1"/>
  <c r="U18" i="61"/>
  <c r="AK18" i="61" s="1"/>
  <c r="AR18" i="61" s="1"/>
  <c r="P18" i="61"/>
  <c r="N18" i="61"/>
  <c r="M18" i="61"/>
  <c r="L18" i="61"/>
  <c r="K18" i="61"/>
  <c r="J18" i="61"/>
  <c r="Y18" i="61" s="1"/>
  <c r="AA18" i="61" s="1"/>
  <c r="AC18" i="61" s="1"/>
  <c r="AE18" i="61" s="1"/>
  <c r="I18" i="61"/>
  <c r="O18" i="61" s="1"/>
  <c r="AU17" i="61"/>
  <c r="X17" i="61"/>
  <c r="W17" i="61"/>
  <c r="AN17" i="61" s="1"/>
  <c r="V17" i="61"/>
  <c r="AL17" i="61" s="1"/>
  <c r="AS17" i="61" s="1"/>
  <c r="U17" i="61"/>
  <c r="AK17" i="61" s="1"/>
  <c r="AR17" i="61" s="1"/>
  <c r="N17" i="61"/>
  <c r="M17" i="61"/>
  <c r="L17" i="61"/>
  <c r="K17" i="61"/>
  <c r="Z17" i="61" s="1"/>
  <c r="J17" i="61"/>
  <c r="I17" i="61"/>
  <c r="P17" i="61" s="1"/>
  <c r="AN16" i="61"/>
  <c r="AU16" i="61" s="1"/>
  <c r="AI16" i="61"/>
  <c r="AH16" i="61"/>
  <c r="AA16" i="61"/>
  <c r="AC16" i="61" s="1"/>
  <c r="AE16" i="61" s="1"/>
  <c r="Z16" i="61"/>
  <c r="Y16" i="61"/>
  <c r="X16" i="61"/>
  <c r="W16" i="61"/>
  <c r="AM16" i="61" s="1"/>
  <c r="V16" i="61"/>
  <c r="AL16" i="61" s="1"/>
  <c r="AS16" i="61" s="1"/>
  <c r="U16" i="61"/>
  <c r="AK16" i="61" s="1"/>
  <c r="AR16" i="61" s="1"/>
  <c r="N16" i="61"/>
  <c r="O16" i="61" s="1"/>
  <c r="M16" i="61"/>
  <c r="L16" i="61"/>
  <c r="AJ16" i="61" s="1"/>
  <c r="AQ16" i="61" s="1"/>
  <c r="K16" i="61"/>
  <c r="J16" i="61"/>
  <c r="I16" i="61"/>
  <c r="AS15" i="61"/>
  <c r="AK15" i="61"/>
  <c r="AR15" i="61" s="1"/>
  <c r="AJ15" i="61"/>
  <c r="AQ15" i="61" s="1"/>
  <c r="W15" i="61"/>
  <c r="AN15" i="61" s="1"/>
  <c r="AU15" i="61" s="1"/>
  <c r="V15" i="61"/>
  <c r="AL15" i="61" s="1"/>
  <c r="U15" i="61"/>
  <c r="N15" i="61"/>
  <c r="M15" i="61"/>
  <c r="L15" i="61"/>
  <c r="K15" i="61"/>
  <c r="Z15" i="61" s="1"/>
  <c r="J15" i="61"/>
  <c r="AI15" i="61" s="1"/>
  <c r="I15" i="61"/>
  <c r="AN14" i="61"/>
  <c r="AU14" i="61" s="1"/>
  <c r="Y14" i="61"/>
  <c r="AA14" i="61" s="1"/>
  <c r="X14" i="61"/>
  <c r="W14" i="61"/>
  <c r="AM14" i="61" s="1"/>
  <c r="V14" i="61"/>
  <c r="AL14" i="61" s="1"/>
  <c r="AS14" i="61" s="1"/>
  <c r="U14" i="61"/>
  <c r="AK14" i="61" s="1"/>
  <c r="AR14" i="61" s="1"/>
  <c r="N14" i="61"/>
  <c r="M14" i="61"/>
  <c r="L14" i="61"/>
  <c r="AJ14" i="61" s="1"/>
  <c r="AQ14" i="61" s="1"/>
  <c r="K14" i="61"/>
  <c r="AH14" i="61" s="1"/>
  <c r="J14" i="61"/>
  <c r="AI14" i="61" s="1"/>
  <c r="I14" i="61"/>
  <c r="P14" i="61" s="1"/>
  <c r="AQ13" i="61"/>
  <c r="AN13" i="61"/>
  <c r="AU13" i="61" s="1"/>
  <c r="AJ13" i="61"/>
  <c r="AI13" i="61"/>
  <c r="AH13" i="61"/>
  <c r="AA13" i="61"/>
  <c r="Z13" i="61"/>
  <c r="Y13" i="61"/>
  <c r="W13" i="61"/>
  <c r="AM13" i="61" s="1"/>
  <c r="V13" i="61"/>
  <c r="AL13" i="61" s="1"/>
  <c r="AS13" i="61" s="1"/>
  <c r="U13" i="61"/>
  <c r="AK13" i="61" s="1"/>
  <c r="AR13" i="61" s="1"/>
  <c r="P13" i="61"/>
  <c r="O13" i="61"/>
  <c r="N13" i="61"/>
  <c r="M13" i="61"/>
  <c r="L13" i="61"/>
  <c r="K13" i="61"/>
  <c r="J13" i="61"/>
  <c r="I13" i="61"/>
  <c r="X13" i="61" s="1"/>
  <c r="W12" i="61"/>
  <c r="AN12" i="61" s="1"/>
  <c r="AU12" i="61" s="1"/>
  <c r="V12" i="61"/>
  <c r="AL12" i="61" s="1"/>
  <c r="AS12" i="61" s="1"/>
  <c r="U12" i="61"/>
  <c r="AK12" i="61" s="1"/>
  <c r="AR12" i="61" s="1"/>
  <c r="N12" i="61"/>
  <c r="M12" i="61"/>
  <c r="L12" i="61"/>
  <c r="K12" i="61"/>
  <c r="AJ12" i="61" s="1"/>
  <c r="AQ12" i="61" s="1"/>
  <c r="J12" i="61"/>
  <c r="I12" i="61"/>
  <c r="P12" i="61" s="1"/>
  <c r="AN11" i="61"/>
  <c r="AU11" i="61" s="1"/>
  <c r="AH11" i="61"/>
  <c r="Z11" i="61"/>
  <c r="Y11" i="61"/>
  <c r="AA11" i="61" s="1"/>
  <c r="X11" i="61"/>
  <c r="W11" i="61"/>
  <c r="AM11" i="61" s="1"/>
  <c r="V11" i="61"/>
  <c r="AL11" i="61" s="1"/>
  <c r="AS11" i="61" s="1"/>
  <c r="U11" i="61"/>
  <c r="AK11" i="61" s="1"/>
  <c r="AR11" i="61" s="1"/>
  <c r="N11" i="61"/>
  <c r="M11" i="61"/>
  <c r="L11" i="61"/>
  <c r="AJ11" i="61" s="1"/>
  <c r="AQ11" i="61" s="1"/>
  <c r="K11" i="61"/>
  <c r="AI11" i="61" s="1"/>
  <c r="J11" i="61"/>
  <c r="I11" i="61"/>
  <c r="AJ10" i="61"/>
  <c r="AQ10" i="61" s="1"/>
  <c r="AI10" i="61"/>
  <c r="AB10" i="61"/>
  <c r="AD10" i="61" s="1"/>
  <c r="AF10" i="61" s="1"/>
  <c r="Z10" i="61"/>
  <c r="W10" i="61"/>
  <c r="AN10" i="61" s="1"/>
  <c r="AU10" i="61" s="1"/>
  <c r="V10" i="61"/>
  <c r="AL10" i="61" s="1"/>
  <c r="AS10" i="61" s="1"/>
  <c r="U10" i="61"/>
  <c r="AK10" i="61" s="1"/>
  <c r="AR10" i="61" s="1"/>
  <c r="P10" i="61"/>
  <c r="N10" i="61"/>
  <c r="M10" i="61"/>
  <c r="L10" i="61"/>
  <c r="K10" i="61"/>
  <c r="J10" i="61"/>
  <c r="Y10" i="61" s="1"/>
  <c r="AA10" i="61" s="1"/>
  <c r="AC10" i="61" s="1"/>
  <c r="AE10" i="61" s="1"/>
  <c r="I10" i="61"/>
  <c r="O10" i="61" s="1"/>
  <c r="AU9" i="61"/>
  <c r="X9" i="61"/>
  <c r="W9" i="61"/>
  <c r="AN9" i="61" s="1"/>
  <c r="V9" i="61"/>
  <c r="U9" i="61"/>
  <c r="N9" i="61"/>
  <c r="M9" i="61"/>
  <c r="L9" i="61"/>
  <c r="K9" i="61"/>
  <c r="Z9" i="61" s="1"/>
  <c r="J9" i="61"/>
  <c r="I9" i="61"/>
  <c r="P9" i="61" s="1"/>
  <c r="AU8" i="61"/>
  <c r="AL8" i="61"/>
  <c r="AS8" i="61" s="1"/>
  <c r="AH8" i="61"/>
  <c r="Z8" i="61"/>
  <c r="Y8" i="61"/>
  <c r="AA8" i="61" s="1"/>
  <c r="X8" i="61"/>
  <c r="W8" i="61"/>
  <c r="AM8" i="61" s="1"/>
  <c r="V8" i="61"/>
  <c r="U8" i="61"/>
  <c r="AK8" i="61" s="1"/>
  <c r="AR8" i="61" s="1"/>
  <c r="N8" i="61"/>
  <c r="M8" i="61"/>
  <c r="L8" i="61"/>
  <c r="AJ8" i="61" s="1"/>
  <c r="AQ8" i="61" s="1"/>
  <c r="K8" i="61"/>
  <c r="J8" i="61"/>
  <c r="AI8" i="61" s="1"/>
  <c r="I8" i="61"/>
  <c r="AU7" i="61"/>
  <c r="AR7" i="61"/>
  <c r="AL7" i="61"/>
  <c r="AS7" i="61" s="1"/>
  <c r="AH7" i="61"/>
  <c r="AA7" i="61"/>
  <c r="Z7" i="61"/>
  <c r="X7" i="61"/>
  <c r="W7" i="61"/>
  <c r="AM7" i="61" s="1"/>
  <c r="V7" i="61"/>
  <c r="U7" i="61"/>
  <c r="AK7" i="61" s="1"/>
  <c r="N7" i="61"/>
  <c r="M7" i="61"/>
  <c r="L7" i="61"/>
  <c r="O7" i="61" s="1"/>
  <c r="K7" i="61"/>
  <c r="J7" i="61"/>
  <c r="Y7" i="61" s="1"/>
  <c r="I7" i="61"/>
  <c r="AL6" i="61"/>
  <c r="AS6" i="61" s="1"/>
  <c r="AI6" i="61"/>
  <c r="Y6" i="61"/>
  <c r="AA6" i="61" s="1"/>
  <c r="W6" i="61"/>
  <c r="V6" i="61"/>
  <c r="U6" i="61"/>
  <c r="AK6" i="61" s="1"/>
  <c r="AR6" i="61" s="1"/>
  <c r="O6" i="61"/>
  <c r="N6" i="61"/>
  <c r="M6" i="61"/>
  <c r="L6" i="61"/>
  <c r="K6" i="61"/>
  <c r="AJ6" i="61" s="1"/>
  <c r="AQ6" i="61" s="1"/>
  <c r="J6" i="61"/>
  <c r="I6" i="61"/>
  <c r="P6" i="61" s="1"/>
  <c r="AR5" i="61"/>
  <c r="AL5" i="61"/>
  <c r="AS5" i="61" s="1"/>
  <c r="AJ5" i="61"/>
  <c r="AQ5" i="61" s="1"/>
  <c r="AH5" i="61"/>
  <c r="Z5" i="61"/>
  <c r="X5" i="61"/>
  <c r="W5" i="61"/>
  <c r="V5" i="61"/>
  <c r="U5" i="61"/>
  <c r="AK5" i="61" s="1"/>
  <c r="P5" i="61"/>
  <c r="N5" i="61"/>
  <c r="M5" i="61"/>
  <c r="L5" i="61"/>
  <c r="K5" i="61"/>
  <c r="J5" i="61"/>
  <c r="AI5" i="61" s="1"/>
  <c r="I5" i="61"/>
  <c r="AM4" i="61"/>
  <c r="AE4" i="61"/>
  <c r="AB4" i="61"/>
  <c r="AD4" i="61" s="1"/>
  <c r="AF4" i="61" s="1"/>
  <c r="Y4" i="61"/>
  <c r="AA4" i="61" s="1"/>
  <c r="AC4" i="61" s="1"/>
  <c r="W4" i="61"/>
  <c r="AN4" i="61" s="1"/>
  <c r="AU4" i="61" s="1"/>
  <c r="V4" i="61"/>
  <c r="AL4" i="61" s="1"/>
  <c r="AS4" i="61" s="1"/>
  <c r="U4" i="61"/>
  <c r="AK4" i="61" s="1"/>
  <c r="AR4" i="61" s="1"/>
  <c r="P4" i="61"/>
  <c r="N4" i="61"/>
  <c r="M4" i="61"/>
  <c r="L4" i="61"/>
  <c r="K4" i="61"/>
  <c r="J4" i="61"/>
  <c r="I4" i="61"/>
  <c r="O4" i="61" s="1"/>
  <c r="AU3" i="61"/>
  <c r="AJ3" i="61"/>
  <c r="AQ3" i="61" s="1"/>
  <c r="AH3" i="61"/>
  <c r="Z3" i="61"/>
  <c r="X3" i="61"/>
  <c r="W3" i="61"/>
  <c r="AN3" i="61" s="1"/>
  <c r="V3" i="61"/>
  <c r="AL3" i="61" s="1"/>
  <c r="AS3" i="61" s="1"/>
  <c r="U3" i="61"/>
  <c r="AK3" i="61" s="1"/>
  <c r="AR3" i="61" s="1"/>
  <c r="N3" i="61"/>
  <c r="P3" i="61" s="1"/>
  <c r="M3" i="61"/>
  <c r="L3" i="61"/>
  <c r="K3" i="61"/>
  <c r="J3" i="61"/>
  <c r="AI3" i="61" s="1"/>
  <c r="I3" i="61"/>
  <c r="O3" i="61" s="1"/>
  <c r="AF15" i="37"/>
  <c r="AC15" i="37"/>
  <c r="R15" i="37"/>
  <c r="O15" i="37"/>
  <c r="N15" i="37"/>
  <c r="M15" i="37"/>
  <c r="L15" i="37"/>
  <c r="AE15" i="37" s="1"/>
  <c r="K15" i="37"/>
  <c r="U14" i="37" s="1"/>
  <c r="J15" i="37"/>
  <c r="I15" i="37"/>
  <c r="P15" i="37" s="1"/>
  <c r="AI14" i="37"/>
  <c r="AG14" i="37"/>
  <c r="AE14" i="37"/>
  <c r="AD14" i="37"/>
  <c r="AH14" i="37" s="1"/>
  <c r="AC14" i="37"/>
  <c r="S14" i="37"/>
  <c r="R14" i="37"/>
  <c r="P14" i="37"/>
  <c r="N14" i="37"/>
  <c r="M14" i="37"/>
  <c r="L14" i="37"/>
  <c r="O14" i="37" s="1"/>
  <c r="K14" i="37"/>
  <c r="AF14" i="37" s="1"/>
  <c r="AJ14" i="37" s="1"/>
  <c r="J14" i="37"/>
  <c r="T14" i="37" s="1"/>
  <c r="V14" i="37" s="1"/>
  <c r="I14" i="37"/>
  <c r="T13" i="37"/>
  <c r="V13" i="37" s="1"/>
  <c r="R13" i="37"/>
  <c r="AF13" i="37" s="1"/>
  <c r="AJ13" i="37" s="1"/>
  <c r="P13" i="37"/>
  <c r="N13" i="37"/>
  <c r="M13" i="37"/>
  <c r="L13" i="37"/>
  <c r="K13" i="37"/>
  <c r="J13" i="37"/>
  <c r="I13" i="37"/>
  <c r="W12" i="37"/>
  <c r="Y12" i="37" s="1"/>
  <c r="T12" i="37"/>
  <c r="V12" i="37" s="1"/>
  <c r="X12" i="37" s="1"/>
  <c r="S12" i="37"/>
  <c r="R12" i="37"/>
  <c r="AF12" i="37" s="1"/>
  <c r="AJ12" i="37" s="1"/>
  <c r="P12" i="37"/>
  <c r="N12" i="37"/>
  <c r="M12" i="37"/>
  <c r="L12" i="37"/>
  <c r="K12" i="37"/>
  <c r="J12" i="37"/>
  <c r="I12" i="37"/>
  <c r="O12" i="37" s="1"/>
  <c r="AJ11" i="37"/>
  <c r="AE11" i="37"/>
  <c r="AI11" i="37" s="1"/>
  <c r="T11" i="37"/>
  <c r="V11" i="37" s="1"/>
  <c r="R11" i="37"/>
  <c r="AF11" i="37" s="1"/>
  <c r="N11" i="37"/>
  <c r="M11" i="37"/>
  <c r="L11" i="37"/>
  <c r="K11" i="37"/>
  <c r="J11" i="37"/>
  <c r="I11" i="37"/>
  <c r="U10" i="37"/>
  <c r="R10" i="37"/>
  <c r="AF10" i="37" s="1"/>
  <c r="AJ10" i="37" s="1"/>
  <c r="N10" i="37"/>
  <c r="M10" i="37"/>
  <c r="L10" i="37"/>
  <c r="AE10" i="37" s="1"/>
  <c r="AI10" i="37" s="1"/>
  <c r="K10" i="37"/>
  <c r="J10" i="37"/>
  <c r="I10" i="37"/>
  <c r="AH9" i="37"/>
  <c r="AD9" i="37"/>
  <c r="U9" i="37"/>
  <c r="R9" i="37"/>
  <c r="AF9" i="37" s="1"/>
  <c r="AJ9" i="37" s="1"/>
  <c r="N9" i="37"/>
  <c r="M9" i="37"/>
  <c r="L9" i="37"/>
  <c r="AE9" i="37" s="1"/>
  <c r="AI9" i="37" s="1"/>
  <c r="K9" i="37"/>
  <c r="J9" i="37"/>
  <c r="I9" i="37"/>
  <c r="AI8" i="37"/>
  <c r="AF8" i="37"/>
  <c r="AJ8" i="37" s="1"/>
  <c r="AC8" i="37"/>
  <c r="AG8" i="37" s="1"/>
  <c r="U8" i="37"/>
  <c r="S8" i="37"/>
  <c r="R8" i="37"/>
  <c r="P8" i="37"/>
  <c r="N8" i="37"/>
  <c r="M8" i="37"/>
  <c r="L8" i="37"/>
  <c r="AE8" i="37" s="1"/>
  <c r="K8" i="37"/>
  <c r="J8" i="37"/>
  <c r="I8" i="37"/>
  <c r="AJ7" i="37"/>
  <c r="AF7" i="37"/>
  <c r="S7" i="37"/>
  <c r="R7" i="37"/>
  <c r="N7" i="37"/>
  <c r="M7" i="37"/>
  <c r="O7" i="37" s="1"/>
  <c r="L7" i="37"/>
  <c r="AE7" i="37" s="1"/>
  <c r="AI7" i="37" s="1"/>
  <c r="K7" i="37"/>
  <c r="U7" i="37" s="1"/>
  <c r="J7" i="37"/>
  <c r="T7" i="37" s="1"/>
  <c r="V7" i="37" s="1"/>
  <c r="I7" i="37"/>
  <c r="P7" i="37" s="1"/>
  <c r="AI6" i="37"/>
  <c r="AG6" i="37"/>
  <c r="AE6" i="37"/>
  <c r="AD6" i="37"/>
  <c r="AH6" i="37" s="1"/>
  <c r="AC6" i="37"/>
  <c r="V6" i="37"/>
  <c r="X6" i="37" s="1"/>
  <c r="U6" i="37"/>
  <c r="S6" i="37"/>
  <c r="R6" i="37"/>
  <c r="P6" i="37"/>
  <c r="N6" i="37"/>
  <c r="M6" i="37"/>
  <c r="L6" i="37"/>
  <c r="K6" i="37"/>
  <c r="AF6" i="37" s="1"/>
  <c r="AJ6" i="37" s="1"/>
  <c r="J6" i="37"/>
  <c r="T6" i="37" s="1"/>
  <c r="I6" i="37"/>
  <c r="X5" i="37"/>
  <c r="Z5" i="37" s="1"/>
  <c r="V5" i="37"/>
  <c r="W5" i="37" s="1"/>
  <c r="Y5" i="37" s="1"/>
  <c r="T5" i="37"/>
  <c r="R5" i="37"/>
  <c r="AF5" i="37" s="1"/>
  <c r="AJ5" i="37" s="1"/>
  <c r="N5" i="37"/>
  <c r="M5" i="37"/>
  <c r="L5" i="37"/>
  <c r="K5" i="37"/>
  <c r="AD5" i="37" s="1"/>
  <c r="AH5" i="37" s="1"/>
  <c r="J5" i="37"/>
  <c r="I5" i="37"/>
  <c r="P5" i="37" s="1"/>
  <c r="AE4" i="37"/>
  <c r="AI4" i="37" s="1"/>
  <c r="T4" i="37"/>
  <c r="V4" i="37" s="1"/>
  <c r="R4" i="37"/>
  <c r="N4" i="37"/>
  <c r="M4" i="37"/>
  <c r="L4" i="37"/>
  <c r="K4" i="37"/>
  <c r="U4" i="37" s="1"/>
  <c r="J4" i="37"/>
  <c r="AD4" i="37" s="1"/>
  <c r="AH4" i="37" s="1"/>
  <c r="I4" i="37"/>
  <c r="O4" i="37" s="1"/>
  <c r="AH3" i="37"/>
  <c r="AD3" i="37"/>
  <c r="U3" i="37"/>
  <c r="T3" i="37"/>
  <c r="V3" i="37" s="1"/>
  <c r="R3" i="37"/>
  <c r="AF3" i="37" s="1"/>
  <c r="AJ3" i="37" s="1"/>
  <c r="O3" i="37"/>
  <c r="N3" i="37"/>
  <c r="M3" i="37"/>
  <c r="L3" i="37"/>
  <c r="AE3" i="37" s="1"/>
  <c r="AI3" i="37" s="1"/>
  <c r="K3" i="37"/>
  <c r="J3" i="37"/>
  <c r="I3" i="37"/>
  <c r="AC3" i="37" s="1"/>
  <c r="AG3" i="37" s="1"/>
  <c r="AG20" i="70"/>
  <c r="S20" i="70"/>
  <c r="O20" i="70"/>
  <c r="N20" i="70"/>
  <c r="M20" i="70"/>
  <c r="L20" i="70"/>
  <c r="K20" i="70"/>
  <c r="AE20" i="70" s="1"/>
  <c r="J20" i="70"/>
  <c r="AF19" i="70"/>
  <c r="AJ19" i="70" s="1"/>
  <c r="AE19" i="70"/>
  <c r="AI19" i="70" s="1"/>
  <c r="U19" i="70"/>
  <c r="W19" i="70" s="1"/>
  <c r="S19" i="70"/>
  <c r="AG19" i="70" s="1"/>
  <c r="AK19" i="70" s="1"/>
  <c r="O19" i="70"/>
  <c r="N19" i="70"/>
  <c r="M19" i="70"/>
  <c r="L19" i="70"/>
  <c r="K19" i="70"/>
  <c r="J19" i="70"/>
  <c r="Q19" i="70" s="1"/>
  <c r="S18" i="70"/>
  <c r="AG18" i="70" s="1"/>
  <c r="AK18" i="70" s="1"/>
  <c r="Q18" i="70"/>
  <c r="O18" i="70"/>
  <c r="N18" i="70"/>
  <c r="M18" i="70"/>
  <c r="L18" i="70"/>
  <c r="V18" i="70" s="1"/>
  <c r="K18" i="70"/>
  <c r="J18" i="70"/>
  <c r="P18" i="70" s="1"/>
  <c r="AK17" i="70"/>
  <c r="AI17" i="70"/>
  <c r="AE17" i="70"/>
  <c r="AD17" i="70"/>
  <c r="AH17" i="70" s="1"/>
  <c r="Y17" i="70"/>
  <c r="U17" i="70"/>
  <c r="W17" i="70" s="1"/>
  <c r="X17" i="70" s="1"/>
  <c r="Z17" i="70" s="1"/>
  <c r="S17" i="70"/>
  <c r="AG17" i="70" s="1"/>
  <c r="O17" i="70"/>
  <c r="N17" i="70"/>
  <c r="M17" i="70"/>
  <c r="AF17" i="70" s="1"/>
  <c r="AJ17" i="70" s="1"/>
  <c r="L17" i="70"/>
  <c r="K17" i="70"/>
  <c r="J17" i="70"/>
  <c r="AG16" i="70"/>
  <c r="AK16" i="70" s="1"/>
  <c r="AF16" i="70"/>
  <c r="AJ16" i="70" s="1"/>
  <c r="V16" i="70"/>
  <c r="T16" i="70"/>
  <c r="S16" i="70"/>
  <c r="O16" i="70"/>
  <c r="Q16" i="70" s="1"/>
  <c r="N16" i="70"/>
  <c r="M16" i="70"/>
  <c r="P16" i="70" s="1"/>
  <c r="L16" i="70"/>
  <c r="K16" i="70"/>
  <c r="J16" i="70"/>
  <c r="AD16" i="70" s="1"/>
  <c r="AH16" i="70" s="1"/>
  <c r="AD15" i="70"/>
  <c r="AH15" i="70" s="1"/>
  <c r="S15" i="70"/>
  <c r="AG15" i="70" s="1"/>
  <c r="AK15" i="70" s="1"/>
  <c r="O15" i="70"/>
  <c r="N15" i="70"/>
  <c r="M15" i="70"/>
  <c r="AF15" i="70" s="1"/>
  <c r="AJ15" i="70" s="1"/>
  <c r="L15" i="70"/>
  <c r="V15" i="70" s="1"/>
  <c r="K15" i="70"/>
  <c r="AE15" i="70" s="1"/>
  <c r="AI15" i="70" s="1"/>
  <c r="J15" i="70"/>
  <c r="AG14" i="70"/>
  <c r="AK14" i="70" s="1"/>
  <c r="AD14" i="70"/>
  <c r="AH14" i="70" s="1"/>
  <c r="T14" i="70"/>
  <c r="S14" i="70"/>
  <c r="P14" i="70"/>
  <c r="O14" i="70"/>
  <c r="N14" i="70"/>
  <c r="M14" i="70"/>
  <c r="AF14" i="70" s="1"/>
  <c r="AJ14" i="70" s="1"/>
  <c r="L14" i="70"/>
  <c r="K14" i="70"/>
  <c r="U14" i="70" s="1"/>
  <c r="W14" i="70" s="1"/>
  <c r="J14" i="70"/>
  <c r="U13" i="70"/>
  <c r="W13" i="70" s="1"/>
  <c r="S13" i="70"/>
  <c r="AG13" i="70" s="1"/>
  <c r="AK13" i="70" s="1"/>
  <c r="O13" i="70"/>
  <c r="N13" i="70"/>
  <c r="M13" i="70"/>
  <c r="L13" i="70"/>
  <c r="V13" i="70" s="1"/>
  <c r="K13" i="70"/>
  <c r="AE13" i="70" s="1"/>
  <c r="AI13" i="70" s="1"/>
  <c r="J13" i="70"/>
  <c r="AD13" i="70" s="1"/>
  <c r="AH13" i="70" s="1"/>
  <c r="T12" i="70"/>
  <c r="S12" i="70"/>
  <c r="O12" i="70"/>
  <c r="N12" i="70"/>
  <c r="M12" i="70"/>
  <c r="L12" i="70"/>
  <c r="V12" i="70" s="1"/>
  <c r="K12" i="70"/>
  <c r="AE12" i="70" s="1"/>
  <c r="AI12" i="70" s="1"/>
  <c r="J12" i="70"/>
  <c r="V11" i="70"/>
  <c r="U11" i="70"/>
  <c r="W11" i="70" s="1"/>
  <c r="S11" i="70"/>
  <c r="AG11" i="70" s="1"/>
  <c r="AK11" i="70" s="1"/>
  <c r="O11" i="70"/>
  <c r="N11" i="70"/>
  <c r="M11" i="70"/>
  <c r="P11" i="70" s="1"/>
  <c r="L11" i="70"/>
  <c r="AE11" i="70" s="1"/>
  <c r="AI11" i="70" s="1"/>
  <c r="K11" i="70"/>
  <c r="J11" i="70"/>
  <c r="AJ10" i="70"/>
  <c r="AG10" i="70"/>
  <c r="AK10" i="70" s="1"/>
  <c r="AF10" i="70"/>
  <c r="AD10" i="70"/>
  <c r="AH10" i="70" s="1"/>
  <c r="V10" i="70"/>
  <c r="T10" i="70"/>
  <c r="S10" i="70"/>
  <c r="P10" i="70"/>
  <c r="O10" i="70"/>
  <c r="N10" i="70"/>
  <c r="M10" i="70"/>
  <c r="L10" i="70"/>
  <c r="K10" i="70"/>
  <c r="AE10" i="70" s="1"/>
  <c r="AI10" i="70" s="1"/>
  <c r="J10" i="70"/>
  <c r="Q10" i="70" s="1"/>
  <c r="T9" i="70"/>
  <c r="S9" i="70"/>
  <c r="AG9" i="70" s="1"/>
  <c r="AK9" i="70" s="1"/>
  <c r="O9" i="70"/>
  <c r="N9" i="70"/>
  <c r="M9" i="70"/>
  <c r="AF9" i="70" s="1"/>
  <c r="AJ9" i="70" s="1"/>
  <c r="L9" i="70"/>
  <c r="K9" i="70"/>
  <c r="J9" i="70"/>
  <c r="Q9" i="70" s="1"/>
  <c r="AH8" i="70"/>
  <c r="AG8" i="70"/>
  <c r="AK8" i="70" s="1"/>
  <c r="AE8" i="70"/>
  <c r="AI8" i="70" s="1"/>
  <c r="AD8" i="70"/>
  <c r="W8" i="70"/>
  <c r="V8" i="70"/>
  <c r="T8" i="70"/>
  <c r="S8" i="70"/>
  <c r="Q8" i="70"/>
  <c r="O8" i="70"/>
  <c r="N8" i="70"/>
  <c r="M8" i="70"/>
  <c r="L8" i="70"/>
  <c r="K8" i="70"/>
  <c r="U8" i="70" s="1"/>
  <c r="J8" i="70"/>
  <c r="AH7" i="70"/>
  <c r="U7" i="70"/>
  <c r="W7" i="70" s="1"/>
  <c r="T7" i="70"/>
  <c r="S7" i="70"/>
  <c r="Q7" i="70"/>
  <c r="P7" i="70"/>
  <c r="O7" i="70"/>
  <c r="N7" i="70"/>
  <c r="M7" i="70"/>
  <c r="AF7" i="70" s="1"/>
  <c r="AJ7" i="70" s="1"/>
  <c r="L7" i="70"/>
  <c r="AG7" i="70" s="1"/>
  <c r="AK7" i="70" s="1"/>
  <c r="K7" i="70"/>
  <c r="J7" i="70"/>
  <c r="AD7" i="70" s="1"/>
  <c r="U6" i="70"/>
  <c r="W6" i="70" s="1"/>
  <c r="T6" i="70"/>
  <c r="S6" i="70"/>
  <c r="O6" i="70"/>
  <c r="Q6" i="70" s="1"/>
  <c r="N6" i="70"/>
  <c r="M6" i="70"/>
  <c r="P6" i="70" s="1"/>
  <c r="L6" i="70"/>
  <c r="K6" i="70"/>
  <c r="J6" i="70"/>
  <c r="AI5" i="70"/>
  <c r="AF5" i="70"/>
  <c r="AJ5" i="70" s="1"/>
  <c r="AE5" i="70"/>
  <c r="X5" i="70"/>
  <c r="Z5" i="70" s="1"/>
  <c r="AB5" i="70" s="1"/>
  <c r="W5" i="70"/>
  <c r="Y5" i="70" s="1"/>
  <c r="AA5" i="70" s="1"/>
  <c r="U5" i="70"/>
  <c r="S5" i="70"/>
  <c r="AG5" i="70" s="1"/>
  <c r="AK5" i="70" s="1"/>
  <c r="O5" i="70"/>
  <c r="N5" i="70"/>
  <c r="M5" i="70"/>
  <c r="L5" i="70"/>
  <c r="V5" i="70" s="1"/>
  <c r="K5" i="70"/>
  <c r="J5" i="70"/>
  <c r="AD5" i="70" s="1"/>
  <c r="AH5" i="70" s="1"/>
  <c r="AI4" i="70"/>
  <c r="V4" i="70"/>
  <c r="U4" i="70"/>
  <c r="W4" i="70" s="1"/>
  <c r="S4" i="70"/>
  <c r="AG4" i="70" s="1"/>
  <c r="AK4" i="70" s="1"/>
  <c r="O4" i="70"/>
  <c r="N4" i="70"/>
  <c r="M4" i="70"/>
  <c r="AF4" i="70" s="1"/>
  <c r="AJ4" i="70" s="1"/>
  <c r="L4" i="70"/>
  <c r="K4" i="70"/>
  <c r="AE4" i="70" s="1"/>
  <c r="J4" i="70"/>
  <c r="AG3" i="70"/>
  <c r="AK3" i="70" s="1"/>
  <c r="AD3" i="70"/>
  <c r="AH3" i="70" s="1"/>
  <c r="V3" i="70"/>
  <c r="U3" i="70"/>
  <c r="W3" i="70" s="1"/>
  <c r="S3" i="70"/>
  <c r="O3" i="70"/>
  <c r="N3" i="70"/>
  <c r="M3" i="70"/>
  <c r="L3" i="70"/>
  <c r="AE3" i="70" s="1"/>
  <c r="AI3" i="70" s="1"/>
  <c r="K3" i="70"/>
  <c r="J3" i="70"/>
  <c r="T3" i="70" s="1"/>
  <c r="R36" i="39"/>
  <c r="M36" i="39"/>
  <c r="L36" i="39"/>
  <c r="AE36" i="39" s="1"/>
  <c r="K36" i="39"/>
  <c r="I36" i="39"/>
  <c r="H36" i="39"/>
  <c r="N36" i="39" s="1"/>
  <c r="G36" i="39"/>
  <c r="F36" i="39"/>
  <c r="E36" i="39"/>
  <c r="D36" i="39"/>
  <c r="J36" i="39" s="1"/>
  <c r="C36" i="39"/>
  <c r="AI35" i="39"/>
  <c r="U35" i="39"/>
  <c r="S35" i="39"/>
  <c r="R35" i="39"/>
  <c r="AF35" i="39" s="1"/>
  <c r="N35" i="39"/>
  <c r="M35" i="39"/>
  <c r="L35" i="39"/>
  <c r="AE35" i="39" s="1"/>
  <c r="K35" i="39"/>
  <c r="J35" i="39"/>
  <c r="I35" i="39"/>
  <c r="P35" i="39" s="1"/>
  <c r="AF34" i="39"/>
  <c r="AD34" i="39"/>
  <c r="AC34" i="39"/>
  <c r="U34" i="39"/>
  <c r="R34" i="39"/>
  <c r="P34" i="39"/>
  <c r="N34" i="39"/>
  <c r="M34" i="39"/>
  <c r="L34" i="39"/>
  <c r="K34" i="39"/>
  <c r="J34" i="39"/>
  <c r="I34" i="39"/>
  <c r="R33" i="39"/>
  <c r="P33" i="39"/>
  <c r="O33" i="39"/>
  <c r="N33" i="39"/>
  <c r="M33" i="39"/>
  <c r="L33" i="39"/>
  <c r="AE33" i="39" s="1"/>
  <c r="AI33" i="39" s="1"/>
  <c r="K33" i="39"/>
  <c r="AF33" i="39" s="1"/>
  <c r="J33" i="39"/>
  <c r="I33" i="39"/>
  <c r="R32" i="39"/>
  <c r="N32" i="39"/>
  <c r="P32" i="39" s="1"/>
  <c r="M32" i="39"/>
  <c r="O32" i="39" s="1"/>
  <c r="L32" i="39"/>
  <c r="K32" i="39"/>
  <c r="J32" i="39"/>
  <c r="I32" i="39"/>
  <c r="AE31" i="39"/>
  <c r="AI31" i="39" s="1"/>
  <c r="R31" i="39"/>
  <c r="AF31" i="39" s="1"/>
  <c r="N31" i="39"/>
  <c r="M31" i="39"/>
  <c r="L31" i="39"/>
  <c r="K31" i="39"/>
  <c r="AD31" i="39" s="1"/>
  <c r="J31" i="39"/>
  <c r="I31" i="39"/>
  <c r="AC31" i="39" s="1"/>
  <c r="U30" i="39"/>
  <c r="R30" i="39"/>
  <c r="AF30" i="39" s="1"/>
  <c r="N30" i="39"/>
  <c r="M30" i="39"/>
  <c r="L30" i="39"/>
  <c r="AE30" i="39" s="1"/>
  <c r="AI30" i="39" s="1"/>
  <c r="K30" i="39"/>
  <c r="J30" i="39"/>
  <c r="AD30" i="39" s="1"/>
  <c r="I30" i="39"/>
  <c r="AF29" i="39"/>
  <c r="AC29" i="39"/>
  <c r="U29" i="39"/>
  <c r="R29" i="39"/>
  <c r="N29" i="39"/>
  <c r="M29" i="39"/>
  <c r="L29" i="39"/>
  <c r="K29" i="39"/>
  <c r="J29" i="39"/>
  <c r="AD29" i="39" s="1"/>
  <c r="I29" i="39"/>
  <c r="S29" i="39" s="1"/>
  <c r="AF28" i="39"/>
  <c r="AC28" i="39"/>
  <c r="U28" i="39"/>
  <c r="R28" i="39"/>
  <c r="O28" i="39"/>
  <c r="N28" i="39"/>
  <c r="M28" i="39"/>
  <c r="L28" i="39"/>
  <c r="AE28" i="39" s="1"/>
  <c r="AI28" i="39" s="1"/>
  <c r="K28" i="39"/>
  <c r="J28" i="39"/>
  <c r="AD28" i="39" s="1"/>
  <c r="I28" i="39"/>
  <c r="P28" i="39" s="1"/>
  <c r="AI27" i="39"/>
  <c r="U27" i="39"/>
  <c r="S27" i="39"/>
  <c r="R27" i="39"/>
  <c r="AF27" i="39" s="1"/>
  <c r="N27" i="39"/>
  <c r="M27" i="39"/>
  <c r="O27" i="39" s="1"/>
  <c r="L27" i="39"/>
  <c r="AE27" i="39" s="1"/>
  <c r="K27" i="39"/>
  <c r="J27" i="39"/>
  <c r="I27" i="39"/>
  <c r="P27" i="39" s="1"/>
  <c r="AF26" i="39"/>
  <c r="AD26" i="39"/>
  <c r="AC26" i="39"/>
  <c r="U26" i="39"/>
  <c r="R26" i="39"/>
  <c r="P26" i="39"/>
  <c r="N26" i="39"/>
  <c r="M26" i="39"/>
  <c r="L26" i="39"/>
  <c r="O26" i="39" s="1"/>
  <c r="K26" i="39"/>
  <c r="J26" i="39"/>
  <c r="I26" i="39"/>
  <c r="R25" i="39"/>
  <c r="P25" i="39"/>
  <c r="N25" i="39"/>
  <c r="M25" i="39"/>
  <c r="O25" i="39" s="1"/>
  <c r="L25" i="39"/>
  <c r="AE25" i="39" s="1"/>
  <c r="AI25" i="39" s="1"/>
  <c r="K25" i="39"/>
  <c r="AF25" i="39" s="1"/>
  <c r="J25" i="39"/>
  <c r="I25" i="39"/>
  <c r="AC25" i="39" s="1"/>
  <c r="R24" i="39"/>
  <c r="AF24" i="39" s="1"/>
  <c r="N24" i="39"/>
  <c r="P24" i="39" s="1"/>
  <c r="M24" i="39"/>
  <c r="L24" i="39"/>
  <c r="K24" i="39"/>
  <c r="J24" i="39"/>
  <c r="AD24" i="39" s="1"/>
  <c r="I24" i="39"/>
  <c r="O24" i="39" s="1"/>
  <c r="AE23" i="39"/>
  <c r="AI23" i="39" s="1"/>
  <c r="R23" i="39"/>
  <c r="AF23" i="39" s="1"/>
  <c r="N23" i="39"/>
  <c r="M23" i="39"/>
  <c r="L23" i="39"/>
  <c r="K23" i="39"/>
  <c r="AD23" i="39" s="1"/>
  <c r="J23" i="39"/>
  <c r="I23" i="39"/>
  <c r="AC23" i="39" s="1"/>
  <c r="U22" i="39"/>
  <c r="R22" i="39"/>
  <c r="AF22" i="39" s="1"/>
  <c r="N22" i="39"/>
  <c r="M22" i="39"/>
  <c r="L22" i="39"/>
  <c r="AE22" i="39" s="1"/>
  <c r="AI22" i="39" s="1"/>
  <c r="K22" i="39"/>
  <c r="J22" i="39"/>
  <c r="AD22" i="39" s="1"/>
  <c r="I22" i="39"/>
  <c r="AF21" i="39"/>
  <c r="AC21" i="39"/>
  <c r="U21" i="39"/>
  <c r="R21" i="39"/>
  <c r="N21" i="39"/>
  <c r="M21" i="39"/>
  <c r="L21" i="39"/>
  <c r="K21" i="39"/>
  <c r="J21" i="39"/>
  <c r="AD21" i="39" s="1"/>
  <c r="I21" i="39"/>
  <c r="S21" i="39" s="1"/>
  <c r="AF20" i="39"/>
  <c r="AC20" i="39"/>
  <c r="U20" i="39"/>
  <c r="R20" i="39"/>
  <c r="O20" i="39"/>
  <c r="N20" i="39"/>
  <c r="M20" i="39"/>
  <c r="L20" i="39"/>
  <c r="AE20" i="39" s="1"/>
  <c r="AI20" i="39" s="1"/>
  <c r="K20" i="39"/>
  <c r="J20" i="39"/>
  <c r="AD20" i="39" s="1"/>
  <c r="I20" i="39"/>
  <c r="P20" i="39" s="1"/>
  <c r="U19" i="39"/>
  <c r="S19" i="39"/>
  <c r="R19" i="39"/>
  <c r="AF19" i="39" s="1"/>
  <c r="N19" i="39"/>
  <c r="M19" i="39"/>
  <c r="L19" i="39"/>
  <c r="AE19" i="39" s="1"/>
  <c r="AI19" i="39" s="1"/>
  <c r="K19" i="39"/>
  <c r="J19" i="39"/>
  <c r="I19" i="39"/>
  <c r="P19" i="39" s="1"/>
  <c r="AF18" i="39"/>
  <c r="AD18" i="39"/>
  <c r="AC18" i="39"/>
  <c r="U18" i="39"/>
  <c r="R18" i="39"/>
  <c r="P18" i="39"/>
  <c r="N18" i="39"/>
  <c r="M18" i="39"/>
  <c r="L18" i="39"/>
  <c r="K18" i="39"/>
  <c r="J18" i="39"/>
  <c r="I18" i="39"/>
  <c r="R17" i="39"/>
  <c r="P17" i="39"/>
  <c r="N17" i="39"/>
  <c r="M17" i="39"/>
  <c r="O17" i="39" s="1"/>
  <c r="L17" i="39"/>
  <c r="K17" i="39"/>
  <c r="AF17" i="39" s="1"/>
  <c r="J17" i="39"/>
  <c r="I17" i="39"/>
  <c r="AC17" i="39" s="1"/>
  <c r="R16" i="39"/>
  <c r="N16" i="39"/>
  <c r="P16" i="39" s="1"/>
  <c r="M16" i="39"/>
  <c r="L16" i="39"/>
  <c r="K16" i="39"/>
  <c r="J16" i="39"/>
  <c r="I16" i="39"/>
  <c r="O16" i="39" s="1"/>
  <c r="AE15" i="39"/>
  <c r="AI15" i="39" s="1"/>
  <c r="R15" i="39"/>
  <c r="AF15" i="39" s="1"/>
  <c r="N15" i="39"/>
  <c r="M15" i="39"/>
  <c r="L15" i="39"/>
  <c r="K15" i="39"/>
  <c r="AD15" i="39" s="1"/>
  <c r="J15" i="39"/>
  <c r="I15" i="39"/>
  <c r="AC15" i="39" s="1"/>
  <c r="U14" i="39"/>
  <c r="R14" i="39"/>
  <c r="AF14" i="39" s="1"/>
  <c r="N14" i="39"/>
  <c r="M14" i="39"/>
  <c r="L14" i="39"/>
  <c r="AE14" i="39" s="1"/>
  <c r="AI14" i="39" s="1"/>
  <c r="K14" i="39"/>
  <c r="J14" i="39"/>
  <c r="AD14" i="39" s="1"/>
  <c r="I14" i="39"/>
  <c r="AF13" i="39"/>
  <c r="AC13" i="39"/>
  <c r="U13" i="39"/>
  <c r="R13" i="39"/>
  <c r="N13" i="39"/>
  <c r="M13" i="39"/>
  <c r="L13" i="39"/>
  <c r="K13" i="39"/>
  <c r="J13" i="39"/>
  <c r="AD13" i="39" s="1"/>
  <c r="I13" i="39"/>
  <c r="S13" i="39" s="1"/>
  <c r="AF12" i="39"/>
  <c r="AC12" i="39"/>
  <c r="U12" i="39"/>
  <c r="R12" i="39"/>
  <c r="O12" i="39"/>
  <c r="N12" i="39"/>
  <c r="M12" i="39"/>
  <c r="L12" i="39"/>
  <c r="AE12" i="39" s="1"/>
  <c r="AI12" i="39" s="1"/>
  <c r="K12" i="39"/>
  <c r="J12" i="39"/>
  <c r="AD12" i="39" s="1"/>
  <c r="I12" i="39"/>
  <c r="P12" i="39" s="1"/>
  <c r="U11" i="39"/>
  <c r="S11" i="39"/>
  <c r="R11" i="39"/>
  <c r="AF11" i="39" s="1"/>
  <c r="N11" i="39"/>
  <c r="M11" i="39"/>
  <c r="L11" i="39"/>
  <c r="AE11" i="39" s="1"/>
  <c r="AI11" i="39" s="1"/>
  <c r="K11" i="39"/>
  <c r="J11" i="39"/>
  <c r="I11" i="39"/>
  <c r="P11" i="39" s="1"/>
  <c r="AF10" i="39"/>
  <c r="AD10" i="39"/>
  <c r="AC10" i="39"/>
  <c r="U10" i="39"/>
  <c r="R10" i="39"/>
  <c r="P10" i="39"/>
  <c r="N10" i="39"/>
  <c r="M10" i="39"/>
  <c r="L10" i="39"/>
  <c r="K10" i="39"/>
  <c r="J10" i="39"/>
  <c r="I10" i="39"/>
  <c r="R9" i="39"/>
  <c r="P9" i="39"/>
  <c r="N9" i="39"/>
  <c r="M9" i="39"/>
  <c r="O9" i="39" s="1"/>
  <c r="L9" i="39"/>
  <c r="K9" i="39"/>
  <c r="AF9" i="39" s="1"/>
  <c r="J9" i="39"/>
  <c r="I9" i="39"/>
  <c r="AC9" i="39" s="1"/>
  <c r="R8" i="39"/>
  <c r="N8" i="39"/>
  <c r="P8" i="39" s="1"/>
  <c r="M8" i="39"/>
  <c r="L8" i="39"/>
  <c r="K8" i="39"/>
  <c r="J8" i="39"/>
  <c r="AD8" i="39" s="1"/>
  <c r="I8" i="39"/>
  <c r="O8" i="39" s="1"/>
  <c r="AE7" i="39"/>
  <c r="AI7" i="39" s="1"/>
  <c r="R7" i="39"/>
  <c r="AF7" i="39" s="1"/>
  <c r="N7" i="39"/>
  <c r="M7" i="39"/>
  <c r="L7" i="39"/>
  <c r="K7" i="39"/>
  <c r="AD7" i="39" s="1"/>
  <c r="J7" i="39"/>
  <c r="I7" i="39"/>
  <c r="AC7" i="39" s="1"/>
  <c r="U6" i="39"/>
  <c r="R6" i="39"/>
  <c r="AF6" i="39" s="1"/>
  <c r="N6" i="39"/>
  <c r="M6" i="39"/>
  <c r="L6" i="39"/>
  <c r="AE6" i="39" s="1"/>
  <c r="AI6" i="39" s="1"/>
  <c r="K6" i="39"/>
  <c r="J6" i="39"/>
  <c r="AD6" i="39" s="1"/>
  <c r="I6" i="39"/>
  <c r="AF5" i="39"/>
  <c r="AC5" i="39"/>
  <c r="U5" i="39"/>
  <c r="R5" i="39"/>
  <c r="N5" i="39"/>
  <c r="M5" i="39"/>
  <c r="L5" i="39"/>
  <c r="K5" i="39"/>
  <c r="J5" i="39"/>
  <c r="AD5" i="39" s="1"/>
  <c r="I5" i="39"/>
  <c r="S5" i="39" s="1"/>
  <c r="AF4" i="39"/>
  <c r="AC4" i="39"/>
  <c r="U4" i="39"/>
  <c r="R4" i="39"/>
  <c r="O4" i="39"/>
  <c r="N4" i="39"/>
  <c r="M4" i="39"/>
  <c r="L4" i="39"/>
  <c r="AE4" i="39" s="1"/>
  <c r="AI4" i="39" s="1"/>
  <c r="K4" i="39"/>
  <c r="J4" i="39"/>
  <c r="AD4" i="39" s="1"/>
  <c r="I4" i="39"/>
  <c r="P4" i="39" s="1"/>
  <c r="U3" i="39"/>
  <c r="S3" i="39"/>
  <c r="R3" i="39"/>
  <c r="AF3" i="39" s="1"/>
  <c r="N3" i="39"/>
  <c r="M3" i="39"/>
  <c r="L3" i="39"/>
  <c r="AE3" i="39" s="1"/>
  <c r="AI3" i="39" s="1"/>
  <c r="K3" i="39"/>
  <c r="J3" i="39"/>
  <c r="I3" i="39"/>
  <c r="P3" i="39" s="1"/>
  <c r="AC10" i="22"/>
  <c r="AB10" i="22"/>
  <c r="O10" i="22"/>
  <c r="N10" i="22"/>
  <c r="M10" i="22"/>
  <c r="AD10" i="22" s="1"/>
  <c r="L10" i="22"/>
  <c r="K10" i="22"/>
  <c r="J10" i="22"/>
  <c r="AD9" i="22"/>
  <c r="Q9" i="22"/>
  <c r="O9" i="22"/>
  <c r="N9" i="22"/>
  <c r="M9" i="22"/>
  <c r="L9" i="22"/>
  <c r="AB9" i="22" s="1"/>
  <c r="AE9" i="22" s="1"/>
  <c r="K9" i="22"/>
  <c r="AC9" i="22" s="1"/>
  <c r="AF9" i="22" s="1"/>
  <c r="J9" i="22"/>
  <c r="R9" i="22" s="1"/>
  <c r="AD8" i="22"/>
  <c r="Q8" i="22"/>
  <c r="O8" i="22"/>
  <c r="N8" i="22"/>
  <c r="M8" i="22"/>
  <c r="P8" i="22" s="1"/>
  <c r="L8" i="22"/>
  <c r="AB8" i="22" s="1"/>
  <c r="AE8" i="22" s="1"/>
  <c r="K8" i="22"/>
  <c r="AC8" i="22" s="1"/>
  <c r="AF8" i="22" s="1"/>
  <c r="J8" i="22"/>
  <c r="R8" i="22" s="1"/>
  <c r="AD7" i="22"/>
  <c r="AG7" i="22" s="1"/>
  <c r="Q7" i="22"/>
  <c r="O7" i="22"/>
  <c r="N7" i="22"/>
  <c r="M7" i="22"/>
  <c r="L7" i="22"/>
  <c r="AB7" i="22" s="1"/>
  <c r="AE7" i="22" s="1"/>
  <c r="K7" i="22"/>
  <c r="AC7" i="22" s="1"/>
  <c r="AF7" i="22" s="1"/>
  <c r="J7" i="22"/>
  <c r="R7" i="22" s="1"/>
  <c r="AD6" i="22"/>
  <c r="AG6" i="22" s="1"/>
  <c r="Q6" i="22"/>
  <c r="O6" i="22"/>
  <c r="N6" i="22"/>
  <c r="M6" i="22"/>
  <c r="P6" i="22" s="1"/>
  <c r="L6" i="22"/>
  <c r="AB6" i="22" s="1"/>
  <c r="AE6" i="22" s="1"/>
  <c r="K6" i="22"/>
  <c r="AC6" i="22" s="1"/>
  <c r="AF6" i="22" s="1"/>
  <c r="J6" i="22"/>
  <c r="R6" i="22" s="1"/>
  <c r="AD5" i="22"/>
  <c r="AG5" i="22" s="1"/>
  <c r="Q5" i="22"/>
  <c r="O5" i="22"/>
  <c r="N5" i="22"/>
  <c r="M5" i="22"/>
  <c r="P5" i="22" s="1"/>
  <c r="L5" i="22"/>
  <c r="AB5" i="22" s="1"/>
  <c r="AE5" i="22" s="1"/>
  <c r="K5" i="22"/>
  <c r="AC5" i="22" s="1"/>
  <c r="AF5" i="22" s="1"/>
  <c r="J5" i="22"/>
  <c r="R5" i="22" s="1"/>
  <c r="AD4" i="22"/>
  <c r="Q4" i="22"/>
  <c r="O4" i="22"/>
  <c r="N4" i="22"/>
  <c r="M4" i="22"/>
  <c r="P4" i="22" s="1"/>
  <c r="L4" i="22"/>
  <c r="AB4" i="22" s="1"/>
  <c r="AE4" i="22" s="1"/>
  <c r="K4" i="22"/>
  <c r="AC4" i="22" s="1"/>
  <c r="AF4" i="22" s="1"/>
  <c r="J4" i="22"/>
  <c r="R4" i="22" s="1"/>
  <c r="AD3" i="22"/>
  <c r="AG3" i="22" s="1"/>
  <c r="Q3" i="22"/>
  <c r="O3" i="22"/>
  <c r="N3" i="22"/>
  <c r="M3" i="22"/>
  <c r="P3" i="22" s="1"/>
  <c r="L3" i="22"/>
  <c r="AB3" i="22" s="1"/>
  <c r="AE3" i="22" s="1"/>
  <c r="K3" i="22"/>
  <c r="AC3" i="22" s="1"/>
  <c r="AF3" i="22" s="1"/>
  <c r="J3" i="22"/>
  <c r="R3" i="22" s="1"/>
  <c r="S8" i="75"/>
  <c r="R8" i="75"/>
  <c r="Q8" i="75"/>
  <c r="N8" i="75"/>
  <c r="M8" i="75"/>
  <c r="K8" i="75"/>
  <c r="AE8" i="75" s="1"/>
  <c r="J8" i="75"/>
  <c r="H8" i="75"/>
  <c r="G8" i="75"/>
  <c r="F8" i="75"/>
  <c r="L8" i="75" s="1"/>
  <c r="AF8" i="75" s="1"/>
  <c r="E8" i="75"/>
  <c r="D8" i="75"/>
  <c r="C8" i="75"/>
  <c r="I8" i="75" s="1"/>
  <c r="AE7" i="75"/>
  <c r="N7" i="75"/>
  <c r="M7" i="75"/>
  <c r="L7" i="75"/>
  <c r="AF7" i="75" s="1"/>
  <c r="AI7" i="75" s="1"/>
  <c r="K7" i="75"/>
  <c r="V7" i="75" s="1"/>
  <c r="J7" i="75"/>
  <c r="U7" i="75" s="1"/>
  <c r="W7" i="75" s="1"/>
  <c r="I7" i="75"/>
  <c r="AE6" i="75"/>
  <c r="W6" i="75"/>
  <c r="T6" i="75"/>
  <c r="N6" i="75"/>
  <c r="M6" i="75"/>
  <c r="L6" i="75"/>
  <c r="AF6" i="75" s="1"/>
  <c r="K6" i="75"/>
  <c r="V6" i="75" s="1"/>
  <c r="J6" i="75"/>
  <c r="U6" i="75" s="1"/>
  <c r="I6" i="75"/>
  <c r="AE5" i="75"/>
  <c r="W5" i="75"/>
  <c r="N5" i="75"/>
  <c r="M5" i="75"/>
  <c r="L5" i="75"/>
  <c r="AF5" i="75" s="1"/>
  <c r="K5" i="75"/>
  <c r="J5" i="75"/>
  <c r="U5" i="75" s="1"/>
  <c r="I5" i="75"/>
  <c r="AE4" i="75"/>
  <c r="N4" i="75"/>
  <c r="M4" i="75"/>
  <c r="L4" i="75"/>
  <c r="AF4" i="75" s="1"/>
  <c r="AI4" i="75" s="1"/>
  <c r="K4" i="75"/>
  <c r="V4" i="75" s="1"/>
  <c r="J4" i="75"/>
  <c r="U4" i="75" s="1"/>
  <c r="W4" i="75" s="1"/>
  <c r="I4" i="75"/>
  <c r="AE3" i="75"/>
  <c r="N3" i="75"/>
  <c r="M3" i="75"/>
  <c r="L3" i="75"/>
  <c r="K3" i="75"/>
  <c r="V3" i="75" s="1"/>
  <c r="J3" i="75"/>
  <c r="U3" i="75" s="1"/>
  <c r="W3" i="75" s="1"/>
  <c r="I3" i="75"/>
  <c r="T3" i="75" s="1"/>
  <c r="AL10" i="38"/>
  <c r="AH10" i="38"/>
  <c r="V10" i="38"/>
  <c r="T10" i="38"/>
  <c r="W10" i="38" s="1"/>
  <c r="S10" i="38"/>
  <c r="R10" i="38"/>
  <c r="Q10" i="38"/>
  <c r="U10" i="38" s="1"/>
  <c r="AK10" i="38" s="1"/>
  <c r="N10" i="38"/>
  <c r="J10" i="38"/>
  <c r="I10" i="38"/>
  <c r="H10" i="38"/>
  <c r="G10" i="38"/>
  <c r="M10" i="38" s="1"/>
  <c r="F10" i="38"/>
  <c r="L10" i="38" s="1"/>
  <c r="AJ10" i="38" s="1"/>
  <c r="AQ3" i="38" s="1"/>
  <c r="E10" i="38"/>
  <c r="K10" i="38" s="1"/>
  <c r="D10" i="38"/>
  <c r="C10" i="38"/>
  <c r="AA9" i="38"/>
  <c r="W9" i="38"/>
  <c r="V9" i="38"/>
  <c r="U9" i="38"/>
  <c r="P9" i="38"/>
  <c r="O9" i="38"/>
  <c r="N9" i="38"/>
  <c r="M9" i="38"/>
  <c r="L9" i="38"/>
  <c r="K9" i="38"/>
  <c r="J9" i="38"/>
  <c r="Y9" i="38" s="1"/>
  <c r="I9" i="38"/>
  <c r="X9" i="38" s="1"/>
  <c r="AM8" i="38"/>
  <c r="AL8" i="38"/>
  <c r="AS8" i="38" s="1"/>
  <c r="AH8" i="38"/>
  <c r="AO8" i="38" s="1"/>
  <c r="Z8" i="38"/>
  <c r="W8" i="38"/>
  <c r="V8" i="38"/>
  <c r="U8" i="38"/>
  <c r="AK8" i="38" s="1"/>
  <c r="AR8" i="38" s="1"/>
  <c r="N8" i="38"/>
  <c r="P8" i="38" s="1"/>
  <c r="M8" i="38"/>
  <c r="L8" i="38"/>
  <c r="K8" i="38"/>
  <c r="AJ8" i="38" s="1"/>
  <c r="J8" i="38"/>
  <c r="I8" i="38"/>
  <c r="AO7" i="38"/>
  <c r="AH7" i="38"/>
  <c r="Z7" i="38"/>
  <c r="W7" i="38"/>
  <c r="AN7" i="38" s="1"/>
  <c r="V7" i="38"/>
  <c r="AL7" i="38" s="1"/>
  <c r="AS7" i="38" s="1"/>
  <c r="U7" i="38"/>
  <c r="AK7" i="38" s="1"/>
  <c r="AR7" i="38" s="1"/>
  <c r="N7" i="38"/>
  <c r="M7" i="38"/>
  <c r="L7" i="38"/>
  <c r="K7" i="38"/>
  <c r="AJ7" i="38" s="1"/>
  <c r="J7" i="38"/>
  <c r="AI7" i="38" s="1"/>
  <c r="I7" i="38"/>
  <c r="AN6" i="38"/>
  <c r="X6" i="38"/>
  <c r="W6" i="38"/>
  <c r="AM6" i="38" s="1"/>
  <c r="V6" i="38"/>
  <c r="U6" i="38"/>
  <c r="AK6" i="38" s="1"/>
  <c r="AR6" i="38" s="1"/>
  <c r="N6" i="38"/>
  <c r="M6" i="38"/>
  <c r="L6" i="38"/>
  <c r="AJ6" i="38" s="1"/>
  <c r="K6" i="38"/>
  <c r="AI6" i="38" s="1"/>
  <c r="J6" i="38"/>
  <c r="Y6" i="38" s="1"/>
  <c r="AA6" i="38" s="1"/>
  <c r="I6" i="38"/>
  <c r="P6" i="38" s="1"/>
  <c r="AN5" i="38"/>
  <c r="W5" i="38"/>
  <c r="V5" i="38"/>
  <c r="AL5" i="38" s="1"/>
  <c r="AS5" i="38" s="1"/>
  <c r="U5" i="38"/>
  <c r="N5" i="38"/>
  <c r="M5" i="38"/>
  <c r="L5" i="38"/>
  <c r="K5" i="38"/>
  <c r="AI5" i="38" s="1"/>
  <c r="J5" i="38"/>
  <c r="I5" i="38"/>
  <c r="AN4" i="38"/>
  <c r="AL4" i="38"/>
  <c r="AS4" i="38" s="1"/>
  <c r="AK4" i="38"/>
  <c r="AR4" i="38" s="1"/>
  <c r="Z4" i="38"/>
  <c r="X4" i="38"/>
  <c r="W4" i="38"/>
  <c r="AM4" i="38" s="1"/>
  <c r="V4" i="38"/>
  <c r="U4" i="38"/>
  <c r="N4" i="38"/>
  <c r="M4" i="38"/>
  <c r="L4" i="38"/>
  <c r="K4" i="38"/>
  <c r="J4" i="38"/>
  <c r="I4" i="38"/>
  <c r="AS3" i="38"/>
  <c r="AN3" i="38"/>
  <c r="AL3" i="38"/>
  <c r="AK3" i="38"/>
  <c r="AR3" i="38" s="1"/>
  <c r="X3" i="38"/>
  <c r="W3" i="38"/>
  <c r="AM3" i="38" s="1"/>
  <c r="V3" i="38"/>
  <c r="U3" i="38"/>
  <c r="O3" i="38"/>
  <c r="N3" i="38"/>
  <c r="M3" i="38"/>
  <c r="L3" i="38"/>
  <c r="AJ3" i="38" s="1"/>
  <c r="K3" i="38"/>
  <c r="Z3" i="38" s="1"/>
  <c r="J3" i="38"/>
  <c r="AI3" i="38" s="1"/>
  <c r="I3" i="38"/>
  <c r="AE13" i="59"/>
  <c r="S13" i="59"/>
  <c r="R13" i="59"/>
  <c r="Q13" i="59"/>
  <c r="N13" i="59"/>
  <c r="M13" i="59"/>
  <c r="L13" i="59"/>
  <c r="K13" i="59"/>
  <c r="J13" i="59"/>
  <c r="I13" i="59"/>
  <c r="T3" i="59" s="1"/>
  <c r="AD12" i="59"/>
  <c r="Y12" i="59"/>
  <c r="X12" i="59"/>
  <c r="V12" i="59"/>
  <c r="U12" i="59"/>
  <c r="W12" i="59" s="1"/>
  <c r="R12" i="59"/>
  <c r="AG12" i="59" s="1"/>
  <c r="AK12" i="59" s="1"/>
  <c r="N12" i="59"/>
  <c r="M12" i="59"/>
  <c r="L12" i="59"/>
  <c r="AF12" i="59" s="1"/>
  <c r="AJ12" i="59" s="1"/>
  <c r="K12" i="59"/>
  <c r="J12" i="59"/>
  <c r="AE12" i="59" s="1"/>
  <c r="AI12" i="59" s="1"/>
  <c r="I12" i="59"/>
  <c r="AF11" i="59"/>
  <c r="AJ11" i="59" s="1"/>
  <c r="V11" i="59"/>
  <c r="T11" i="59"/>
  <c r="R11" i="59"/>
  <c r="AG11" i="59" s="1"/>
  <c r="AK11" i="59" s="1"/>
  <c r="N11" i="59"/>
  <c r="M11" i="59"/>
  <c r="L11" i="59"/>
  <c r="K11" i="59"/>
  <c r="J11" i="59"/>
  <c r="I11" i="59"/>
  <c r="AJ10" i="59"/>
  <c r="AI10" i="59"/>
  <c r="AE10" i="59"/>
  <c r="W10" i="59"/>
  <c r="X10" i="59" s="1"/>
  <c r="V10" i="59"/>
  <c r="R10" i="59"/>
  <c r="AG10" i="59" s="1"/>
  <c r="AK10" i="59" s="1"/>
  <c r="N10" i="59"/>
  <c r="M10" i="59"/>
  <c r="L10" i="59"/>
  <c r="AF10" i="59" s="1"/>
  <c r="K10" i="59"/>
  <c r="J10" i="59"/>
  <c r="U10" i="59" s="1"/>
  <c r="I10" i="59"/>
  <c r="AD10" i="59" s="1"/>
  <c r="AJ9" i="59"/>
  <c r="AG9" i="59"/>
  <c r="AK9" i="59" s="1"/>
  <c r="AE9" i="59"/>
  <c r="AI9" i="59" s="1"/>
  <c r="AD9" i="59"/>
  <c r="W9" i="59"/>
  <c r="R9" i="59"/>
  <c r="P9" i="59"/>
  <c r="O9" i="59"/>
  <c r="N9" i="59"/>
  <c r="M9" i="59"/>
  <c r="L9" i="59"/>
  <c r="AF9" i="59" s="1"/>
  <c r="K9" i="59"/>
  <c r="J9" i="59"/>
  <c r="U9" i="59" s="1"/>
  <c r="I9" i="59"/>
  <c r="U8" i="59"/>
  <c r="W8" i="59" s="1"/>
  <c r="R8" i="59"/>
  <c r="P8" i="59"/>
  <c r="N8" i="59"/>
  <c r="M8" i="59"/>
  <c r="O8" i="59" s="1"/>
  <c r="L8" i="59"/>
  <c r="K8" i="59"/>
  <c r="AE8" i="59" s="1"/>
  <c r="AI8" i="59" s="1"/>
  <c r="J8" i="59"/>
  <c r="I8" i="59"/>
  <c r="AD8" i="59" s="1"/>
  <c r="AF7" i="59"/>
  <c r="AJ7" i="59" s="1"/>
  <c r="R7" i="59"/>
  <c r="P7" i="59"/>
  <c r="N7" i="59"/>
  <c r="M7" i="59"/>
  <c r="L7" i="59"/>
  <c r="K7" i="59"/>
  <c r="J7" i="59"/>
  <c r="U7" i="59" s="1"/>
  <c r="W7" i="59" s="1"/>
  <c r="I7" i="59"/>
  <c r="AE6" i="59"/>
  <c r="AI6" i="59" s="1"/>
  <c r="U6" i="59"/>
  <c r="W6" i="59" s="1"/>
  <c r="Y6" i="59" s="1"/>
  <c r="R6" i="59"/>
  <c r="AG6" i="59" s="1"/>
  <c r="AK6" i="59" s="1"/>
  <c r="P6" i="59"/>
  <c r="N6" i="59"/>
  <c r="M6" i="59"/>
  <c r="L6" i="59"/>
  <c r="AF6" i="59" s="1"/>
  <c r="AJ6" i="59" s="1"/>
  <c r="K6" i="59"/>
  <c r="J6" i="59"/>
  <c r="I6" i="59"/>
  <c r="AD6" i="59" s="1"/>
  <c r="R5" i="59"/>
  <c r="N5" i="59"/>
  <c r="M5" i="59"/>
  <c r="L5" i="59"/>
  <c r="K5" i="59"/>
  <c r="AG5" i="59" s="1"/>
  <c r="AK5" i="59" s="1"/>
  <c r="J5" i="59"/>
  <c r="AE5" i="59" s="1"/>
  <c r="AI5" i="59" s="1"/>
  <c r="I5" i="59"/>
  <c r="AG4" i="59"/>
  <c r="AK4" i="59" s="1"/>
  <c r="AE4" i="59"/>
  <c r="AI4" i="59" s="1"/>
  <c r="AD4" i="59"/>
  <c r="R4" i="59"/>
  <c r="N4" i="59"/>
  <c r="M4" i="59"/>
  <c r="L4" i="59"/>
  <c r="AF4" i="59" s="1"/>
  <c r="AJ4" i="59" s="1"/>
  <c r="K4" i="59"/>
  <c r="J4" i="59"/>
  <c r="U4" i="59" s="1"/>
  <c r="W4" i="59" s="1"/>
  <c r="X4" i="59" s="1"/>
  <c r="I4" i="59"/>
  <c r="AJ3" i="59"/>
  <c r="AG3" i="59"/>
  <c r="AK3" i="59" s="1"/>
  <c r="AF3" i="59"/>
  <c r="R3" i="59"/>
  <c r="N3" i="59"/>
  <c r="M3" i="59"/>
  <c r="O3" i="59" s="1"/>
  <c r="L3" i="59"/>
  <c r="K3" i="59"/>
  <c r="V3" i="59" s="1"/>
  <c r="J3" i="59"/>
  <c r="I3" i="59"/>
  <c r="AD3" i="59" s="1"/>
  <c r="AF65" i="5"/>
  <c r="S65" i="5"/>
  <c r="AG65" i="5" s="1"/>
  <c r="AK21" i="5" s="1"/>
  <c r="O65" i="5"/>
  <c r="N65" i="5"/>
  <c r="M65" i="5"/>
  <c r="L65" i="5"/>
  <c r="K65" i="5"/>
  <c r="AE65" i="5" s="1"/>
  <c r="J65" i="5"/>
  <c r="AF64" i="5"/>
  <c r="AE64" i="5"/>
  <c r="AD64" i="5"/>
  <c r="S64" i="5"/>
  <c r="AG64" i="5" s="1"/>
  <c r="O64" i="5"/>
  <c r="N64" i="5"/>
  <c r="M64" i="5"/>
  <c r="L64" i="5"/>
  <c r="K64" i="5"/>
  <c r="U62" i="5" s="1"/>
  <c r="J64" i="5"/>
  <c r="AK63" i="5"/>
  <c r="AJ63" i="5"/>
  <c r="S63" i="5"/>
  <c r="AG63" i="5" s="1"/>
  <c r="Q63" i="5"/>
  <c r="O63" i="5"/>
  <c r="N63" i="5"/>
  <c r="M63" i="5"/>
  <c r="AF63" i="5" s="1"/>
  <c r="L63" i="5"/>
  <c r="V63" i="5" s="1"/>
  <c r="K63" i="5"/>
  <c r="AE63" i="5" s="1"/>
  <c r="AI63" i="5" s="1"/>
  <c r="J63" i="5"/>
  <c r="W62" i="5"/>
  <c r="V62" i="5"/>
  <c r="S62" i="5"/>
  <c r="O62" i="5"/>
  <c r="N62" i="5"/>
  <c r="M62" i="5"/>
  <c r="AF62" i="5" s="1"/>
  <c r="AJ62" i="5" s="1"/>
  <c r="L62" i="5"/>
  <c r="K62" i="5"/>
  <c r="J62" i="5"/>
  <c r="AF61" i="5"/>
  <c r="AJ61" i="5" s="1"/>
  <c r="T61" i="5"/>
  <c r="S61" i="5"/>
  <c r="P61" i="5"/>
  <c r="O61" i="5"/>
  <c r="N61" i="5"/>
  <c r="M61" i="5"/>
  <c r="L61" i="5"/>
  <c r="K61" i="5"/>
  <c r="J61" i="5"/>
  <c r="Q61" i="5" s="1"/>
  <c r="AF60" i="5"/>
  <c r="AJ60" i="5" s="1"/>
  <c r="AE60" i="5"/>
  <c r="AI60" i="5" s="1"/>
  <c r="AD60" i="5"/>
  <c r="V60" i="5"/>
  <c r="U60" i="5"/>
  <c r="W60" i="5" s="1"/>
  <c r="T60" i="5"/>
  <c r="S60" i="5"/>
  <c r="AG60" i="5" s="1"/>
  <c r="O60" i="5"/>
  <c r="N60" i="5"/>
  <c r="M60" i="5"/>
  <c r="L60" i="5"/>
  <c r="K60" i="5"/>
  <c r="J60" i="5"/>
  <c r="AI59" i="5"/>
  <c r="AE59" i="5"/>
  <c r="V59" i="5"/>
  <c r="S59" i="5"/>
  <c r="AG59" i="5" s="1"/>
  <c r="AK59" i="5" s="1"/>
  <c r="O59" i="5"/>
  <c r="N59" i="5"/>
  <c r="M59" i="5"/>
  <c r="L59" i="5"/>
  <c r="K59" i="5"/>
  <c r="J59" i="5"/>
  <c r="AD59" i="5" s="1"/>
  <c r="AG58" i="5"/>
  <c r="AK58" i="5" s="1"/>
  <c r="V58" i="5"/>
  <c r="U58" i="5"/>
  <c r="W58" i="5" s="1"/>
  <c r="S58" i="5"/>
  <c r="O58" i="5"/>
  <c r="N58" i="5"/>
  <c r="M58" i="5"/>
  <c r="L58" i="5"/>
  <c r="K58" i="5"/>
  <c r="J58" i="5"/>
  <c r="P58" i="5" s="1"/>
  <c r="AE57" i="5"/>
  <c r="AI57" i="5" s="1"/>
  <c r="AD57" i="5"/>
  <c r="V57" i="5"/>
  <c r="U57" i="5"/>
  <c r="W57" i="5" s="1"/>
  <c r="T57" i="5"/>
  <c r="S57" i="5"/>
  <c r="O57" i="5"/>
  <c r="N57" i="5"/>
  <c r="M57" i="5"/>
  <c r="P57" i="5" s="1"/>
  <c r="L57" i="5"/>
  <c r="AG57" i="5" s="1"/>
  <c r="K57" i="5"/>
  <c r="J57" i="5"/>
  <c r="Q57" i="5" s="1"/>
  <c r="V56" i="5"/>
  <c r="U56" i="5"/>
  <c r="W56" i="5" s="1"/>
  <c r="S56" i="5"/>
  <c r="AG56" i="5" s="1"/>
  <c r="O56" i="5"/>
  <c r="N56" i="5"/>
  <c r="M56" i="5"/>
  <c r="L56" i="5"/>
  <c r="AE56" i="5" s="1"/>
  <c r="AI56" i="5" s="1"/>
  <c r="K56" i="5"/>
  <c r="J56" i="5"/>
  <c r="P56" i="5" s="1"/>
  <c r="AG55" i="5"/>
  <c r="AK55" i="5" s="1"/>
  <c r="AF55" i="5"/>
  <c r="AJ55" i="5" s="1"/>
  <c r="Y55" i="5"/>
  <c r="AA55" i="5" s="1"/>
  <c r="X55" i="5"/>
  <c r="Z55" i="5" s="1"/>
  <c r="AB55" i="5" s="1"/>
  <c r="U55" i="5"/>
  <c r="W55" i="5" s="1"/>
  <c r="S55" i="5"/>
  <c r="O55" i="5"/>
  <c r="Q55" i="5" s="1"/>
  <c r="N55" i="5"/>
  <c r="M55" i="5"/>
  <c r="L55" i="5"/>
  <c r="AE55" i="5" s="1"/>
  <c r="AI55" i="5" s="1"/>
  <c r="K55" i="5"/>
  <c r="J55" i="5"/>
  <c r="T55" i="5" s="1"/>
  <c r="S54" i="5"/>
  <c r="AG54" i="5" s="1"/>
  <c r="O54" i="5"/>
  <c r="N54" i="5"/>
  <c r="M54" i="5"/>
  <c r="AF54" i="5" s="1"/>
  <c r="AJ54" i="5" s="1"/>
  <c r="L54" i="5"/>
  <c r="V54" i="5" s="1"/>
  <c r="K54" i="5"/>
  <c r="J54" i="5"/>
  <c r="AG53" i="5"/>
  <c r="AE53" i="5"/>
  <c r="AI53" i="5" s="1"/>
  <c r="AD53" i="5"/>
  <c r="V53" i="5"/>
  <c r="S53" i="5"/>
  <c r="O53" i="5"/>
  <c r="N53" i="5"/>
  <c r="M53" i="5"/>
  <c r="L53" i="5"/>
  <c r="K53" i="5"/>
  <c r="U53" i="5" s="1"/>
  <c r="W53" i="5" s="1"/>
  <c r="J53" i="5"/>
  <c r="AG52" i="5"/>
  <c r="Z52" i="5"/>
  <c r="Y52" i="5"/>
  <c r="AA52" i="5" s="1"/>
  <c r="V52" i="5"/>
  <c r="S52" i="5"/>
  <c r="Q52" i="5"/>
  <c r="P52" i="5"/>
  <c r="O52" i="5"/>
  <c r="N52" i="5"/>
  <c r="M52" i="5"/>
  <c r="AF52" i="5" s="1"/>
  <c r="AJ52" i="5" s="1"/>
  <c r="L52" i="5"/>
  <c r="K52" i="5"/>
  <c r="U52" i="5" s="1"/>
  <c r="W52" i="5" s="1"/>
  <c r="X52" i="5" s="1"/>
  <c r="J52" i="5"/>
  <c r="AD52" i="5" s="1"/>
  <c r="U51" i="5"/>
  <c r="W51" i="5" s="1"/>
  <c r="T51" i="5"/>
  <c r="S51" i="5"/>
  <c r="O51" i="5"/>
  <c r="N51" i="5"/>
  <c r="M51" i="5"/>
  <c r="P51" i="5" s="1"/>
  <c r="L51" i="5"/>
  <c r="K51" i="5"/>
  <c r="J51" i="5"/>
  <c r="AG50" i="5"/>
  <c r="AK50" i="5" s="1"/>
  <c r="AE50" i="5"/>
  <c r="AI50" i="5" s="1"/>
  <c r="O50" i="5"/>
  <c r="N50" i="5"/>
  <c r="M50" i="5"/>
  <c r="P50" i="5" s="1"/>
  <c r="L50" i="5"/>
  <c r="V50" i="5" s="1"/>
  <c r="K50" i="5"/>
  <c r="U50" i="5" s="1"/>
  <c r="W50" i="5" s="1"/>
  <c r="J50" i="5"/>
  <c r="T50" i="5" s="1"/>
  <c r="AG49" i="5"/>
  <c r="Z49" i="5"/>
  <c r="O49" i="5"/>
  <c r="N49" i="5"/>
  <c r="M49" i="5"/>
  <c r="AF49" i="5" s="1"/>
  <c r="AJ49" i="5" s="1"/>
  <c r="L49" i="5"/>
  <c r="V49" i="5" s="1"/>
  <c r="K49" i="5"/>
  <c r="U49" i="5" s="1"/>
  <c r="W49" i="5" s="1"/>
  <c r="X49" i="5" s="1"/>
  <c r="J49" i="5"/>
  <c r="AD49" i="5" s="1"/>
  <c r="AI48" i="5"/>
  <c r="V48" i="5"/>
  <c r="U48" i="5"/>
  <c r="W48" i="5" s="1"/>
  <c r="T48" i="5"/>
  <c r="S48" i="5"/>
  <c r="AG48" i="5" s="1"/>
  <c r="O48" i="5"/>
  <c r="N48" i="5"/>
  <c r="M48" i="5"/>
  <c r="AF48" i="5" s="1"/>
  <c r="AJ48" i="5" s="1"/>
  <c r="L48" i="5"/>
  <c r="K48" i="5"/>
  <c r="AE48" i="5" s="1"/>
  <c r="J48" i="5"/>
  <c r="AG47" i="5"/>
  <c r="AE47" i="5"/>
  <c r="AI47" i="5" s="1"/>
  <c r="AD47" i="5"/>
  <c r="V47" i="5"/>
  <c r="S47" i="5"/>
  <c r="O47" i="5"/>
  <c r="N47" i="5"/>
  <c r="M47" i="5"/>
  <c r="L47" i="5"/>
  <c r="K47" i="5"/>
  <c r="J47" i="5"/>
  <c r="Q47" i="5" s="1"/>
  <c r="AG46" i="5"/>
  <c r="Z46" i="5"/>
  <c r="Y46" i="5"/>
  <c r="AA46" i="5" s="1"/>
  <c r="V46" i="5"/>
  <c r="S46" i="5"/>
  <c r="Q46" i="5"/>
  <c r="P46" i="5"/>
  <c r="O46" i="5"/>
  <c r="N46" i="5"/>
  <c r="M46" i="5"/>
  <c r="AF46" i="5" s="1"/>
  <c r="AJ46" i="5" s="1"/>
  <c r="L46" i="5"/>
  <c r="K46" i="5"/>
  <c r="U46" i="5" s="1"/>
  <c r="W46" i="5" s="1"/>
  <c r="X46" i="5" s="1"/>
  <c r="J46" i="5"/>
  <c r="AD46" i="5" s="1"/>
  <c r="T45" i="5"/>
  <c r="S45" i="5"/>
  <c r="O45" i="5"/>
  <c r="N45" i="5"/>
  <c r="M45" i="5"/>
  <c r="P45" i="5" s="1"/>
  <c r="L45" i="5"/>
  <c r="K45" i="5"/>
  <c r="U45" i="5" s="1"/>
  <c r="W45" i="5" s="1"/>
  <c r="J45" i="5"/>
  <c r="Q45" i="5" s="1"/>
  <c r="AG44" i="5"/>
  <c r="AF44" i="5"/>
  <c r="AJ44" i="5" s="1"/>
  <c r="AE44" i="5"/>
  <c r="AI44" i="5" s="1"/>
  <c r="W44" i="5"/>
  <c r="Y44" i="5" s="1"/>
  <c r="AA44" i="5" s="1"/>
  <c r="T44" i="5"/>
  <c r="S44" i="5"/>
  <c r="O44" i="5"/>
  <c r="Q44" i="5" s="1"/>
  <c r="N44" i="5"/>
  <c r="P44" i="5" s="1"/>
  <c r="M44" i="5"/>
  <c r="L44" i="5"/>
  <c r="AD44" i="5" s="1"/>
  <c r="K44" i="5"/>
  <c r="U44" i="5" s="1"/>
  <c r="J44" i="5"/>
  <c r="AI43" i="5"/>
  <c r="S43" i="5"/>
  <c r="AG43" i="5" s="1"/>
  <c r="O43" i="5"/>
  <c r="N43" i="5"/>
  <c r="M43" i="5"/>
  <c r="L43" i="5"/>
  <c r="V43" i="5" s="1"/>
  <c r="K43" i="5"/>
  <c r="AE43" i="5" s="1"/>
  <c r="J43" i="5"/>
  <c r="Q43" i="5" s="1"/>
  <c r="V42" i="5"/>
  <c r="U42" i="5"/>
  <c r="W42" i="5" s="1"/>
  <c r="S42" i="5"/>
  <c r="AG42" i="5" s="1"/>
  <c r="AK42" i="5" s="1"/>
  <c r="O42" i="5"/>
  <c r="N42" i="5"/>
  <c r="M42" i="5"/>
  <c r="L42" i="5"/>
  <c r="AE42" i="5" s="1"/>
  <c r="AI42" i="5" s="1"/>
  <c r="K42" i="5"/>
  <c r="J42" i="5"/>
  <c r="P42" i="5" s="1"/>
  <c r="AG41" i="5"/>
  <c r="AK41" i="5" s="1"/>
  <c r="AF41" i="5"/>
  <c r="AJ41" i="5" s="1"/>
  <c r="Y41" i="5"/>
  <c r="AA41" i="5" s="1"/>
  <c r="X41" i="5"/>
  <c r="Z41" i="5" s="1"/>
  <c r="AB41" i="5" s="1"/>
  <c r="U41" i="5"/>
  <c r="W41" i="5" s="1"/>
  <c r="S41" i="5"/>
  <c r="O41" i="5"/>
  <c r="Q41" i="5" s="1"/>
  <c r="N41" i="5"/>
  <c r="M41" i="5"/>
  <c r="L41" i="5"/>
  <c r="AE41" i="5" s="1"/>
  <c r="AI41" i="5" s="1"/>
  <c r="K41" i="5"/>
  <c r="J41" i="5"/>
  <c r="T41" i="5" s="1"/>
  <c r="S40" i="5"/>
  <c r="AG40" i="5" s="1"/>
  <c r="O40" i="5"/>
  <c r="N40" i="5"/>
  <c r="M40" i="5"/>
  <c r="AF40" i="5" s="1"/>
  <c r="AJ40" i="5" s="1"/>
  <c r="L40" i="5"/>
  <c r="V40" i="5" s="1"/>
  <c r="K40" i="5"/>
  <c r="J40" i="5"/>
  <c r="AG39" i="5"/>
  <c r="AE39" i="5"/>
  <c r="AI39" i="5" s="1"/>
  <c r="AD39" i="5"/>
  <c r="V39" i="5"/>
  <c r="S39" i="5"/>
  <c r="O39" i="5"/>
  <c r="N39" i="5"/>
  <c r="M39" i="5"/>
  <c r="L39" i="5"/>
  <c r="K39" i="5"/>
  <c r="U39" i="5" s="1"/>
  <c r="W39" i="5" s="1"/>
  <c r="J39" i="5"/>
  <c r="AG38" i="5"/>
  <c r="Z38" i="5"/>
  <c r="Y38" i="5"/>
  <c r="AA38" i="5" s="1"/>
  <c r="V38" i="5"/>
  <c r="S38" i="5"/>
  <c r="Q38" i="5"/>
  <c r="P38" i="5"/>
  <c r="O38" i="5"/>
  <c r="N38" i="5"/>
  <c r="M38" i="5"/>
  <c r="AF38" i="5" s="1"/>
  <c r="AJ38" i="5" s="1"/>
  <c r="L38" i="5"/>
  <c r="K38" i="5"/>
  <c r="U38" i="5" s="1"/>
  <c r="W38" i="5" s="1"/>
  <c r="X38" i="5" s="1"/>
  <c r="J38" i="5"/>
  <c r="AD38" i="5" s="1"/>
  <c r="U37" i="5"/>
  <c r="W37" i="5" s="1"/>
  <c r="T37" i="5"/>
  <c r="S37" i="5"/>
  <c r="O37" i="5"/>
  <c r="N37" i="5"/>
  <c r="M37" i="5"/>
  <c r="P37" i="5" s="1"/>
  <c r="L37" i="5"/>
  <c r="K37" i="5"/>
  <c r="J37" i="5"/>
  <c r="Q37" i="5" s="1"/>
  <c r="AG36" i="5"/>
  <c r="AK36" i="5" s="1"/>
  <c r="AF36" i="5"/>
  <c r="AJ36" i="5" s="1"/>
  <c r="AE36" i="5"/>
  <c r="AI36" i="5" s="1"/>
  <c r="T36" i="5"/>
  <c r="S36" i="5"/>
  <c r="O36" i="5"/>
  <c r="Q36" i="5" s="1"/>
  <c r="N36" i="5"/>
  <c r="P36" i="5" s="1"/>
  <c r="M36" i="5"/>
  <c r="L36" i="5"/>
  <c r="AD36" i="5" s="1"/>
  <c r="K36" i="5"/>
  <c r="U36" i="5" s="1"/>
  <c r="W36" i="5" s="1"/>
  <c r="J36" i="5"/>
  <c r="S35" i="5"/>
  <c r="AG35" i="5" s="1"/>
  <c r="O35" i="5"/>
  <c r="N35" i="5"/>
  <c r="M35" i="5"/>
  <c r="AF35" i="5" s="1"/>
  <c r="AJ35" i="5" s="1"/>
  <c r="L35" i="5"/>
  <c r="V35" i="5" s="1"/>
  <c r="K35" i="5"/>
  <c r="AE35" i="5" s="1"/>
  <c r="AI35" i="5" s="1"/>
  <c r="J35" i="5"/>
  <c r="U34" i="5"/>
  <c r="W34" i="5" s="1"/>
  <c r="S34" i="5"/>
  <c r="O34" i="5"/>
  <c r="N34" i="5"/>
  <c r="M34" i="5"/>
  <c r="L34" i="5"/>
  <c r="AE34" i="5" s="1"/>
  <c r="AI34" i="5" s="1"/>
  <c r="K34" i="5"/>
  <c r="J34" i="5"/>
  <c r="AG33" i="5"/>
  <c r="AF33" i="5"/>
  <c r="AJ33" i="5" s="1"/>
  <c r="Z33" i="5"/>
  <c r="AB33" i="5" s="1"/>
  <c r="Y33" i="5"/>
  <c r="AA33" i="5" s="1"/>
  <c r="U33" i="5"/>
  <c r="W33" i="5" s="1"/>
  <c r="X33" i="5" s="1"/>
  <c r="S33" i="5"/>
  <c r="O33" i="5"/>
  <c r="Q33" i="5" s="1"/>
  <c r="N33" i="5"/>
  <c r="M33" i="5"/>
  <c r="L33" i="5"/>
  <c r="V33" i="5" s="1"/>
  <c r="K33" i="5"/>
  <c r="AE33" i="5" s="1"/>
  <c r="AI33" i="5" s="1"/>
  <c r="J33" i="5"/>
  <c r="T33" i="5" s="1"/>
  <c r="U32" i="5"/>
  <c r="W32" i="5" s="1"/>
  <c r="S32" i="5"/>
  <c r="O32" i="5"/>
  <c r="N32" i="5"/>
  <c r="M32" i="5"/>
  <c r="AF32" i="5" s="1"/>
  <c r="AJ32" i="5" s="1"/>
  <c r="L32" i="5"/>
  <c r="V32" i="5" s="1"/>
  <c r="K32" i="5"/>
  <c r="J32" i="5"/>
  <c r="T32" i="5" s="1"/>
  <c r="AG31" i="5"/>
  <c r="AF31" i="5"/>
  <c r="AJ31" i="5" s="1"/>
  <c r="AE31" i="5"/>
  <c r="AI31" i="5" s="1"/>
  <c r="AD31" i="5"/>
  <c r="V31" i="5"/>
  <c r="S31" i="5"/>
  <c r="O31" i="5"/>
  <c r="N31" i="5"/>
  <c r="M31" i="5"/>
  <c r="L31" i="5"/>
  <c r="K31" i="5"/>
  <c r="U31" i="5" s="1"/>
  <c r="W31" i="5" s="1"/>
  <c r="Y31" i="5" s="1"/>
  <c r="AA31" i="5" s="1"/>
  <c r="J31" i="5"/>
  <c r="Q31" i="5" s="1"/>
  <c r="V30" i="5"/>
  <c r="S30" i="5"/>
  <c r="AG30" i="5" s="1"/>
  <c r="AK30" i="5" s="1"/>
  <c r="O30" i="5"/>
  <c r="N30" i="5"/>
  <c r="M30" i="5"/>
  <c r="AF30" i="5" s="1"/>
  <c r="AJ30" i="5" s="1"/>
  <c r="L30" i="5"/>
  <c r="K30" i="5"/>
  <c r="U30" i="5" s="1"/>
  <c r="W30" i="5" s="1"/>
  <c r="J30" i="5"/>
  <c r="Q30" i="5" s="1"/>
  <c r="AD29" i="5"/>
  <c r="V29" i="5"/>
  <c r="U29" i="5"/>
  <c r="W29" i="5" s="1"/>
  <c r="T29" i="5"/>
  <c r="S29" i="5"/>
  <c r="O29" i="5"/>
  <c r="N29" i="5"/>
  <c r="M29" i="5"/>
  <c r="L29" i="5"/>
  <c r="AG29" i="5" s="1"/>
  <c r="K29" i="5"/>
  <c r="AE29" i="5" s="1"/>
  <c r="AI29" i="5" s="1"/>
  <c r="J29" i="5"/>
  <c r="Q29" i="5" s="1"/>
  <c r="AG28" i="5"/>
  <c r="AF28" i="5"/>
  <c r="AJ28" i="5" s="1"/>
  <c r="AE28" i="5"/>
  <c r="AI28" i="5" s="1"/>
  <c r="T28" i="5"/>
  <c r="S28" i="5"/>
  <c r="P28" i="5"/>
  <c r="O28" i="5"/>
  <c r="Q28" i="5" s="1"/>
  <c r="N28" i="5"/>
  <c r="M28" i="5"/>
  <c r="L28" i="5"/>
  <c r="V28" i="5" s="1"/>
  <c r="K28" i="5"/>
  <c r="U28" i="5" s="1"/>
  <c r="W28" i="5" s="1"/>
  <c r="J28" i="5"/>
  <c r="AD28" i="5" s="1"/>
  <c r="AJ27" i="5"/>
  <c r="S27" i="5"/>
  <c r="AG27" i="5" s="1"/>
  <c r="AK27" i="5" s="1"/>
  <c r="Q27" i="5"/>
  <c r="O27" i="5"/>
  <c r="N27" i="5"/>
  <c r="M27" i="5"/>
  <c r="AF27" i="5" s="1"/>
  <c r="L27" i="5"/>
  <c r="V27" i="5" s="1"/>
  <c r="K27" i="5"/>
  <c r="J27" i="5"/>
  <c r="AE26" i="5"/>
  <c r="AI26" i="5" s="1"/>
  <c r="AD26" i="5"/>
  <c r="W26" i="5"/>
  <c r="U26" i="5"/>
  <c r="S26" i="5"/>
  <c r="O26" i="5"/>
  <c r="N26" i="5"/>
  <c r="M26" i="5"/>
  <c r="L26" i="5"/>
  <c r="V26" i="5" s="1"/>
  <c r="K26" i="5"/>
  <c r="J26" i="5"/>
  <c r="T26" i="5" s="1"/>
  <c r="AG25" i="5"/>
  <c r="AF25" i="5"/>
  <c r="AJ25" i="5" s="1"/>
  <c r="Y25" i="5"/>
  <c r="AA25" i="5" s="1"/>
  <c r="U25" i="5"/>
  <c r="W25" i="5" s="1"/>
  <c r="X25" i="5" s="1"/>
  <c r="Z25" i="5" s="1"/>
  <c r="AB25" i="5" s="1"/>
  <c r="S25" i="5"/>
  <c r="O25" i="5"/>
  <c r="Q25" i="5" s="1"/>
  <c r="N25" i="5"/>
  <c r="M25" i="5"/>
  <c r="L25" i="5"/>
  <c r="V25" i="5" s="1"/>
  <c r="K25" i="5"/>
  <c r="AE25" i="5" s="1"/>
  <c r="AI25" i="5" s="1"/>
  <c r="J25" i="5"/>
  <c r="T25" i="5" s="1"/>
  <c r="U24" i="5"/>
  <c r="W24" i="5" s="1"/>
  <c r="S24" i="5"/>
  <c r="O24" i="5"/>
  <c r="N24" i="5"/>
  <c r="M24" i="5"/>
  <c r="L24" i="5"/>
  <c r="K24" i="5"/>
  <c r="J24" i="5"/>
  <c r="T24" i="5" s="1"/>
  <c r="AE23" i="5"/>
  <c r="AI23" i="5" s="1"/>
  <c r="AD23" i="5"/>
  <c r="W23" i="5"/>
  <c r="V23" i="5"/>
  <c r="S23" i="5"/>
  <c r="AG23" i="5" s="1"/>
  <c r="O23" i="5"/>
  <c r="N23" i="5"/>
  <c r="M23" i="5"/>
  <c r="AF23" i="5" s="1"/>
  <c r="AJ23" i="5" s="1"/>
  <c r="L23" i="5"/>
  <c r="K23" i="5"/>
  <c r="U23" i="5" s="1"/>
  <c r="J23" i="5"/>
  <c r="Q23" i="5" s="1"/>
  <c r="V22" i="5"/>
  <c r="S22" i="5"/>
  <c r="AG22" i="5" s="1"/>
  <c r="AK22" i="5" s="1"/>
  <c r="O22" i="5"/>
  <c r="N22" i="5"/>
  <c r="M22" i="5"/>
  <c r="AF22" i="5" s="1"/>
  <c r="AJ22" i="5" s="1"/>
  <c r="L22" i="5"/>
  <c r="K22" i="5"/>
  <c r="U22" i="5" s="1"/>
  <c r="W22" i="5" s="1"/>
  <c r="X22" i="5" s="1"/>
  <c r="Z22" i="5" s="1"/>
  <c r="J22" i="5"/>
  <c r="AD21" i="5"/>
  <c r="U21" i="5"/>
  <c r="W21" i="5" s="1"/>
  <c r="T21" i="5"/>
  <c r="S21" i="5"/>
  <c r="O21" i="5"/>
  <c r="N21" i="5"/>
  <c r="M21" i="5"/>
  <c r="L21" i="5"/>
  <c r="AG21" i="5" s="1"/>
  <c r="K21" i="5"/>
  <c r="J21" i="5"/>
  <c r="Q21" i="5" s="1"/>
  <c r="AG20" i="5"/>
  <c r="AK20" i="5" s="1"/>
  <c r="AF20" i="5"/>
  <c r="AJ20" i="5" s="1"/>
  <c r="AE20" i="5"/>
  <c r="AI20" i="5" s="1"/>
  <c r="T20" i="5"/>
  <c r="S20" i="5"/>
  <c r="P20" i="5"/>
  <c r="O20" i="5"/>
  <c r="Q20" i="5" s="1"/>
  <c r="N20" i="5"/>
  <c r="M20" i="5"/>
  <c r="L20" i="5"/>
  <c r="V20" i="5" s="1"/>
  <c r="K20" i="5"/>
  <c r="U20" i="5" s="1"/>
  <c r="W20" i="5" s="1"/>
  <c r="J20" i="5"/>
  <c r="AD20" i="5" s="1"/>
  <c r="AJ19" i="5"/>
  <c r="S19" i="5"/>
  <c r="AG19" i="5" s="1"/>
  <c r="Q19" i="5"/>
  <c r="O19" i="5"/>
  <c r="N19" i="5"/>
  <c r="M19" i="5"/>
  <c r="AF19" i="5" s="1"/>
  <c r="L19" i="5"/>
  <c r="V19" i="5" s="1"/>
  <c r="K19" i="5"/>
  <c r="J19" i="5"/>
  <c r="AE18" i="5"/>
  <c r="AI18" i="5" s="1"/>
  <c r="AD18" i="5"/>
  <c r="W18" i="5"/>
  <c r="V18" i="5"/>
  <c r="U18" i="5"/>
  <c r="S18" i="5"/>
  <c r="Q18" i="5"/>
  <c r="O18" i="5"/>
  <c r="N18" i="5"/>
  <c r="M18" i="5"/>
  <c r="L18" i="5"/>
  <c r="AG18" i="5" s="1"/>
  <c r="AK18" i="5" s="1"/>
  <c r="K18" i="5"/>
  <c r="J18" i="5"/>
  <c r="T18" i="5" s="1"/>
  <c r="AK17" i="5"/>
  <c r="AG17" i="5"/>
  <c r="AF17" i="5"/>
  <c r="AJ17" i="5" s="1"/>
  <c r="U17" i="5"/>
  <c r="W17" i="5" s="1"/>
  <c r="Y17" i="5" s="1"/>
  <c r="AA17" i="5" s="1"/>
  <c r="S17" i="5"/>
  <c r="Q17" i="5"/>
  <c r="O17" i="5"/>
  <c r="P17" i="5" s="1"/>
  <c r="N17" i="5"/>
  <c r="M17" i="5"/>
  <c r="L17" i="5"/>
  <c r="V17" i="5" s="1"/>
  <c r="K17" i="5"/>
  <c r="AE17" i="5" s="1"/>
  <c r="AI17" i="5" s="1"/>
  <c r="J17" i="5"/>
  <c r="T17" i="5" s="1"/>
  <c r="S16" i="5"/>
  <c r="O16" i="5"/>
  <c r="N16" i="5"/>
  <c r="M16" i="5"/>
  <c r="L16" i="5"/>
  <c r="V16" i="5" s="1"/>
  <c r="K16" i="5"/>
  <c r="J16" i="5"/>
  <c r="T16" i="5" s="1"/>
  <c r="AG15" i="5"/>
  <c r="AK15" i="5" s="1"/>
  <c r="AE15" i="5"/>
  <c r="AI15" i="5" s="1"/>
  <c r="V15" i="5"/>
  <c r="S15" i="5"/>
  <c r="O15" i="5"/>
  <c r="N15" i="5"/>
  <c r="M15" i="5"/>
  <c r="AF15" i="5" s="1"/>
  <c r="AJ15" i="5" s="1"/>
  <c r="L15" i="5"/>
  <c r="K15" i="5"/>
  <c r="U15" i="5" s="1"/>
  <c r="W15" i="5" s="1"/>
  <c r="X15" i="5" s="1"/>
  <c r="Z15" i="5" s="1"/>
  <c r="J15" i="5"/>
  <c r="P15" i="5" s="1"/>
  <c r="AD14" i="5"/>
  <c r="V14" i="5"/>
  <c r="S14" i="5"/>
  <c r="AG14" i="5" s="1"/>
  <c r="AK14" i="5" s="1"/>
  <c r="Q14" i="5"/>
  <c r="O14" i="5"/>
  <c r="N14" i="5"/>
  <c r="M14" i="5"/>
  <c r="AF14" i="5" s="1"/>
  <c r="AJ14" i="5" s="1"/>
  <c r="L14" i="5"/>
  <c r="K14" i="5"/>
  <c r="J14" i="5"/>
  <c r="P14" i="5" s="1"/>
  <c r="W13" i="5"/>
  <c r="T13" i="5"/>
  <c r="S13" i="5"/>
  <c r="O13" i="5"/>
  <c r="N13" i="5"/>
  <c r="M13" i="5"/>
  <c r="L13" i="5"/>
  <c r="V13" i="5" s="1"/>
  <c r="K13" i="5"/>
  <c r="U13" i="5" s="1"/>
  <c r="J13" i="5"/>
  <c r="AG12" i="5"/>
  <c r="AF12" i="5"/>
  <c r="AJ12" i="5" s="1"/>
  <c r="AE12" i="5"/>
  <c r="AI12" i="5" s="1"/>
  <c r="Y12" i="5"/>
  <c r="AA12" i="5" s="1"/>
  <c r="W12" i="5"/>
  <c r="X12" i="5" s="1"/>
  <c r="Z12" i="5" s="1"/>
  <c r="AB12" i="5" s="1"/>
  <c r="T12" i="5"/>
  <c r="S12" i="5"/>
  <c r="Q12" i="5"/>
  <c r="P12" i="5"/>
  <c r="O12" i="5"/>
  <c r="N12" i="5"/>
  <c r="M12" i="5"/>
  <c r="L12" i="5"/>
  <c r="V12" i="5" s="1"/>
  <c r="K12" i="5"/>
  <c r="U12" i="5" s="1"/>
  <c r="J12" i="5"/>
  <c r="AD12" i="5" s="1"/>
  <c r="S11" i="5"/>
  <c r="O11" i="5"/>
  <c r="N11" i="5"/>
  <c r="M11" i="5"/>
  <c r="AF11" i="5" s="1"/>
  <c r="AJ11" i="5" s="1"/>
  <c r="L11" i="5"/>
  <c r="V11" i="5" s="1"/>
  <c r="K11" i="5"/>
  <c r="U11" i="5" s="1"/>
  <c r="W11" i="5" s="1"/>
  <c r="J11" i="5"/>
  <c r="Q11" i="5" s="1"/>
  <c r="AE10" i="5"/>
  <c r="AI10" i="5" s="1"/>
  <c r="AD10" i="5"/>
  <c r="X10" i="5"/>
  <c r="Z10" i="5" s="1"/>
  <c r="AB10" i="5" s="1"/>
  <c r="W10" i="5"/>
  <c r="Y10" i="5" s="1"/>
  <c r="AA10" i="5" s="1"/>
  <c r="V10" i="5"/>
  <c r="U10" i="5"/>
  <c r="S10" i="5"/>
  <c r="Q10" i="5"/>
  <c r="O10" i="5"/>
  <c r="N10" i="5"/>
  <c r="M10" i="5"/>
  <c r="AF10" i="5" s="1"/>
  <c r="AJ10" i="5" s="1"/>
  <c r="L10" i="5"/>
  <c r="AG10" i="5" s="1"/>
  <c r="AK10" i="5" s="1"/>
  <c r="K10" i="5"/>
  <c r="J10" i="5"/>
  <c r="T10" i="5" s="1"/>
  <c r="Y9" i="5"/>
  <c r="AA9" i="5" s="1"/>
  <c r="X9" i="5"/>
  <c r="Z9" i="5" s="1"/>
  <c r="U9" i="5"/>
  <c r="W9" i="5" s="1"/>
  <c r="S9" i="5"/>
  <c r="Q9" i="5"/>
  <c r="O9" i="5"/>
  <c r="N9" i="5"/>
  <c r="M9" i="5"/>
  <c r="L9" i="5"/>
  <c r="K9" i="5"/>
  <c r="J9" i="5"/>
  <c r="P9" i="5" s="1"/>
  <c r="AD8" i="5"/>
  <c r="X8" i="5"/>
  <c r="Z8" i="5" s="1"/>
  <c r="U8" i="5"/>
  <c r="W8" i="5" s="1"/>
  <c r="Y8" i="5" s="1"/>
  <c r="AA8" i="5" s="1"/>
  <c r="AB8" i="5" s="1"/>
  <c r="S8" i="5"/>
  <c r="AG8" i="5" s="1"/>
  <c r="AK8" i="5" s="1"/>
  <c r="O8" i="5"/>
  <c r="N8" i="5"/>
  <c r="M8" i="5"/>
  <c r="AF8" i="5" s="1"/>
  <c r="AJ8" i="5" s="1"/>
  <c r="L8" i="5"/>
  <c r="V8" i="5" s="1"/>
  <c r="K8" i="5"/>
  <c r="J8" i="5"/>
  <c r="T8" i="5" s="1"/>
  <c r="AF7" i="5"/>
  <c r="AJ7" i="5" s="1"/>
  <c r="AE7" i="5"/>
  <c r="AI7" i="5" s="1"/>
  <c r="V7" i="5"/>
  <c r="S7" i="5"/>
  <c r="AG7" i="5" s="1"/>
  <c r="AK7" i="5" s="1"/>
  <c r="O7" i="5"/>
  <c r="N7" i="5"/>
  <c r="M7" i="5"/>
  <c r="L7" i="5"/>
  <c r="K7" i="5"/>
  <c r="U7" i="5" s="1"/>
  <c r="W7" i="5" s="1"/>
  <c r="J7" i="5"/>
  <c r="V6" i="5"/>
  <c r="S6" i="5"/>
  <c r="AG6" i="5" s="1"/>
  <c r="AK6" i="5" s="1"/>
  <c r="O6" i="5"/>
  <c r="N6" i="5"/>
  <c r="M6" i="5"/>
  <c r="AF6" i="5" s="1"/>
  <c r="AJ6" i="5" s="1"/>
  <c r="L6" i="5"/>
  <c r="K6" i="5"/>
  <c r="J6" i="5"/>
  <c r="T6" i="5" s="1"/>
  <c r="AE5" i="5"/>
  <c r="AI5" i="5" s="1"/>
  <c r="AD5" i="5"/>
  <c r="T5" i="5"/>
  <c r="S5" i="5"/>
  <c r="P5" i="5"/>
  <c r="O5" i="5"/>
  <c r="N5" i="5"/>
  <c r="M5" i="5"/>
  <c r="L5" i="5"/>
  <c r="V5" i="5" s="1"/>
  <c r="K5" i="5"/>
  <c r="U5" i="5" s="1"/>
  <c r="W5" i="5" s="1"/>
  <c r="J5" i="5"/>
  <c r="Q5" i="5" s="1"/>
  <c r="AJ4" i="5"/>
  <c r="AG4" i="5"/>
  <c r="AF4" i="5"/>
  <c r="Y4" i="5"/>
  <c r="AA4" i="5" s="1"/>
  <c r="X4" i="5"/>
  <c r="Z4" i="5" s="1"/>
  <c r="AB4" i="5" s="1"/>
  <c r="W4" i="5"/>
  <c r="T4" i="5"/>
  <c r="S4" i="5"/>
  <c r="Q4" i="5"/>
  <c r="O4" i="5"/>
  <c r="N4" i="5"/>
  <c r="P4" i="5" s="1"/>
  <c r="M4" i="5"/>
  <c r="L4" i="5"/>
  <c r="V4" i="5" s="1"/>
  <c r="K4" i="5"/>
  <c r="U4" i="5" s="1"/>
  <c r="J4" i="5"/>
  <c r="AD4" i="5" s="1"/>
  <c r="AE3" i="5"/>
  <c r="AI3" i="5" s="1"/>
  <c r="S3" i="5"/>
  <c r="AG3" i="5" s="1"/>
  <c r="AK3" i="5" s="1"/>
  <c r="O3" i="5"/>
  <c r="N3" i="5"/>
  <c r="M3" i="5"/>
  <c r="L3" i="5"/>
  <c r="V3" i="5" s="1"/>
  <c r="K3" i="5"/>
  <c r="U3" i="5" s="1"/>
  <c r="W3" i="5" s="1"/>
  <c r="J3" i="5"/>
  <c r="V9" i="67"/>
  <c r="U9" i="67"/>
  <c r="O9" i="67"/>
  <c r="N9" i="67"/>
  <c r="M9" i="67"/>
  <c r="AI9" i="67" s="1"/>
  <c r="L9" i="67"/>
  <c r="K9" i="67"/>
  <c r="X8" i="67" s="1"/>
  <c r="Z8" i="67" s="1"/>
  <c r="AB8" i="67" s="1"/>
  <c r="J9" i="67"/>
  <c r="AG9" i="67" s="1"/>
  <c r="AJ8" i="67"/>
  <c r="AI8" i="67"/>
  <c r="AM8" i="67" s="1"/>
  <c r="AH8" i="67"/>
  <c r="AL8" i="67" s="1"/>
  <c r="AG8" i="67"/>
  <c r="AK8" i="67" s="1"/>
  <c r="V8" i="67"/>
  <c r="U8" i="67"/>
  <c r="Q8" i="67"/>
  <c r="P8" i="67"/>
  <c r="O8" i="67"/>
  <c r="N8" i="67"/>
  <c r="M8" i="67"/>
  <c r="L8" i="67"/>
  <c r="K8" i="67"/>
  <c r="J8" i="67"/>
  <c r="X7" i="67"/>
  <c r="Z7" i="67" s="1"/>
  <c r="W7" i="67"/>
  <c r="V7" i="67"/>
  <c r="U7" i="67"/>
  <c r="O7" i="67"/>
  <c r="N7" i="67"/>
  <c r="M7" i="67"/>
  <c r="Q7" i="67" s="1"/>
  <c r="L7" i="67"/>
  <c r="K7" i="67"/>
  <c r="AH7" i="67" s="1"/>
  <c r="AL7" i="67" s="1"/>
  <c r="J7" i="67"/>
  <c r="P7" i="67" s="1"/>
  <c r="AJ6" i="67"/>
  <c r="AI6" i="67"/>
  <c r="AM6" i="67" s="1"/>
  <c r="AH6" i="67"/>
  <c r="AL6" i="67" s="1"/>
  <c r="AG6" i="67"/>
  <c r="AK6" i="67" s="1"/>
  <c r="AB6" i="67"/>
  <c r="AA6" i="67"/>
  <c r="Z6" i="67"/>
  <c r="X6" i="67"/>
  <c r="V6" i="67"/>
  <c r="U6" i="67"/>
  <c r="Q6" i="67"/>
  <c r="P6" i="67"/>
  <c r="O6" i="67"/>
  <c r="N6" i="67"/>
  <c r="M6" i="67"/>
  <c r="L6" i="67"/>
  <c r="K6" i="67"/>
  <c r="J6" i="67"/>
  <c r="X5" i="67"/>
  <c r="Z5" i="67" s="1"/>
  <c r="W5" i="67"/>
  <c r="V5" i="67"/>
  <c r="U5" i="67"/>
  <c r="O5" i="67"/>
  <c r="N5" i="67"/>
  <c r="M5" i="67"/>
  <c r="L5" i="67"/>
  <c r="K5" i="67"/>
  <c r="AH5" i="67" s="1"/>
  <c r="AL5" i="67" s="1"/>
  <c r="J5" i="67"/>
  <c r="P5" i="67" s="1"/>
  <c r="AJ4" i="67"/>
  <c r="AI4" i="67"/>
  <c r="AM4" i="67" s="1"/>
  <c r="AH4" i="67"/>
  <c r="AL4" i="67" s="1"/>
  <c r="AG4" i="67"/>
  <c r="AB4" i="67"/>
  <c r="AA4" i="67"/>
  <c r="Z4" i="67"/>
  <c r="X4" i="67"/>
  <c r="V4" i="67"/>
  <c r="U4" i="67"/>
  <c r="Q4" i="67"/>
  <c r="P4" i="67"/>
  <c r="O4" i="67"/>
  <c r="N4" i="67"/>
  <c r="M4" i="67"/>
  <c r="L4" i="67"/>
  <c r="K4" i="67"/>
  <c r="J4" i="67"/>
  <c r="X3" i="67"/>
  <c r="Z3" i="67" s="1"/>
  <c r="W3" i="67"/>
  <c r="V3" i="67"/>
  <c r="U3" i="67"/>
  <c r="O3" i="67"/>
  <c r="N3" i="67"/>
  <c r="M3" i="67"/>
  <c r="L3" i="67"/>
  <c r="K3" i="67"/>
  <c r="AH3" i="67" s="1"/>
  <c r="AL3" i="67" s="1"/>
  <c r="J3" i="67"/>
  <c r="P3" i="67" s="1"/>
  <c r="AB10" i="10"/>
  <c r="O10" i="10"/>
  <c r="N10" i="10"/>
  <c r="M10" i="10"/>
  <c r="L10" i="10"/>
  <c r="AD10" i="10" s="1"/>
  <c r="K10" i="10"/>
  <c r="AC10" i="10" s="1"/>
  <c r="J10" i="10"/>
  <c r="AF9" i="10"/>
  <c r="AE9" i="10"/>
  <c r="AB9" i="10"/>
  <c r="T9" i="10"/>
  <c r="R9" i="10"/>
  <c r="N9" i="10"/>
  <c r="P9" i="10" s="1"/>
  <c r="M9" i="10"/>
  <c r="AD9" i="10" s="1"/>
  <c r="L9" i="10"/>
  <c r="K9" i="10"/>
  <c r="AC9" i="10" s="1"/>
  <c r="J9" i="10"/>
  <c r="Q9" i="10" s="1"/>
  <c r="AE8" i="10"/>
  <c r="AD8" i="10"/>
  <c r="O8" i="10"/>
  <c r="N8" i="10"/>
  <c r="M8" i="10"/>
  <c r="L8" i="10"/>
  <c r="AB8" i="10" s="1"/>
  <c r="K8" i="10"/>
  <c r="AC8" i="10" s="1"/>
  <c r="AF8" i="10" s="1"/>
  <c r="J8" i="10"/>
  <c r="R8" i="10" s="1"/>
  <c r="AE7" i="10"/>
  <c r="AD7" i="10"/>
  <c r="AG7" i="10" s="1"/>
  <c r="O7" i="10"/>
  <c r="N7" i="10"/>
  <c r="M7" i="10"/>
  <c r="Q7" i="10" s="1"/>
  <c r="L7" i="10"/>
  <c r="AB7" i="10" s="1"/>
  <c r="K7" i="10"/>
  <c r="AC7" i="10" s="1"/>
  <c r="AF7" i="10" s="1"/>
  <c r="J7" i="10"/>
  <c r="R7" i="10" s="1"/>
  <c r="AD6" i="10"/>
  <c r="AG6" i="10" s="1"/>
  <c r="O6" i="10"/>
  <c r="N6" i="10"/>
  <c r="M6" i="10"/>
  <c r="Q6" i="10" s="1"/>
  <c r="L6" i="10"/>
  <c r="AB6" i="10" s="1"/>
  <c r="AE6" i="10" s="1"/>
  <c r="K6" i="10"/>
  <c r="AC6" i="10" s="1"/>
  <c r="AF6" i="10" s="1"/>
  <c r="J6" i="10"/>
  <c r="R6" i="10" s="1"/>
  <c r="AD5" i="10"/>
  <c r="O5" i="10"/>
  <c r="N5" i="10"/>
  <c r="M5" i="10"/>
  <c r="L5" i="10"/>
  <c r="AB5" i="10" s="1"/>
  <c r="AE5" i="10" s="1"/>
  <c r="K5" i="10"/>
  <c r="AC5" i="10" s="1"/>
  <c r="AF5" i="10" s="1"/>
  <c r="J5" i="10"/>
  <c r="R5" i="10" s="1"/>
  <c r="AE4" i="10"/>
  <c r="AD4" i="10"/>
  <c r="O4" i="10"/>
  <c r="N4" i="10"/>
  <c r="M4" i="10"/>
  <c r="L4" i="10"/>
  <c r="AB4" i="10" s="1"/>
  <c r="K4" i="10"/>
  <c r="AC4" i="10" s="1"/>
  <c r="AF4" i="10" s="1"/>
  <c r="J4" i="10"/>
  <c r="R4" i="10" s="1"/>
  <c r="AE3" i="10"/>
  <c r="AD3" i="10"/>
  <c r="AG3" i="10" s="1"/>
  <c r="W3" i="10"/>
  <c r="V3" i="10"/>
  <c r="S3" i="10"/>
  <c r="U3" i="10" s="1"/>
  <c r="N3" i="10"/>
  <c r="M3" i="10"/>
  <c r="L3" i="10"/>
  <c r="AC3" i="10" s="1"/>
  <c r="AF3" i="10" s="1"/>
  <c r="K3" i="10"/>
  <c r="J3" i="10"/>
  <c r="AB3" i="10" s="1"/>
  <c r="V11" i="9"/>
  <c r="U11" i="9"/>
  <c r="O11" i="9"/>
  <c r="N11" i="9"/>
  <c r="M11" i="9"/>
  <c r="L11" i="9"/>
  <c r="K11" i="9"/>
  <c r="J11" i="9"/>
  <c r="V10" i="9"/>
  <c r="AK10" i="9" s="1"/>
  <c r="U10" i="9"/>
  <c r="AJ10" i="9" s="1"/>
  <c r="O10" i="9"/>
  <c r="N10" i="9"/>
  <c r="M10" i="9"/>
  <c r="L10" i="9"/>
  <c r="AI10" i="9" s="1"/>
  <c r="K10" i="9"/>
  <c r="AH10" i="9" s="1"/>
  <c r="J10" i="9"/>
  <c r="AI9" i="9"/>
  <c r="AH9" i="9"/>
  <c r="V9" i="9"/>
  <c r="U9" i="9"/>
  <c r="AJ9" i="9" s="1"/>
  <c r="P9" i="9"/>
  <c r="O9" i="9"/>
  <c r="N9" i="9"/>
  <c r="M9" i="9"/>
  <c r="L9" i="9"/>
  <c r="AG9" i="9" s="1"/>
  <c r="K9" i="9"/>
  <c r="J9" i="9"/>
  <c r="Q9" i="9" s="1"/>
  <c r="AQ9" i="9" s="1"/>
  <c r="AK8" i="9"/>
  <c r="AG8" i="9"/>
  <c r="X8" i="9"/>
  <c r="Z8" i="9" s="1"/>
  <c r="V8" i="9"/>
  <c r="U8" i="9"/>
  <c r="AJ8" i="9" s="1"/>
  <c r="O8" i="9"/>
  <c r="N8" i="9"/>
  <c r="M8" i="9"/>
  <c r="AI8" i="9" s="1"/>
  <c r="L8" i="9"/>
  <c r="K8" i="9"/>
  <c r="AH8" i="9" s="1"/>
  <c r="J8" i="9"/>
  <c r="W8" i="9" s="1"/>
  <c r="W7" i="9"/>
  <c r="V7" i="9"/>
  <c r="AK7" i="9" s="1"/>
  <c r="U7" i="9"/>
  <c r="AJ7" i="9" s="1"/>
  <c r="P7" i="9"/>
  <c r="O7" i="9"/>
  <c r="N7" i="9"/>
  <c r="M7" i="9"/>
  <c r="L7" i="9"/>
  <c r="K7" i="9"/>
  <c r="J7" i="9"/>
  <c r="Q7" i="9" s="1"/>
  <c r="AQ7" i="9" s="1"/>
  <c r="AK6" i="9"/>
  <c r="AJ6" i="9"/>
  <c r="AI6" i="9"/>
  <c r="AC6" i="9"/>
  <c r="V6" i="9"/>
  <c r="U6" i="9"/>
  <c r="Q6" i="9"/>
  <c r="AQ6" i="9" s="1"/>
  <c r="O6" i="9"/>
  <c r="N6" i="9"/>
  <c r="M6" i="9"/>
  <c r="L6" i="9"/>
  <c r="AH6" i="9" s="1"/>
  <c r="K6" i="9"/>
  <c r="X6" i="9" s="1"/>
  <c r="Z6" i="9" s="1"/>
  <c r="AA6" i="9" s="1"/>
  <c r="J6" i="9"/>
  <c r="AI5" i="9"/>
  <c r="AH5" i="9"/>
  <c r="V5" i="9"/>
  <c r="U5" i="9"/>
  <c r="AJ5" i="9" s="1"/>
  <c r="O5" i="9"/>
  <c r="P5" i="9" s="1"/>
  <c r="N5" i="9"/>
  <c r="M5" i="9"/>
  <c r="L5" i="9"/>
  <c r="AG5" i="9" s="1"/>
  <c r="K5" i="9"/>
  <c r="J5" i="9"/>
  <c r="Q5" i="9" s="1"/>
  <c r="AQ5" i="9" s="1"/>
  <c r="AK4" i="9"/>
  <c r="AG4" i="9"/>
  <c r="X4" i="9"/>
  <c r="Z4" i="9" s="1"/>
  <c r="V4" i="9"/>
  <c r="U4" i="9"/>
  <c r="AJ4" i="9" s="1"/>
  <c r="O4" i="9"/>
  <c r="N4" i="9"/>
  <c r="M4" i="9"/>
  <c r="AI4" i="9" s="1"/>
  <c r="L4" i="9"/>
  <c r="K4" i="9"/>
  <c r="AH4" i="9" s="1"/>
  <c r="J4" i="9"/>
  <c r="W4" i="9" s="1"/>
  <c r="W3" i="9"/>
  <c r="V3" i="9"/>
  <c r="AK3" i="9" s="1"/>
  <c r="U3" i="9"/>
  <c r="AJ3" i="9" s="1"/>
  <c r="P3" i="9"/>
  <c r="O3" i="9"/>
  <c r="N3" i="9"/>
  <c r="M3" i="9"/>
  <c r="L3" i="9"/>
  <c r="K3" i="9"/>
  <c r="J3" i="9"/>
  <c r="Q3" i="9" s="1"/>
  <c r="AQ3" i="9" s="1"/>
  <c r="AP56" i="8"/>
  <c r="AO56" i="8"/>
  <c r="AN56" i="8"/>
  <c r="AB56" i="8"/>
  <c r="AS56" i="8" s="1"/>
  <c r="AA56" i="8"/>
  <c r="AQ56" i="8" s="1"/>
  <c r="Z56" i="8"/>
  <c r="Y56" i="8"/>
  <c r="X56" i="8"/>
  <c r="W56" i="8"/>
  <c r="V56" i="8"/>
  <c r="O56" i="8"/>
  <c r="N56" i="8"/>
  <c r="M56" i="8"/>
  <c r="L56" i="8"/>
  <c r="K56" i="8"/>
  <c r="J56" i="8"/>
  <c r="AZ55" i="8"/>
  <c r="AR55" i="8"/>
  <c r="AM55" i="8"/>
  <c r="AE55" i="8"/>
  <c r="AC55" i="8"/>
  <c r="AB55" i="8"/>
  <c r="AS55" i="8" s="1"/>
  <c r="AA55" i="8"/>
  <c r="AQ55" i="8" s="1"/>
  <c r="AX55" i="8" s="1"/>
  <c r="Z55" i="8"/>
  <c r="AP55" i="8" s="1"/>
  <c r="Y55" i="8"/>
  <c r="X55" i="8"/>
  <c r="W55" i="8"/>
  <c r="V55" i="8"/>
  <c r="Q55" i="8"/>
  <c r="P55" i="8"/>
  <c r="O55" i="8"/>
  <c r="N55" i="8"/>
  <c r="M55" i="8"/>
  <c r="AO55" i="8" s="1"/>
  <c r="AV55" i="8" s="1"/>
  <c r="L55" i="8"/>
  <c r="K55" i="8"/>
  <c r="AN55" i="8" s="1"/>
  <c r="AU55" i="8" s="1"/>
  <c r="J55" i="8"/>
  <c r="AF54" i="8"/>
  <c r="AH54" i="8" s="1"/>
  <c r="AJ54" i="8" s="1"/>
  <c r="AD54" i="8"/>
  <c r="AB54" i="8"/>
  <c r="AA54" i="8"/>
  <c r="AQ54" i="8" s="1"/>
  <c r="AX54" i="8" s="1"/>
  <c r="Z54" i="8"/>
  <c r="AP54" i="8" s="1"/>
  <c r="Y54" i="8"/>
  <c r="X54" i="8"/>
  <c r="W54" i="8"/>
  <c r="V54" i="8"/>
  <c r="O54" i="8"/>
  <c r="P54" i="8" s="1"/>
  <c r="N54" i="8"/>
  <c r="M54" i="8"/>
  <c r="AO54" i="8" s="1"/>
  <c r="AV54" i="8" s="1"/>
  <c r="L54" i="8"/>
  <c r="AN54" i="8" s="1"/>
  <c r="AU54" i="8" s="1"/>
  <c r="K54" i="8"/>
  <c r="J54" i="8"/>
  <c r="AM54" i="8" s="1"/>
  <c r="AQ53" i="8"/>
  <c r="AX53" i="8" s="1"/>
  <c r="AM53" i="8"/>
  <c r="AE53" i="8"/>
  <c r="AB53" i="8"/>
  <c r="AR53" i="8" s="1"/>
  <c r="AA53" i="8"/>
  <c r="AS53" i="8" s="1"/>
  <c r="AZ53" i="8" s="1"/>
  <c r="Z53" i="8"/>
  <c r="AP53" i="8" s="1"/>
  <c r="AW53" i="8" s="1"/>
  <c r="Y53" i="8"/>
  <c r="X53" i="8"/>
  <c r="W53" i="8"/>
  <c r="V53" i="8"/>
  <c r="O53" i="8"/>
  <c r="N53" i="8"/>
  <c r="M53" i="8"/>
  <c r="AO53" i="8" s="1"/>
  <c r="AV53" i="8" s="1"/>
  <c r="L53" i="8"/>
  <c r="K53" i="8"/>
  <c r="AN53" i="8" s="1"/>
  <c r="AU53" i="8" s="1"/>
  <c r="J53" i="8"/>
  <c r="AX52" i="8"/>
  <c r="AG52" i="8"/>
  <c r="AD52" i="8"/>
  <c r="AF52" i="8" s="1"/>
  <c r="AH52" i="8" s="1"/>
  <c r="AJ52" i="8" s="1"/>
  <c r="AB52" i="8"/>
  <c r="AS52" i="8" s="1"/>
  <c r="AZ52" i="8" s="1"/>
  <c r="AA52" i="8"/>
  <c r="AQ52" i="8" s="1"/>
  <c r="Z52" i="8"/>
  <c r="AP52" i="8" s="1"/>
  <c r="Y52" i="8"/>
  <c r="X52" i="8"/>
  <c r="W52" i="8"/>
  <c r="V52" i="8"/>
  <c r="O52" i="8"/>
  <c r="N52" i="8"/>
  <c r="M52" i="8"/>
  <c r="AO52" i="8" s="1"/>
  <c r="AV52" i="8" s="1"/>
  <c r="L52" i="8"/>
  <c r="AN52" i="8" s="1"/>
  <c r="AU52" i="8" s="1"/>
  <c r="K52" i="8"/>
  <c r="J52" i="8"/>
  <c r="AM52" i="8" s="1"/>
  <c r="AS51" i="8"/>
  <c r="AZ51" i="8" s="1"/>
  <c r="AB51" i="8"/>
  <c r="AA51" i="8"/>
  <c r="Z51" i="8"/>
  <c r="Y51" i="8"/>
  <c r="X51" i="8"/>
  <c r="W51" i="8"/>
  <c r="V51" i="8"/>
  <c r="O51" i="8"/>
  <c r="N51" i="8"/>
  <c r="M51" i="8"/>
  <c r="Q51" i="8" s="1"/>
  <c r="L51" i="8"/>
  <c r="K51" i="8"/>
  <c r="AD51" i="8" s="1"/>
  <c r="AF51" i="8" s="1"/>
  <c r="J51" i="8"/>
  <c r="AV50" i="8"/>
  <c r="AM50" i="8"/>
  <c r="AF50" i="8"/>
  <c r="AE50" i="8"/>
  <c r="AB50" i="8"/>
  <c r="AS50" i="8" s="1"/>
  <c r="AZ50" i="8" s="1"/>
  <c r="AA50" i="8"/>
  <c r="AQ50" i="8" s="1"/>
  <c r="AX50" i="8" s="1"/>
  <c r="Z50" i="8"/>
  <c r="AP50" i="8" s="1"/>
  <c r="Y50" i="8"/>
  <c r="X50" i="8"/>
  <c r="W50" i="8"/>
  <c r="V50" i="8"/>
  <c r="P50" i="8"/>
  <c r="O50" i="8"/>
  <c r="N50" i="8"/>
  <c r="M50" i="8"/>
  <c r="AO50" i="8" s="1"/>
  <c r="L50" i="8"/>
  <c r="K50" i="8"/>
  <c r="AD50" i="8" s="1"/>
  <c r="J50" i="8"/>
  <c r="AE49" i="8"/>
  <c r="AB49" i="8"/>
  <c r="AR49" i="8" s="1"/>
  <c r="AA49" i="8"/>
  <c r="AS49" i="8" s="1"/>
  <c r="AZ49" i="8" s="1"/>
  <c r="Z49" i="8"/>
  <c r="AP49" i="8" s="1"/>
  <c r="Y49" i="8"/>
  <c r="X49" i="8"/>
  <c r="W49" i="8"/>
  <c r="V49" i="8"/>
  <c r="O49" i="8"/>
  <c r="N49" i="8"/>
  <c r="M49" i="8"/>
  <c r="AO49" i="8" s="1"/>
  <c r="AV49" i="8" s="1"/>
  <c r="L49" i="8"/>
  <c r="K49" i="8"/>
  <c r="J49" i="8"/>
  <c r="AS48" i="8"/>
  <c r="AZ48" i="8" s="1"/>
  <c r="AD48" i="8"/>
  <c r="AF48" i="8" s="1"/>
  <c r="AB48" i="8"/>
  <c r="AR48" i="8" s="1"/>
  <c r="AA48" i="8"/>
  <c r="AQ48" i="8" s="1"/>
  <c r="AX48" i="8" s="1"/>
  <c r="Z48" i="8"/>
  <c r="AP48" i="8" s="1"/>
  <c r="Y48" i="8"/>
  <c r="X48" i="8"/>
  <c r="W48" i="8"/>
  <c r="V48" i="8"/>
  <c r="Q48" i="8"/>
  <c r="O48" i="8"/>
  <c r="N48" i="8"/>
  <c r="M48" i="8"/>
  <c r="AO48" i="8" s="1"/>
  <c r="AV48" i="8" s="1"/>
  <c r="L48" i="8"/>
  <c r="AN48" i="8" s="1"/>
  <c r="AU48" i="8" s="1"/>
  <c r="K48" i="8"/>
  <c r="J48" i="8"/>
  <c r="AR47" i="8"/>
  <c r="AM47" i="8"/>
  <c r="AE47" i="8"/>
  <c r="AB47" i="8"/>
  <c r="AS47" i="8" s="1"/>
  <c r="AZ47" i="8" s="1"/>
  <c r="AA47" i="8"/>
  <c r="AQ47" i="8" s="1"/>
  <c r="AX47" i="8" s="1"/>
  <c r="Z47" i="8"/>
  <c r="AP47" i="8" s="1"/>
  <c r="AW47" i="8" s="1"/>
  <c r="Y47" i="8"/>
  <c r="X47" i="8"/>
  <c r="W47" i="8"/>
  <c r="V47" i="8"/>
  <c r="Q47" i="8"/>
  <c r="P47" i="8"/>
  <c r="O47" i="8"/>
  <c r="N47" i="8"/>
  <c r="M47" i="8"/>
  <c r="AO47" i="8" s="1"/>
  <c r="AV47" i="8" s="1"/>
  <c r="L47" i="8"/>
  <c r="K47" i="8"/>
  <c r="AN47" i="8" s="1"/>
  <c r="AU47" i="8" s="1"/>
  <c r="J47" i="8"/>
  <c r="AR46" i="8"/>
  <c r="AQ46" i="8"/>
  <c r="AX46" i="8" s="1"/>
  <c r="AF46" i="8"/>
  <c r="AH46" i="8" s="1"/>
  <c r="AJ46" i="8" s="1"/>
  <c r="AD46" i="8"/>
  <c r="AB46" i="8"/>
  <c r="AA46" i="8"/>
  <c r="Z46" i="8"/>
  <c r="AP46" i="8" s="1"/>
  <c r="Y46" i="8"/>
  <c r="X46" i="8"/>
  <c r="W46" i="8"/>
  <c r="V46" i="8"/>
  <c r="P46" i="8"/>
  <c r="O46" i="8"/>
  <c r="N46" i="8"/>
  <c r="M46" i="8"/>
  <c r="AO46" i="8" s="1"/>
  <c r="AV46" i="8" s="1"/>
  <c r="L46" i="8"/>
  <c r="AN46" i="8" s="1"/>
  <c r="AU46" i="8" s="1"/>
  <c r="K46" i="8"/>
  <c r="J46" i="8"/>
  <c r="AM46" i="8" s="1"/>
  <c r="AP45" i="8"/>
  <c r="AM45" i="8"/>
  <c r="AE45" i="8"/>
  <c r="AB45" i="8"/>
  <c r="AR45" i="8" s="1"/>
  <c r="AA45" i="8"/>
  <c r="AS45" i="8" s="1"/>
  <c r="AZ45" i="8" s="1"/>
  <c r="Z45" i="8"/>
  <c r="Y45" i="8"/>
  <c r="X45" i="8"/>
  <c r="W45" i="8"/>
  <c r="V45" i="8"/>
  <c r="O45" i="8"/>
  <c r="N45" i="8"/>
  <c r="M45" i="8"/>
  <c r="AO45" i="8" s="1"/>
  <c r="AV45" i="8" s="1"/>
  <c r="L45" i="8"/>
  <c r="K45" i="8"/>
  <c r="AN45" i="8" s="1"/>
  <c r="AU45" i="8" s="1"/>
  <c r="J45" i="8"/>
  <c r="AD44" i="8"/>
  <c r="AF44" i="8" s="1"/>
  <c r="AH44" i="8" s="1"/>
  <c r="AJ44" i="8" s="1"/>
  <c r="AB44" i="8"/>
  <c r="AS44" i="8" s="1"/>
  <c r="AZ44" i="8" s="1"/>
  <c r="AA44" i="8"/>
  <c r="AQ44" i="8" s="1"/>
  <c r="AX44" i="8" s="1"/>
  <c r="Z44" i="8"/>
  <c r="AP44" i="8" s="1"/>
  <c r="AW44" i="8" s="1"/>
  <c r="Y44" i="8"/>
  <c r="X44" i="8"/>
  <c r="W44" i="8"/>
  <c r="V44" i="8"/>
  <c r="O44" i="8"/>
  <c r="N44" i="8"/>
  <c r="M44" i="8"/>
  <c r="AO44" i="8" s="1"/>
  <c r="AV44" i="8" s="1"/>
  <c r="L44" i="8"/>
  <c r="AN44" i="8" s="1"/>
  <c r="AU44" i="8" s="1"/>
  <c r="K44" i="8"/>
  <c r="J44" i="8"/>
  <c r="AS43" i="8"/>
  <c r="AZ43" i="8" s="1"/>
  <c r="AN43" i="8"/>
  <c r="AU43" i="8" s="1"/>
  <c r="AB43" i="8"/>
  <c r="AA43" i="8"/>
  <c r="Z43" i="8"/>
  <c r="Y43" i="8"/>
  <c r="X43" i="8"/>
  <c r="W43" i="8"/>
  <c r="V43" i="8"/>
  <c r="O43" i="8"/>
  <c r="N43" i="8"/>
  <c r="M43" i="8"/>
  <c r="Q43" i="8" s="1"/>
  <c r="L43" i="8"/>
  <c r="K43" i="8"/>
  <c r="AD43" i="8" s="1"/>
  <c r="AF43" i="8" s="1"/>
  <c r="J43" i="8"/>
  <c r="AZ42" i="8"/>
  <c r="AR42" i="8"/>
  <c r="AM42" i="8"/>
  <c r="AE42" i="8"/>
  <c r="AB42" i="8"/>
  <c r="AS42" i="8" s="1"/>
  <c r="AA42" i="8"/>
  <c r="Z42" i="8"/>
  <c r="AP42" i="8" s="1"/>
  <c r="Y42" i="8"/>
  <c r="X42" i="8"/>
  <c r="W42" i="8"/>
  <c r="V42" i="8"/>
  <c r="P42" i="8"/>
  <c r="O42" i="8"/>
  <c r="N42" i="8"/>
  <c r="M42" i="8"/>
  <c r="AO42" i="8" s="1"/>
  <c r="AV42" i="8" s="1"/>
  <c r="L42" i="8"/>
  <c r="K42" i="8"/>
  <c r="J42" i="8"/>
  <c r="AC42" i="8" s="1"/>
  <c r="AU41" i="8"/>
  <c r="AM41" i="8"/>
  <c r="AE41" i="8"/>
  <c r="AB41" i="8"/>
  <c r="AR41" i="8" s="1"/>
  <c r="AA41" i="8"/>
  <c r="AS41" i="8" s="1"/>
  <c r="AZ41" i="8" s="1"/>
  <c r="Z41" i="8"/>
  <c r="AP41" i="8" s="1"/>
  <c r="Y41" i="8"/>
  <c r="X41" i="8"/>
  <c r="W41" i="8"/>
  <c r="V41" i="8"/>
  <c r="O41" i="8"/>
  <c r="N41" i="8"/>
  <c r="M41" i="8"/>
  <c r="AO41" i="8" s="1"/>
  <c r="AV41" i="8" s="1"/>
  <c r="L41" i="8"/>
  <c r="K41" i="8"/>
  <c r="AN41" i="8" s="1"/>
  <c r="J41" i="8"/>
  <c r="AX40" i="8"/>
  <c r="AS40" i="8"/>
  <c r="AZ40" i="8" s="1"/>
  <c r="AP40" i="8"/>
  <c r="AH40" i="8"/>
  <c r="AJ40" i="8" s="1"/>
  <c r="AD40" i="8"/>
  <c r="AF40" i="8" s="1"/>
  <c r="AG40" i="8" s="1"/>
  <c r="AC40" i="8"/>
  <c r="AB40" i="8"/>
  <c r="AR40" i="8" s="1"/>
  <c r="AA40" i="8"/>
  <c r="AQ40" i="8" s="1"/>
  <c r="Z40" i="8"/>
  <c r="Y40" i="8"/>
  <c r="X40" i="8"/>
  <c r="W40" i="8"/>
  <c r="V40" i="8"/>
  <c r="Q40" i="8"/>
  <c r="O40" i="8"/>
  <c r="N40" i="8"/>
  <c r="M40" i="8"/>
  <c r="AO40" i="8" s="1"/>
  <c r="AV40" i="8" s="1"/>
  <c r="L40" i="8"/>
  <c r="AN40" i="8" s="1"/>
  <c r="AU40" i="8" s="1"/>
  <c r="K40" i="8"/>
  <c r="J40" i="8"/>
  <c r="AS39" i="8"/>
  <c r="AZ39" i="8" s="1"/>
  <c r="AO39" i="8"/>
  <c r="AV39" i="8" s="1"/>
  <c r="AM39" i="8"/>
  <c r="AE39" i="8"/>
  <c r="AC39" i="8"/>
  <c r="AB39" i="8"/>
  <c r="AR39" i="8" s="1"/>
  <c r="AA39" i="8"/>
  <c r="AQ39" i="8" s="1"/>
  <c r="AX39" i="8" s="1"/>
  <c r="Z39" i="8"/>
  <c r="AP39" i="8" s="1"/>
  <c r="Y39" i="8"/>
  <c r="X39" i="8"/>
  <c r="W39" i="8"/>
  <c r="V39" i="8"/>
  <c r="Q39" i="8"/>
  <c r="P39" i="8"/>
  <c r="O39" i="8"/>
  <c r="N39" i="8"/>
  <c r="M39" i="8"/>
  <c r="L39" i="8"/>
  <c r="K39" i="8"/>
  <c r="AN39" i="8" s="1"/>
  <c r="AU39" i="8" s="1"/>
  <c r="J39" i="8"/>
  <c r="AF38" i="8"/>
  <c r="AD38" i="8"/>
  <c r="AB38" i="8"/>
  <c r="AA38" i="8"/>
  <c r="AQ38" i="8" s="1"/>
  <c r="AX38" i="8" s="1"/>
  <c r="Z38" i="8"/>
  <c r="Y38" i="8"/>
  <c r="X38" i="8"/>
  <c r="W38" i="8"/>
  <c r="V38" i="8"/>
  <c r="O38" i="8"/>
  <c r="P38" i="8" s="1"/>
  <c r="N38" i="8"/>
  <c r="M38" i="8"/>
  <c r="L38" i="8"/>
  <c r="AE38" i="8" s="1"/>
  <c r="K38" i="8"/>
  <c r="J38" i="8"/>
  <c r="AM38" i="8" s="1"/>
  <c r="AM37" i="8"/>
  <c r="AE37" i="8"/>
  <c r="AB37" i="8"/>
  <c r="AR37" i="8" s="1"/>
  <c r="AA37" i="8"/>
  <c r="Z37" i="8"/>
  <c r="AP37" i="8" s="1"/>
  <c r="Y37" i="8"/>
  <c r="X37" i="8"/>
  <c r="W37" i="8"/>
  <c r="V37" i="8"/>
  <c r="O37" i="8"/>
  <c r="Q37" i="8" s="1"/>
  <c r="N37" i="8"/>
  <c r="M37" i="8"/>
  <c r="AO37" i="8" s="1"/>
  <c r="AV37" i="8" s="1"/>
  <c r="L37" i="8"/>
  <c r="K37" i="8"/>
  <c r="J37" i="8"/>
  <c r="AO36" i="8"/>
  <c r="AV36" i="8" s="1"/>
  <c r="AD36" i="8"/>
  <c r="AF36" i="8" s="1"/>
  <c r="AB36" i="8"/>
  <c r="AA36" i="8"/>
  <c r="Z36" i="8"/>
  <c r="AP36" i="8" s="1"/>
  <c r="AW36" i="8" s="1"/>
  <c r="Y36" i="8"/>
  <c r="X36" i="8"/>
  <c r="W36" i="8"/>
  <c r="V36" i="8"/>
  <c r="O36" i="8"/>
  <c r="N36" i="8"/>
  <c r="M36" i="8"/>
  <c r="P36" i="8" s="1"/>
  <c r="L36" i="8"/>
  <c r="K36" i="8"/>
  <c r="J36" i="8"/>
  <c r="AS35" i="8"/>
  <c r="AZ35" i="8" s="1"/>
  <c r="AF35" i="8"/>
  <c r="AB35" i="8"/>
  <c r="AA35" i="8"/>
  <c r="Z35" i="8"/>
  <c r="Y35" i="8"/>
  <c r="X35" i="8"/>
  <c r="W35" i="8"/>
  <c r="V35" i="8"/>
  <c r="O35" i="8"/>
  <c r="N35" i="8"/>
  <c r="M35" i="8"/>
  <c r="L35" i="8"/>
  <c r="K35" i="8"/>
  <c r="AD35" i="8" s="1"/>
  <c r="J35" i="8"/>
  <c r="AN34" i="8"/>
  <c r="AU34" i="8" s="1"/>
  <c r="AE34" i="8"/>
  <c r="AB34" i="8"/>
  <c r="AA34" i="8"/>
  <c r="Z34" i="8"/>
  <c r="Y34" i="8"/>
  <c r="X34" i="8"/>
  <c r="W34" i="8"/>
  <c r="V34" i="8"/>
  <c r="O34" i="8"/>
  <c r="N34" i="8"/>
  <c r="M34" i="8"/>
  <c r="L34" i="8"/>
  <c r="AP34" i="8" s="1"/>
  <c r="K34" i="8"/>
  <c r="AD34" i="8" s="1"/>
  <c r="AF34" i="8" s="1"/>
  <c r="J34" i="8"/>
  <c r="AU33" i="8"/>
  <c r="AO33" i="8"/>
  <c r="AV33" i="8" s="1"/>
  <c r="AM33" i="8"/>
  <c r="AE33" i="8"/>
  <c r="AD33" i="8"/>
  <c r="AF33" i="8" s="1"/>
  <c r="AH33" i="8" s="1"/>
  <c r="AJ33" i="8" s="1"/>
  <c r="AB33" i="8"/>
  <c r="AR33" i="8" s="1"/>
  <c r="AA33" i="8"/>
  <c r="Z33" i="8"/>
  <c r="AP33" i="8" s="1"/>
  <c r="AW33" i="8" s="1"/>
  <c r="Y33" i="8"/>
  <c r="X33" i="8"/>
  <c r="W33" i="8"/>
  <c r="V33" i="8"/>
  <c r="O33" i="8"/>
  <c r="Q33" i="8" s="1"/>
  <c r="N33" i="8"/>
  <c r="M33" i="8"/>
  <c r="L33" i="8"/>
  <c r="K33" i="8"/>
  <c r="AN33" i="8" s="1"/>
  <c r="J33" i="8"/>
  <c r="AZ32" i="8"/>
  <c r="AS32" i="8"/>
  <c r="AH32" i="8"/>
  <c r="AJ32" i="8" s="1"/>
  <c r="AD32" i="8"/>
  <c r="AF32" i="8" s="1"/>
  <c r="AG32" i="8" s="1"/>
  <c r="AB32" i="8"/>
  <c r="AA32" i="8"/>
  <c r="Z32" i="8"/>
  <c r="Y32" i="8"/>
  <c r="X32" i="8"/>
  <c r="W32" i="8"/>
  <c r="V32" i="8"/>
  <c r="O32" i="8"/>
  <c r="N32" i="8"/>
  <c r="M32" i="8"/>
  <c r="L32" i="8"/>
  <c r="AR32" i="8" s="1"/>
  <c r="K32" i="8"/>
  <c r="J32" i="8"/>
  <c r="AS31" i="8"/>
  <c r="AZ31" i="8" s="1"/>
  <c r="AR31" i="8"/>
  <c r="AO31" i="8"/>
  <c r="AV31" i="8" s="1"/>
  <c r="AM31" i="8"/>
  <c r="AE31" i="8"/>
  <c r="AB31" i="8"/>
  <c r="AA31" i="8"/>
  <c r="AQ31" i="8" s="1"/>
  <c r="AX31" i="8" s="1"/>
  <c r="Z31" i="8"/>
  <c r="AP31" i="8" s="1"/>
  <c r="Y31" i="8"/>
  <c r="X31" i="8"/>
  <c r="W31" i="8"/>
  <c r="V31" i="8"/>
  <c r="P31" i="8"/>
  <c r="O31" i="8"/>
  <c r="N31" i="8"/>
  <c r="M31" i="8"/>
  <c r="Q31" i="8" s="1"/>
  <c r="L31" i="8"/>
  <c r="K31" i="8"/>
  <c r="J31" i="8"/>
  <c r="AQ30" i="8"/>
  <c r="AX30" i="8" s="1"/>
  <c r="AD30" i="8"/>
  <c r="AF30" i="8" s="1"/>
  <c r="AB30" i="8"/>
  <c r="AA30" i="8"/>
  <c r="Z30" i="8"/>
  <c r="AP30" i="8" s="1"/>
  <c r="AW30" i="8" s="1"/>
  <c r="Y30" i="8"/>
  <c r="X30" i="8"/>
  <c r="W30" i="8"/>
  <c r="V30" i="8"/>
  <c r="O30" i="8"/>
  <c r="P30" i="8" s="1"/>
  <c r="N30" i="8"/>
  <c r="M30" i="8"/>
  <c r="AO30" i="8" s="1"/>
  <c r="AV30" i="8" s="1"/>
  <c r="L30" i="8"/>
  <c r="AE30" i="8" s="1"/>
  <c r="K30" i="8"/>
  <c r="J30" i="8"/>
  <c r="AW29" i="8"/>
  <c r="AS29" i="8"/>
  <c r="AZ29" i="8" s="1"/>
  <c r="AM29" i="8"/>
  <c r="AE29" i="8"/>
  <c r="AB29" i="8"/>
  <c r="AR29" i="8" s="1"/>
  <c r="AA29" i="8"/>
  <c r="AQ29" i="8" s="1"/>
  <c r="AX29" i="8" s="1"/>
  <c r="Z29" i="8"/>
  <c r="AP29" i="8" s="1"/>
  <c r="Y29" i="8"/>
  <c r="X29" i="8"/>
  <c r="W29" i="8"/>
  <c r="V29" i="8"/>
  <c r="O29" i="8"/>
  <c r="N29" i="8"/>
  <c r="M29" i="8"/>
  <c r="L29" i="8"/>
  <c r="K29" i="8"/>
  <c r="J29" i="8"/>
  <c r="AR28" i="8"/>
  <c r="AO28" i="8"/>
  <c r="AV28" i="8" s="1"/>
  <c r="AF28" i="8"/>
  <c r="AD28" i="8"/>
  <c r="AB28" i="8"/>
  <c r="AS28" i="8" s="1"/>
  <c r="AZ28" i="8" s="1"/>
  <c r="AA28" i="8"/>
  <c r="Z28" i="8"/>
  <c r="Y28" i="8"/>
  <c r="X28" i="8"/>
  <c r="W28" i="8"/>
  <c r="V28" i="8"/>
  <c r="O28" i="8"/>
  <c r="N28" i="8"/>
  <c r="M28" i="8"/>
  <c r="L28" i="8"/>
  <c r="AE28" i="8" s="1"/>
  <c r="K28" i="8"/>
  <c r="J28" i="8"/>
  <c r="AN27" i="8"/>
  <c r="AU27" i="8" s="1"/>
  <c r="AM27" i="8"/>
  <c r="AB27" i="8"/>
  <c r="AR27" i="8" s="1"/>
  <c r="AA27" i="8"/>
  <c r="Z27" i="8"/>
  <c r="Y27" i="8"/>
  <c r="X27" i="8"/>
  <c r="W27" i="8"/>
  <c r="V27" i="8"/>
  <c r="O27" i="8"/>
  <c r="Q27" i="8" s="1"/>
  <c r="N27" i="8"/>
  <c r="M27" i="8"/>
  <c r="L27" i="8"/>
  <c r="K27" i="8"/>
  <c r="AD27" i="8" s="1"/>
  <c r="AF27" i="8" s="1"/>
  <c r="J27" i="8"/>
  <c r="AZ26" i="8"/>
  <c r="AR26" i="8"/>
  <c r="AB26" i="8"/>
  <c r="AS26" i="8" s="1"/>
  <c r="AA26" i="8"/>
  <c r="Z26" i="8"/>
  <c r="Y26" i="8"/>
  <c r="X26" i="8"/>
  <c r="W26" i="8"/>
  <c r="V26" i="8"/>
  <c r="O26" i="8"/>
  <c r="N26" i="8"/>
  <c r="P26" i="8" s="1"/>
  <c r="M26" i="8"/>
  <c r="L26" i="8"/>
  <c r="AM26" i="8" s="1"/>
  <c r="K26" i="8"/>
  <c r="J26" i="8"/>
  <c r="AO25" i="8"/>
  <c r="AV25" i="8" s="1"/>
  <c r="AE25" i="8"/>
  <c r="AD25" i="8"/>
  <c r="AF25" i="8" s="1"/>
  <c r="AC25" i="8"/>
  <c r="AB25" i="8"/>
  <c r="AR25" i="8" s="1"/>
  <c r="AA25" i="8"/>
  <c r="AS25" i="8" s="1"/>
  <c r="AZ25" i="8" s="1"/>
  <c r="Z25" i="8"/>
  <c r="AP25" i="8" s="1"/>
  <c r="Y25" i="8"/>
  <c r="X25" i="8"/>
  <c r="W25" i="8"/>
  <c r="V25" i="8"/>
  <c r="Q25" i="8"/>
  <c r="O25" i="8"/>
  <c r="N25" i="8"/>
  <c r="M25" i="8"/>
  <c r="L25" i="8"/>
  <c r="K25" i="8"/>
  <c r="AN25" i="8" s="1"/>
  <c r="AU25" i="8" s="1"/>
  <c r="J25" i="8"/>
  <c r="P25" i="8" s="1"/>
  <c r="AH24" i="8"/>
  <c r="AJ24" i="8" s="1"/>
  <c r="AF24" i="8"/>
  <c r="AG24" i="8" s="1"/>
  <c r="AD24" i="8"/>
  <c r="AB24" i="8"/>
  <c r="AS24" i="8" s="1"/>
  <c r="AZ24" i="8" s="1"/>
  <c r="AA24" i="8"/>
  <c r="Z24" i="8"/>
  <c r="Y24" i="8"/>
  <c r="X24" i="8"/>
  <c r="W24" i="8"/>
  <c r="V24" i="8"/>
  <c r="Q24" i="8"/>
  <c r="O24" i="8"/>
  <c r="N24" i="8"/>
  <c r="P24" i="8" s="1"/>
  <c r="M24" i="8"/>
  <c r="L24" i="8"/>
  <c r="K24" i="8"/>
  <c r="J24" i="8"/>
  <c r="AW23" i="8"/>
  <c r="AR23" i="8"/>
  <c r="AM23" i="8"/>
  <c r="AE23" i="8"/>
  <c r="AB23" i="8"/>
  <c r="AA23" i="8"/>
  <c r="Z23" i="8"/>
  <c r="AP23" i="8" s="1"/>
  <c r="Y23" i="8"/>
  <c r="X23" i="8"/>
  <c r="W23" i="8"/>
  <c r="V23" i="8"/>
  <c r="O23" i="8"/>
  <c r="N23" i="8"/>
  <c r="M23" i="8"/>
  <c r="L23" i="8"/>
  <c r="K23" i="8"/>
  <c r="J23" i="8"/>
  <c r="AP22" i="8"/>
  <c r="AJ22" i="8"/>
  <c r="AH22" i="8"/>
  <c r="AF22" i="8"/>
  <c r="AG22" i="8" s="1"/>
  <c r="AD22" i="8"/>
  <c r="AB22" i="8"/>
  <c r="AS22" i="8" s="1"/>
  <c r="AZ22" i="8" s="1"/>
  <c r="AA22" i="8"/>
  <c r="AQ22" i="8" s="1"/>
  <c r="AX22" i="8" s="1"/>
  <c r="Z22" i="8"/>
  <c r="Y22" i="8"/>
  <c r="X22" i="8"/>
  <c r="W22" i="8"/>
  <c r="V22" i="8"/>
  <c r="O22" i="8"/>
  <c r="N22" i="8"/>
  <c r="M22" i="8"/>
  <c r="L22" i="8"/>
  <c r="K22" i="8"/>
  <c r="J22" i="8"/>
  <c r="AP21" i="8"/>
  <c r="AO21" i="8"/>
  <c r="AV21" i="8" s="1"/>
  <c r="AM21" i="8"/>
  <c r="AE21" i="8"/>
  <c r="AB21" i="8"/>
  <c r="AR21" i="8" s="1"/>
  <c r="AA21" i="8"/>
  <c r="AS21" i="8" s="1"/>
  <c r="AZ21" i="8" s="1"/>
  <c r="Z21" i="8"/>
  <c r="Y21" i="8"/>
  <c r="X21" i="8"/>
  <c r="W21" i="8"/>
  <c r="V21" i="8"/>
  <c r="O21" i="8"/>
  <c r="Q21" i="8" s="1"/>
  <c r="N21" i="8"/>
  <c r="M21" i="8"/>
  <c r="L21" i="8"/>
  <c r="K21" i="8"/>
  <c r="J21" i="8"/>
  <c r="AH20" i="8"/>
  <c r="AJ20" i="8" s="1"/>
  <c r="AD20" i="8"/>
  <c r="AF20" i="8" s="1"/>
  <c r="AG20" i="8" s="1"/>
  <c r="AB20" i="8"/>
  <c r="AA20" i="8"/>
  <c r="AQ20" i="8" s="1"/>
  <c r="AX20" i="8" s="1"/>
  <c r="Z20" i="8"/>
  <c r="Y20" i="8"/>
  <c r="X20" i="8"/>
  <c r="W20" i="8"/>
  <c r="V20" i="8"/>
  <c r="O20" i="8"/>
  <c r="N20" i="8"/>
  <c r="P20" i="8" s="1"/>
  <c r="M20" i="8"/>
  <c r="L20" i="8"/>
  <c r="AN20" i="8" s="1"/>
  <c r="AU20" i="8" s="1"/>
  <c r="K20" i="8"/>
  <c r="J20" i="8"/>
  <c r="AS19" i="8"/>
  <c r="AZ19" i="8" s="1"/>
  <c r="AN19" i="8"/>
  <c r="AU19" i="8" s="1"/>
  <c r="AD19" i="8"/>
  <c r="AF19" i="8" s="1"/>
  <c r="AH19" i="8" s="1"/>
  <c r="AJ19" i="8" s="1"/>
  <c r="AB19" i="8"/>
  <c r="AA19" i="8"/>
  <c r="Z19" i="8"/>
  <c r="Y19" i="8"/>
  <c r="X19" i="8"/>
  <c r="W19" i="8"/>
  <c r="V19" i="8"/>
  <c r="O19" i="8"/>
  <c r="Q19" i="8" s="1"/>
  <c r="N19" i="8"/>
  <c r="M19" i="8"/>
  <c r="L19" i="8"/>
  <c r="K19" i="8"/>
  <c r="J19" i="8"/>
  <c r="AV18" i="8"/>
  <c r="AU18" i="8"/>
  <c r="AN18" i="8"/>
  <c r="AH18" i="8"/>
  <c r="AJ18" i="8" s="1"/>
  <c r="AD18" i="8"/>
  <c r="AF18" i="8" s="1"/>
  <c r="AG18" i="8" s="1"/>
  <c r="AB18" i="8"/>
  <c r="AR18" i="8" s="1"/>
  <c r="AA18" i="8"/>
  <c r="AQ18" i="8" s="1"/>
  <c r="AX18" i="8" s="1"/>
  <c r="Z18" i="8"/>
  <c r="AP18" i="8" s="1"/>
  <c r="Y18" i="8"/>
  <c r="X18" i="8"/>
  <c r="W18" i="8"/>
  <c r="V18" i="8"/>
  <c r="O18" i="8"/>
  <c r="N18" i="8"/>
  <c r="M18" i="8"/>
  <c r="AO18" i="8" s="1"/>
  <c r="L18" i="8"/>
  <c r="AE18" i="8" s="1"/>
  <c r="K18" i="8"/>
  <c r="J18" i="8"/>
  <c r="AQ17" i="8"/>
  <c r="AX17" i="8" s="1"/>
  <c r="AO17" i="8"/>
  <c r="AV17" i="8" s="1"/>
  <c r="AM17" i="8"/>
  <c r="AE17" i="8"/>
  <c r="AC17" i="8"/>
  <c r="AB17" i="8"/>
  <c r="AA17" i="8"/>
  <c r="Z17" i="8"/>
  <c r="AP17" i="8" s="1"/>
  <c r="Y17" i="8"/>
  <c r="X17" i="8"/>
  <c r="W17" i="8"/>
  <c r="V17" i="8"/>
  <c r="Q17" i="8"/>
  <c r="P17" i="8"/>
  <c r="O17" i="8"/>
  <c r="N17" i="8"/>
  <c r="M17" i="8"/>
  <c r="L17" i="8"/>
  <c r="K17" i="8"/>
  <c r="J17" i="8"/>
  <c r="AN16" i="8"/>
  <c r="AU16" i="8" s="1"/>
  <c r="AH16" i="8"/>
  <c r="AJ16" i="8" s="1"/>
  <c r="AD16" i="8"/>
  <c r="AF16" i="8" s="1"/>
  <c r="AG16" i="8" s="1"/>
  <c r="AC16" i="8"/>
  <c r="AB16" i="8"/>
  <c r="AS16" i="8" s="1"/>
  <c r="AZ16" i="8" s="1"/>
  <c r="AA16" i="8"/>
  <c r="Z16" i="8"/>
  <c r="Y16" i="8"/>
  <c r="X16" i="8"/>
  <c r="W16" i="8"/>
  <c r="V16" i="8"/>
  <c r="O16" i="8"/>
  <c r="Q16" i="8" s="1"/>
  <c r="N16" i="8"/>
  <c r="M16" i="8"/>
  <c r="L16" i="8"/>
  <c r="K16" i="8"/>
  <c r="J16" i="8"/>
  <c r="AP15" i="8"/>
  <c r="AW15" i="8" s="1"/>
  <c r="AM15" i="8"/>
  <c r="AE15" i="8"/>
  <c r="AC15" i="8"/>
  <c r="AB15" i="8"/>
  <c r="AS15" i="8" s="1"/>
  <c r="AZ15" i="8" s="1"/>
  <c r="AA15" i="8"/>
  <c r="AQ15" i="8" s="1"/>
  <c r="AX15" i="8" s="1"/>
  <c r="Z15" i="8"/>
  <c r="Y15" i="8"/>
  <c r="X15" i="8"/>
  <c r="W15" i="8"/>
  <c r="V15" i="8"/>
  <c r="Q15" i="8"/>
  <c r="O15" i="8"/>
  <c r="N15" i="8"/>
  <c r="P15" i="8" s="1"/>
  <c r="M15" i="8"/>
  <c r="AO15" i="8" s="1"/>
  <c r="AV15" i="8" s="1"/>
  <c r="L15" i="8"/>
  <c r="K15" i="8"/>
  <c r="J15" i="8"/>
  <c r="AW14" i="8"/>
  <c r="AG14" i="8"/>
  <c r="AI14" i="8" s="1"/>
  <c r="AK14" i="8" s="1"/>
  <c r="AD14" i="8"/>
  <c r="AF14" i="8" s="1"/>
  <c r="AH14" i="8" s="1"/>
  <c r="AJ14" i="8" s="1"/>
  <c r="AB14" i="8"/>
  <c r="AS14" i="8" s="1"/>
  <c r="AZ14" i="8" s="1"/>
  <c r="AA14" i="8"/>
  <c r="AQ14" i="8" s="1"/>
  <c r="AX14" i="8" s="1"/>
  <c r="Z14" i="8"/>
  <c r="AP14" i="8" s="1"/>
  <c r="Y14" i="8"/>
  <c r="X14" i="8"/>
  <c r="W14" i="8"/>
  <c r="V14" i="8"/>
  <c r="P14" i="8"/>
  <c r="O14" i="8"/>
  <c r="N14" i="8"/>
  <c r="M14" i="8"/>
  <c r="AO14" i="8" s="1"/>
  <c r="AV14" i="8" s="1"/>
  <c r="L14" i="8"/>
  <c r="AN14" i="8" s="1"/>
  <c r="AU14" i="8" s="1"/>
  <c r="K14" i="8"/>
  <c r="J14" i="8"/>
  <c r="AX13" i="8"/>
  <c r="AQ13" i="8"/>
  <c r="AP13" i="8"/>
  <c r="AI13" i="8"/>
  <c r="AC13" i="8"/>
  <c r="AB13" i="8"/>
  <c r="AR13" i="8" s="1"/>
  <c r="AA13" i="8"/>
  <c r="AS13" i="8" s="1"/>
  <c r="AZ13" i="8" s="1"/>
  <c r="Z13" i="8"/>
  <c r="Y13" i="8"/>
  <c r="X13" i="8"/>
  <c r="W13" i="8"/>
  <c r="V13" i="8"/>
  <c r="O13" i="8"/>
  <c r="Q13" i="8" s="1"/>
  <c r="N13" i="8"/>
  <c r="M13" i="8"/>
  <c r="L13" i="8"/>
  <c r="K13" i="8"/>
  <c r="AD13" i="8" s="1"/>
  <c r="AF13" i="8" s="1"/>
  <c r="AG13" i="8" s="1"/>
  <c r="J13" i="8"/>
  <c r="AZ12" i="8"/>
  <c r="AX12" i="8"/>
  <c r="AO12" i="8"/>
  <c r="AV12" i="8" s="1"/>
  <c r="AM12" i="8"/>
  <c r="AE12" i="8"/>
  <c r="AB12" i="8"/>
  <c r="AS12" i="8" s="1"/>
  <c r="AA12" i="8"/>
  <c r="AQ12" i="8" s="1"/>
  <c r="Z12" i="8"/>
  <c r="AP12" i="8" s="1"/>
  <c r="AW12" i="8" s="1"/>
  <c r="Y12" i="8"/>
  <c r="X12" i="8"/>
  <c r="W12" i="8"/>
  <c r="V12" i="8"/>
  <c r="O12" i="8"/>
  <c r="N12" i="8"/>
  <c r="M12" i="8"/>
  <c r="P12" i="8" s="1"/>
  <c r="L12" i="8"/>
  <c r="K12" i="8"/>
  <c r="J12" i="8"/>
  <c r="AC12" i="8" s="1"/>
  <c r="AQ11" i="8"/>
  <c r="AX11" i="8" s="1"/>
  <c r="AD11" i="8"/>
  <c r="AF11" i="8" s="1"/>
  <c r="AB11" i="8"/>
  <c r="AR11" i="8" s="1"/>
  <c r="AA11" i="8"/>
  <c r="AS11" i="8" s="1"/>
  <c r="AZ11" i="8" s="1"/>
  <c r="Z11" i="8"/>
  <c r="Y11" i="8"/>
  <c r="X11" i="8"/>
  <c r="W11" i="8"/>
  <c r="V11" i="8"/>
  <c r="O11" i="8"/>
  <c r="N11" i="8"/>
  <c r="M11" i="8"/>
  <c r="AO11" i="8" s="1"/>
  <c r="AV11" i="8" s="1"/>
  <c r="L11" i="8"/>
  <c r="AE11" i="8" s="1"/>
  <c r="K11" i="8"/>
  <c r="J11" i="8"/>
  <c r="AS10" i="8"/>
  <c r="AZ10" i="8" s="1"/>
  <c r="AP10" i="8"/>
  <c r="AW10" i="8" s="1"/>
  <c r="AC10" i="8"/>
  <c r="AB10" i="8"/>
  <c r="AR10" i="8" s="1"/>
  <c r="AA10" i="8"/>
  <c r="Z10" i="8"/>
  <c r="Y10" i="8"/>
  <c r="X10" i="8"/>
  <c r="W10" i="8"/>
  <c r="V10" i="8"/>
  <c r="Q10" i="8"/>
  <c r="O10" i="8"/>
  <c r="N10" i="8"/>
  <c r="M10" i="8"/>
  <c r="L10" i="8"/>
  <c r="AM10" i="8" s="1"/>
  <c r="K10" i="8"/>
  <c r="AD10" i="8" s="1"/>
  <c r="AF10" i="8" s="1"/>
  <c r="J10" i="8"/>
  <c r="AW9" i="8"/>
  <c r="AU9" i="8"/>
  <c r="AO9" i="8"/>
  <c r="AV9" i="8" s="1"/>
  <c r="AG9" i="8"/>
  <c r="AE9" i="8"/>
  <c r="AD9" i="8"/>
  <c r="AF9" i="8" s="1"/>
  <c r="AH9" i="8" s="1"/>
  <c r="AJ9" i="8" s="1"/>
  <c r="AB9" i="8"/>
  <c r="AS9" i="8" s="1"/>
  <c r="AZ9" i="8" s="1"/>
  <c r="AA9" i="8"/>
  <c r="AQ9" i="8" s="1"/>
  <c r="AX9" i="8" s="1"/>
  <c r="Z9" i="8"/>
  <c r="AP9" i="8" s="1"/>
  <c r="Y9" i="8"/>
  <c r="X9" i="8"/>
  <c r="W9" i="8"/>
  <c r="V9" i="8"/>
  <c r="O9" i="8"/>
  <c r="N9" i="8"/>
  <c r="M9" i="8"/>
  <c r="L9" i="8"/>
  <c r="K9" i="8"/>
  <c r="AN9" i="8" s="1"/>
  <c r="J9" i="8"/>
  <c r="AS8" i="8"/>
  <c r="AZ8" i="8" s="1"/>
  <c r="AF8" i="8"/>
  <c r="AD8" i="8"/>
  <c r="AC8" i="8"/>
  <c r="AB8" i="8"/>
  <c r="AA8" i="8"/>
  <c r="Z8" i="8"/>
  <c r="Y8" i="8"/>
  <c r="X8" i="8"/>
  <c r="W8" i="8"/>
  <c r="V8" i="8"/>
  <c r="Q8" i="8"/>
  <c r="O8" i="8"/>
  <c r="N8" i="8"/>
  <c r="M8" i="8"/>
  <c r="L8" i="8"/>
  <c r="K8" i="8"/>
  <c r="J8" i="8"/>
  <c r="AP7" i="8"/>
  <c r="AW7" i="8" s="1"/>
  <c r="AM7" i="8"/>
  <c r="AE7" i="8"/>
  <c r="AC7" i="8"/>
  <c r="AB7" i="8"/>
  <c r="AS7" i="8" s="1"/>
  <c r="AZ7" i="8" s="1"/>
  <c r="AA7" i="8"/>
  <c r="AQ7" i="8" s="1"/>
  <c r="AX7" i="8" s="1"/>
  <c r="Z7" i="8"/>
  <c r="Y7" i="8"/>
  <c r="X7" i="8"/>
  <c r="W7" i="8"/>
  <c r="V7" i="8"/>
  <c r="Q7" i="8"/>
  <c r="O7" i="8"/>
  <c r="N7" i="8"/>
  <c r="P7" i="8" s="1"/>
  <c r="M7" i="8"/>
  <c r="AO7" i="8" s="1"/>
  <c r="AV7" i="8" s="1"/>
  <c r="L7" i="8"/>
  <c r="K7" i="8"/>
  <c r="J7" i="8"/>
  <c r="AW6" i="8"/>
  <c r="AD6" i="8"/>
  <c r="AF6" i="8" s="1"/>
  <c r="AH6" i="8" s="1"/>
  <c r="AJ6" i="8" s="1"/>
  <c r="AB6" i="8"/>
  <c r="AS6" i="8" s="1"/>
  <c r="AZ6" i="8" s="1"/>
  <c r="AA6" i="8"/>
  <c r="AQ6" i="8" s="1"/>
  <c r="AX6" i="8" s="1"/>
  <c r="Z6" i="8"/>
  <c r="AP6" i="8" s="1"/>
  <c r="Y6" i="8"/>
  <c r="X6" i="8"/>
  <c r="W6" i="8"/>
  <c r="V6" i="8"/>
  <c r="P6" i="8"/>
  <c r="O6" i="8"/>
  <c r="N6" i="8"/>
  <c r="M6" i="8"/>
  <c r="AO6" i="8" s="1"/>
  <c r="AV6" i="8" s="1"/>
  <c r="L6" i="8"/>
  <c r="AN6" i="8" s="1"/>
  <c r="AU6" i="8" s="1"/>
  <c r="K6" i="8"/>
  <c r="J6" i="8"/>
  <c r="AX5" i="8"/>
  <c r="AQ5" i="8"/>
  <c r="AP5" i="8"/>
  <c r="AI5" i="8"/>
  <c r="AH5" i="8"/>
  <c r="AJ5" i="8" s="1"/>
  <c r="AC5" i="8"/>
  <c r="AB5" i="8"/>
  <c r="AR5" i="8" s="1"/>
  <c r="AA5" i="8"/>
  <c r="AS5" i="8" s="1"/>
  <c r="AZ5" i="8" s="1"/>
  <c r="Z5" i="8"/>
  <c r="Y5" i="8"/>
  <c r="X5" i="8"/>
  <c r="W5" i="8"/>
  <c r="V5" i="8"/>
  <c r="O5" i="8"/>
  <c r="Q5" i="8" s="1"/>
  <c r="N5" i="8"/>
  <c r="M5" i="8"/>
  <c r="L5" i="8"/>
  <c r="K5" i="8"/>
  <c r="AD5" i="8" s="1"/>
  <c r="AF5" i="8" s="1"/>
  <c r="AG5" i="8" s="1"/>
  <c r="J5" i="8"/>
  <c r="AZ4" i="8"/>
  <c r="AX4" i="8"/>
  <c r="AO4" i="8"/>
  <c r="AV4" i="8" s="1"/>
  <c r="AM4" i="8"/>
  <c r="AE4" i="8"/>
  <c r="AB4" i="8"/>
  <c r="AS4" i="8" s="1"/>
  <c r="AA4" i="8"/>
  <c r="AQ4" i="8" s="1"/>
  <c r="Z4" i="8"/>
  <c r="AP4" i="8" s="1"/>
  <c r="AW4" i="8" s="1"/>
  <c r="Y4" i="8"/>
  <c r="X4" i="8"/>
  <c r="W4" i="8"/>
  <c r="V4" i="8"/>
  <c r="O4" i="8"/>
  <c r="N4" i="8"/>
  <c r="M4" i="8"/>
  <c r="P4" i="8" s="1"/>
  <c r="L4" i="8"/>
  <c r="K4" i="8"/>
  <c r="J4" i="8"/>
  <c r="AC4" i="8" s="1"/>
  <c r="AQ3" i="8"/>
  <c r="AX3" i="8" s="1"/>
  <c r="AO3" i="8"/>
  <c r="AV3" i="8" s="1"/>
  <c r="AD3" i="8"/>
  <c r="AF3" i="8" s="1"/>
  <c r="AB3" i="8"/>
  <c r="AR3" i="8" s="1"/>
  <c r="AA3" i="8"/>
  <c r="AS3" i="8" s="1"/>
  <c r="AZ3" i="8" s="1"/>
  <c r="Z3" i="8"/>
  <c r="Y3" i="8"/>
  <c r="X3" i="8"/>
  <c r="W3" i="8"/>
  <c r="V3" i="8"/>
  <c r="O3" i="8"/>
  <c r="N3" i="8"/>
  <c r="M3" i="8"/>
  <c r="L3" i="8"/>
  <c r="AE3" i="8" s="1"/>
  <c r="K3" i="8"/>
  <c r="J3" i="8"/>
  <c r="AN20" i="27"/>
  <c r="AI20" i="27"/>
  <c r="W20" i="27"/>
  <c r="V20" i="27"/>
  <c r="AL20" i="27" s="1"/>
  <c r="U20" i="27"/>
  <c r="N20" i="27"/>
  <c r="M20" i="27"/>
  <c r="L20" i="27"/>
  <c r="K20" i="27"/>
  <c r="J20" i="27"/>
  <c r="I20" i="27"/>
  <c r="AN19" i="27"/>
  <c r="W19" i="27"/>
  <c r="V19" i="27"/>
  <c r="U19" i="27"/>
  <c r="N19" i="27"/>
  <c r="M19" i="27"/>
  <c r="L19" i="27"/>
  <c r="K19" i="27"/>
  <c r="AI19" i="27" s="1"/>
  <c r="J19" i="27"/>
  <c r="I19" i="27"/>
  <c r="W18" i="27"/>
  <c r="V18" i="27"/>
  <c r="AN18" i="27" s="1"/>
  <c r="U18" i="27"/>
  <c r="N18" i="27"/>
  <c r="M18" i="27"/>
  <c r="L18" i="27"/>
  <c r="K18" i="27"/>
  <c r="Z9" i="27" s="1"/>
  <c r="J18" i="27"/>
  <c r="I18" i="27"/>
  <c r="AI17" i="27"/>
  <c r="W17" i="27"/>
  <c r="V17" i="27"/>
  <c r="U17" i="27"/>
  <c r="N17" i="27"/>
  <c r="M17" i="27"/>
  <c r="L17" i="27"/>
  <c r="AJ17" i="27" s="1"/>
  <c r="K17" i="27"/>
  <c r="J17" i="27"/>
  <c r="I17" i="27"/>
  <c r="AH16" i="27"/>
  <c r="W16" i="27"/>
  <c r="AN16" i="27" s="1"/>
  <c r="V16" i="27"/>
  <c r="U16" i="27"/>
  <c r="AK16" i="27" s="1"/>
  <c r="N16" i="27"/>
  <c r="P16" i="27" s="1"/>
  <c r="M16" i="27"/>
  <c r="L16" i="27"/>
  <c r="K16" i="27"/>
  <c r="J16" i="27"/>
  <c r="Y16" i="27" s="1"/>
  <c r="AA16" i="27" s="1"/>
  <c r="AC16" i="27" s="1"/>
  <c r="AE16" i="27" s="1"/>
  <c r="I16" i="27"/>
  <c r="AK15" i="27"/>
  <c r="AC15" i="27"/>
  <c r="Y15" i="27"/>
  <c r="AA15" i="27" s="1"/>
  <c r="AB15" i="27" s="1"/>
  <c r="AD15" i="27" s="1"/>
  <c r="W15" i="27"/>
  <c r="AN15" i="27" s="1"/>
  <c r="V15" i="27"/>
  <c r="AL15" i="27" s="1"/>
  <c r="U15" i="27"/>
  <c r="N15" i="27"/>
  <c r="M15" i="27"/>
  <c r="L15" i="27"/>
  <c r="AJ15" i="27" s="1"/>
  <c r="K15" i="27"/>
  <c r="J15" i="27"/>
  <c r="I15" i="27"/>
  <c r="AH15" i="27" s="1"/>
  <c r="AN14" i="27"/>
  <c r="AK14" i="27"/>
  <c r="AI14" i="27"/>
  <c r="AC14" i="27"/>
  <c r="AA14" i="27"/>
  <c r="AB14" i="27" s="1"/>
  <c r="AD14" i="27" s="1"/>
  <c r="Y14" i="27"/>
  <c r="X14" i="27"/>
  <c r="W14" i="27"/>
  <c r="AM14" i="27" s="1"/>
  <c r="V14" i="27"/>
  <c r="AL14" i="27" s="1"/>
  <c r="U14" i="27"/>
  <c r="N14" i="27"/>
  <c r="M14" i="27"/>
  <c r="L14" i="27"/>
  <c r="K14" i="27"/>
  <c r="J14" i="27"/>
  <c r="I14" i="27"/>
  <c r="AL13" i="27"/>
  <c r="AK13" i="27"/>
  <c r="W13" i="27"/>
  <c r="AM13" i="27" s="1"/>
  <c r="V13" i="27"/>
  <c r="AN13" i="27" s="1"/>
  <c r="U13" i="27"/>
  <c r="N13" i="27"/>
  <c r="M13" i="27"/>
  <c r="L13" i="27"/>
  <c r="AJ13" i="27" s="1"/>
  <c r="K13" i="27"/>
  <c r="J13" i="27"/>
  <c r="I13" i="27"/>
  <c r="AH12" i="27"/>
  <c r="AA12" i="27"/>
  <c r="Y12" i="27"/>
  <c r="X12" i="27"/>
  <c r="W12" i="27"/>
  <c r="AM12" i="27" s="1"/>
  <c r="V12" i="27"/>
  <c r="U12" i="27"/>
  <c r="AK12" i="27" s="1"/>
  <c r="N12" i="27"/>
  <c r="M12" i="27"/>
  <c r="L12" i="27"/>
  <c r="AJ12" i="27" s="1"/>
  <c r="K12" i="27"/>
  <c r="J12" i="27"/>
  <c r="AI12" i="27" s="1"/>
  <c r="I12" i="27"/>
  <c r="P12" i="27" s="1"/>
  <c r="AL11" i="27"/>
  <c r="AJ11" i="27"/>
  <c r="Y11" i="27"/>
  <c r="AA11" i="27" s="1"/>
  <c r="W11" i="27"/>
  <c r="AM11" i="27" s="1"/>
  <c r="V11" i="27"/>
  <c r="AN11" i="27" s="1"/>
  <c r="U11" i="27"/>
  <c r="AK11" i="27" s="1"/>
  <c r="P11" i="27"/>
  <c r="O11" i="27"/>
  <c r="N11" i="27"/>
  <c r="M11" i="27"/>
  <c r="L11" i="27"/>
  <c r="K11" i="27"/>
  <c r="J11" i="27"/>
  <c r="AI11" i="27" s="1"/>
  <c r="I11" i="27"/>
  <c r="X11" i="27" s="1"/>
  <c r="X10" i="27"/>
  <c r="W10" i="27"/>
  <c r="AN10" i="27" s="1"/>
  <c r="V10" i="27"/>
  <c r="U10" i="27"/>
  <c r="P10" i="27"/>
  <c r="N10" i="27"/>
  <c r="M10" i="27"/>
  <c r="L10" i="27"/>
  <c r="K10" i="27"/>
  <c r="AL10" i="27" s="1"/>
  <c r="J10" i="27"/>
  <c r="I10" i="27"/>
  <c r="AB9" i="27"/>
  <c r="AD9" i="27" s="1"/>
  <c r="Y9" i="27"/>
  <c r="AA9" i="27" s="1"/>
  <c r="AC9" i="27" s="1"/>
  <c r="X9" i="27"/>
  <c r="W9" i="27"/>
  <c r="AN9" i="27" s="1"/>
  <c r="V9" i="27"/>
  <c r="U9" i="27"/>
  <c r="N9" i="27"/>
  <c r="P9" i="27" s="1"/>
  <c r="M9" i="27"/>
  <c r="L9" i="27"/>
  <c r="K9" i="27"/>
  <c r="AI9" i="27" s="1"/>
  <c r="J9" i="27"/>
  <c r="I9" i="27"/>
  <c r="AM8" i="27"/>
  <c r="AH8" i="27"/>
  <c r="W8" i="27"/>
  <c r="AN8" i="27" s="1"/>
  <c r="V8" i="27"/>
  <c r="U8" i="27"/>
  <c r="AK8" i="27" s="1"/>
  <c r="P8" i="27"/>
  <c r="N8" i="27"/>
  <c r="M8" i="27"/>
  <c r="L8" i="27"/>
  <c r="K8" i="27"/>
  <c r="AL8" i="27" s="1"/>
  <c r="J8" i="27"/>
  <c r="I8" i="27"/>
  <c r="AN7" i="27"/>
  <c r="Y7" i="27"/>
  <c r="AA7" i="27" s="1"/>
  <c r="AB7" i="27" s="1"/>
  <c r="AD7" i="27" s="1"/>
  <c r="W7" i="27"/>
  <c r="V7" i="27"/>
  <c r="AL7" i="27" s="1"/>
  <c r="U7" i="27"/>
  <c r="AK7" i="27" s="1"/>
  <c r="N7" i="27"/>
  <c r="M7" i="27"/>
  <c r="L7" i="27"/>
  <c r="AJ7" i="27" s="1"/>
  <c r="K7" i="27"/>
  <c r="AM7" i="27" s="1"/>
  <c r="J7" i="27"/>
  <c r="I7" i="27"/>
  <c r="AN6" i="27"/>
  <c r="AK6" i="27"/>
  <c r="AI6" i="27"/>
  <c r="AH6" i="27"/>
  <c r="AA6" i="27"/>
  <c r="AC6" i="27" s="1"/>
  <c r="Y6" i="27"/>
  <c r="W6" i="27"/>
  <c r="AM6" i="27" s="1"/>
  <c r="V6" i="27"/>
  <c r="AL6" i="27" s="1"/>
  <c r="U6" i="27"/>
  <c r="O6" i="27"/>
  <c r="N6" i="27"/>
  <c r="M6" i="27"/>
  <c r="L6" i="27"/>
  <c r="AJ6" i="27" s="1"/>
  <c r="K6" i="27"/>
  <c r="J6" i="27"/>
  <c r="I6" i="27"/>
  <c r="P6" i="27" s="1"/>
  <c r="AA5" i="27"/>
  <c r="X5" i="27"/>
  <c r="W5" i="27"/>
  <c r="AN5" i="27" s="1"/>
  <c r="V5" i="27"/>
  <c r="U5" i="27"/>
  <c r="N5" i="27"/>
  <c r="M5" i="27"/>
  <c r="L5" i="27"/>
  <c r="K5" i="27"/>
  <c r="J5" i="27"/>
  <c r="Y5" i="27" s="1"/>
  <c r="I5" i="27"/>
  <c r="X4" i="27"/>
  <c r="W4" i="27"/>
  <c r="V4" i="27"/>
  <c r="U4" i="27"/>
  <c r="O4" i="27"/>
  <c r="N4" i="27"/>
  <c r="M4" i="27"/>
  <c r="L4" i="27"/>
  <c r="K4" i="27"/>
  <c r="J4" i="27"/>
  <c r="I4" i="27"/>
  <c r="AH4" i="27" s="1"/>
  <c r="AK3" i="27"/>
  <c r="AJ3" i="27"/>
  <c r="W3" i="27"/>
  <c r="AM3" i="27" s="1"/>
  <c r="U3" i="27"/>
  <c r="N3" i="27"/>
  <c r="M3" i="27"/>
  <c r="L3" i="27"/>
  <c r="K3" i="27"/>
  <c r="J3" i="27"/>
  <c r="AI3" i="27" s="1"/>
  <c r="I3" i="27"/>
  <c r="AH3" i="27" s="1"/>
  <c r="AM18" i="7"/>
  <c r="AL18" i="7"/>
  <c r="W18" i="7"/>
  <c r="AN18" i="7" s="1"/>
  <c r="V18" i="7"/>
  <c r="U18" i="7"/>
  <c r="AK18" i="7" s="1"/>
  <c r="N18" i="7"/>
  <c r="M18" i="7"/>
  <c r="L18" i="7"/>
  <c r="AJ18" i="7" s="1"/>
  <c r="AQ14" i="7" s="1"/>
  <c r="K18" i="7"/>
  <c r="AH18" i="7" s="1"/>
  <c r="AO17" i="7" s="1"/>
  <c r="J18" i="7"/>
  <c r="Y14" i="7" s="1"/>
  <c r="I18" i="7"/>
  <c r="AJ17" i="7"/>
  <c r="AQ17" i="7" s="1"/>
  <c r="AI17" i="7"/>
  <c r="AH17" i="7"/>
  <c r="Z17" i="7"/>
  <c r="X17" i="7"/>
  <c r="W17" i="7"/>
  <c r="AM17" i="7" s="1"/>
  <c r="AT17" i="7" s="1"/>
  <c r="V17" i="7"/>
  <c r="AN17" i="7" s="1"/>
  <c r="AU17" i="7" s="1"/>
  <c r="U17" i="7"/>
  <c r="AK17" i="7" s="1"/>
  <c r="AR17" i="7" s="1"/>
  <c r="N17" i="7"/>
  <c r="O17" i="7" s="1"/>
  <c r="M17" i="7"/>
  <c r="L17" i="7"/>
  <c r="K17" i="7"/>
  <c r="J17" i="7"/>
  <c r="Y17" i="7" s="1"/>
  <c r="AA17" i="7" s="1"/>
  <c r="I17" i="7"/>
  <c r="AL16" i="7"/>
  <c r="AS16" i="7" s="1"/>
  <c r="AJ16" i="7"/>
  <c r="Z16" i="7"/>
  <c r="W16" i="7"/>
  <c r="AN16" i="7" s="1"/>
  <c r="AU16" i="7" s="1"/>
  <c r="V16" i="7"/>
  <c r="U16" i="7"/>
  <c r="AK16" i="7" s="1"/>
  <c r="AR16" i="7" s="1"/>
  <c r="N16" i="7"/>
  <c r="M16" i="7"/>
  <c r="L16" i="7"/>
  <c r="K16" i="7"/>
  <c r="J16" i="7"/>
  <c r="I16" i="7"/>
  <c r="AN15" i="7"/>
  <c r="AU15" i="7" s="1"/>
  <c r="Y15" i="7"/>
  <c r="AA15" i="7" s="1"/>
  <c r="X15" i="7"/>
  <c r="W15" i="7"/>
  <c r="AM15" i="7" s="1"/>
  <c r="V15" i="7"/>
  <c r="AL15" i="7" s="1"/>
  <c r="AS15" i="7" s="1"/>
  <c r="U15" i="7"/>
  <c r="AK15" i="7" s="1"/>
  <c r="AR15" i="7" s="1"/>
  <c r="N15" i="7"/>
  <c r="M15" i="7"/>
  <c r="L15" i="7"/>
  <c r="AJ15" i="7" s="1"/>
  <c r="K15" i="7"/>
  <c r="Z15" i="7" s="1"/>
  <c r="J15" i="7"/>
  <c r="AI15" i="7" s="1"/>
  <c r="I15" i="7"/>
  <c r="AR14" i="7"/>
  <c r="AN14" i="7"/>
  <c r="AU14" i="7" s="1"/>
  <c r="AJ14" i="7"/>
  <c r="AI14" i="7"/>
  <c r="AA14" i="7"/>
  <c r="AC14" i="7" s="1"/>
  <c r="X14" i="7"/>
  <c r="W14" i="7"/>
  <c r="AM14" i="7" s="1"/>
  <c r="AT14" i="7" s="1"/>
  <c r="V14" i="7"/>
  <c r="AL14" i="7" s="1"/>
  <c r="AS14" i="7" s="1"/>
  <c r="U14" i="7"/>
  <c r="AK14" i="7" s="1"/>
  <c r="P14" i="7"/>
  <c r="O14" i="7"/>
  <c r="N14" i="7"/>
  <c r="M14" i="7"/>
  <c r="L14" i="7"/>
  <c r="K14" i="7"/>
  <c r="AH14" i="7" s="1"/>
  <c r="AO14" i="7" s="1"/>
  <c r="J14" i="7"/>
  <c r="I14" i="7"/>
  <c r="W13" i="7"/>
  <c r="V13" i="7"/>
  <c r="U13" i="7"/>
  <c r="O13" i="7"/>
  <c r="N13" i="7"/>
  <c r="M13" i="7"/>
  <c r="L13" i="7"/>
  <c r="K13" i="7"/>
  <c r="AL13" i="7" s="1"/>
  <c r="AS13" i="7" s="1"/>
  <c r="J13" i="7"/>
  <c r="I13" i="7"/>
  <c r="P13" i="7" s="1"/>
  <c r="AH12" i="7"/>
  <c r="AO12" i="7" s="1"/>
  <c r="Z12" i="7"/>
  <c r="Y12" i="7"/>
  <c r="AA12" i="7" s="1"/>
  <c r="W12" i="7"/>
  <c r="AM12" i="7" s="1"/>
  <c r="AT12" i="7" s="1"/>
  <c r="V12" i="7"/>
  <c r="AN12" i="7" s="1"/>
  <c r="AU12" i="7" s="1"/>
  <c r="U12" i="7"/>
  <c r="AK12" i="7" s="1"/>
  <c r="AR12" i="7" s="1"/>
  <c r="N12" i="7"/>
  <c r="M12" i="7"/>
  <c r="L12" i="7"/>
  <c r="AJ12" i="7" s="1"/>
  <c r="AQ12" i="7" s="1"/>
  <c r="K12" i="7"/>
  <c r="J12" i="7"/>
  <c r="AI12" i="7" s="1"/>
  <c r="I12" i="7"/>
  <c r="X12" i="7" s="1"/>
  <c r="AS11" i="7"/>
  <c r="AN11" i="7"/>
  <c r="AU11" i="7" s="1"/>
  <c r="AJ11" i="7"/>
  <c r="AQ11" i="7" s="1"/>
  <c r="AI11" i="7"/>
  <c r="AC11" i="7"/>
  <c r="Y11" i="7"/>
  <c r="AA11" i="7" s="1"/>
  <c r="AB11" i="7" s="1"/>
  <c r="AD11" i="7" s="1"/>
  <c r="W11" i="7"/>
  <c r="AM11" i="7" s="1"/>
  <c r="AT11" i="7" s="1"/>
  <c r="V11" i="7"/>
  <c r="AL11" i="7" s="1"/>
  <c r="U11" i="7"/>
  <c r="AK11" i="7" s="1"/>
  <c r="AR11" i="7" s="1"/>
  <c r="P11" i="7"/>
  <c r="N11" i="7"/>
  <c r="M11" i="7"/>
  <c r="L11" i="7"/>
  <c r="K11" i="7"/>
  <c r="J11" i="7"/>
  <c r="I11" i="7"/>
  <c r="AN10" i="7"/>
  <c r="AU10" i="7" s="1"/>
  <c r="X10" i="7"/>
  <c r="W10" i="7"/>
  <c r="AM10" i="7" s="1"/>
  <c r="AT10" i="7" s="1"/>
  <c r="V10" i="7"/>
  <c r="U10" i="7"/>
  <c r="AK10" i="7" s="1"/>
  <c r="AR10" i="7" s="1"/>
  <c r="N10" i="7"/>
  <c r="M10" i="7"/>
  <c r="L10" i="7"/>
  <c r="K10" i="7"/>
  <c r="J10" i="7"/>
  <c r="Y10" i="7" s="1"/>
  <c r="AA10" i="7" s="1"/>
  <c r="I10" i="7"/>
  <c r="AI9" i="7"/>
  <c r="AH9" i="7"/>
  <c r="AO9" i="7" s="1"/>
  <c r="AA9" i="7"/>
  <c r="Z9" i="7"/>
  <c r="X9" i="7"/>
  <c r="W9" i="7"/>
  <c r="AN9" i="7" s="1"/>
  <c r="AU9" i="7" s="1"/>
  <c r="V9" i="7"/>
  <c r="AL9" i="7" s="1"/>
  <c r="AS9" i="7" s="1"/>
  <c r="U9" i="7"/>
  <c r="AK9" i="7" s="1"/>
  <c r="AR9" i="7" s="1"/>
  <c r="O9" i="7"/>
  <c r="N9" i="7"/>
  <c r="M9" i="7"/>
  <c r="L9" i="7"/>
  <c r="AJ9" i="7" s="1"/>
  <c r="AQ9" i="7" s="1"/>
  <c r="K9" i="7"/>
  <c r="J9" i="7"/>
  <c r="Y9" i="7" s="1"/>
  <c r="I9" i="7"/>
  <c r="P9" i="7" s="1"/>
  <c r="AK8" i="7"/>
  <c r="AR8" i="7" s="1"/>
  <c r="AJ8" i="7"/>
  <c r="AQ8" i="7" s="1"/>
  <c r="Z8" i="7"/>
  <c r="W8" i="7"/>
  <c r="AN8" i="7" s="1"/>
  <c r="AU8" i="7" s="1"/>
  <c r="V8" i="7"/>
  <c r="AL8" i="7" s="1"/>
  <c r="AS8" i="7" s="1"/>
  <c r="U8" i="7"/>
  <c r="N8" i="7"/>
  <c r="M8" i="7"/>
  <c r="L8" i="7"/>
  <c r="K8" i="7"/>
  <c r="J8" i="7"/>
  <c r="I8" i="7"/>
  <c r="AN7" i="7"/>
  <c r="AU7" i="7" s="1"/>
  <c r="Y7" i="7"/>
  <c r="AA7" i="7" s="1"/>
  <c r="X7" i="7"/>
  <c r="W7" i="7"/>
  <c r="AM7" i="7" s="1"/>
  <c r="AT7" i="7" s="1"/>
  <c r="V7" i="7"/>
  <c r="AL7" i="7" s="1"/>
  <c r="AS7" i="7" s="1"/>
  <c r="U7" i="7"/>
  <c r="AK7" i="7" s="1"/>
  <c r="AR7" i="7" s="1"/>
  <c r="N7" i="7"/>
  <c r="M7" i="7"/>
  <c r="L7" i="7"/>
  <c r="AJ7" i="7" s="1"/>
  <c r="AQ7" i="7" s="1"/>
  <c r="K7" i="7"/>
  <c r="Z7" i="7" s="1"/>
  <c r="J7" i="7"/>
  <c r="AI7" i="7" s="1"/>
  <c r="I7" i="7"/>
  <c r="AR6" i="7"/>
  <c r="AN6" i="7"/>
  <c r="AU6" i="7" s="1"/>
  <c r="AJ6" i="7"/>
  <c r="AQ6" i="7" s="1"/>
  <c r="AI6" i="7"/>
  <c r="X6" i="7"/>
  <c r="W6" i="7"/>
  <c r="AM6" i="7" s="1"/>
  <c r="AT6" i="7" s="1"/>
  <c r="V6" i="7"/>
  <c r="AL6" i="7" s="1"/>
  <c r="AS6" i="7" s="1"/>
  <c r="U6" i="7"/>
  <c r="AK6" i="7" s="1"/>
  <c r="P6" i="7"/>
  <c r="O6" i="7"/>
  <c r="N6" i="7"/>
  <c r="M6" i="7"/>
  <c r="L6" i="7"/>
  <c r="K6" i="7"/>
  <c r="AH6" i="7" s="1"/>
  <c r="AO6" i="7" s="1"/>
  <c r="J6" i="7"/>
  <c r="I6" i="7"/>
  <c r="AU5" i="7"/>
  <c r="W5" i="7"/>
  <c r="AN5" i="7" s="1"/>
  <c r="V5" i="7"/>
  <c r="U5" i="7"/>
  <c r="AK5" i="7" s="1"/>
  <c r="AR5" i="7" s="1"/>
  <c r="O5" i="7"/>
  <c r="N5" i="7"/>
  <c r="M5" i="7"/>
  <c r="L5" i="7"/>
  <c r="K5" i="7"/>
  <c r="J5" i="7"/>
  <c r="I5" i="7"/>
  <c r="P5" i="7" s="1"/>
  <c r="AH4" i="7"/>
  <c r="AO4" i="7" s="1"/>
  <c r="Z4" i="7"/>
  <c r="Y4" i="7"/>
  <c r="AA4" i="7" s="1"/>
  <c r="W4" i="7"/>
  <c r="AM4" i="7" s="1"/>
  <c r="AT4" i="7" s="1"/>
  <c r="V4" i="7"/>
  <c r="AN4" i="7" s="1"/>
  <c r="AU4" i="7" s="1"/>
  <c r="U4" i="7"/>
  <c r="AK4" i="7" s="1"/>
  <c r="AR4" i="7" s="1"/>
  <c r="N4" i="7"/>
  <c r="M4" i="7"/>
  <c r="L4" i="7"/>
  <c r="AJ4" i="7" s="1"/>
  <c r="K4" i="7"/>
  <c r="J4" i="7"/>
  <c r="AI4" i="7" s="1"/>
  <c r="I4" i="7"/>
  <c r="X4" i="7" s="1"/>
  <c r="AN3" i="7"/>
  <c r="AU3" i="7" s="1"/>
  <c r="AJ3" i="7"/>
  <c r="AI3" i="7"/>
  <c r="AC3" i="7"/>
  <c r="AB3" i="7"/>
  <c r="AD3" i="7" s="1"/>
  <c r="Y3" i="7"/>
  <c r="AA3" i="7" s="1"/>
  <c r="W3" i="7"/>
  <c r="AM3" i="7" s="1"/>
  <c r="AT3" i="7" s="1"/>
  <c r="V3" i="7"/>
  <c r="AL3" i="7" s="1"/>
  <c r="AS3" i="7" s="1"/>
  <c r="U3" i="7"/>
  <c r="AK3" i="7" s="1"/>
  <c r="AR3" i="7" s="1"/>
  <c r="N3" i="7"/>
  <c r="M3" i="7"/>
  <c r="L3" i="7"/>
  <c r="K3" i="7"/>
  <c r="J3" i="7"/>
  <c r="I3" i="7"/>
  <c r="P3" i="7" s="1"/>
  <c r="M17" i="76"/>
  <c r="L17" i="76"/>
  <c r="I17" i="76"/>
  <c r="O17" i="76" s="1"/>
  <c r="H17" i="76"/>
  <c r="N17" i="76" s="1"/>
  <c r="G17" i="76"/>
  <c r="F17" i="76"/>
  <c r="E17" i="76"/>
  <c r="K17" i="76" s="1"/>
  <c r="AC17" i="76" s="1"/>
  <c r="D17" i="76"/>
  <c r="J17" i="76" s="1"/>
  <c r="AD16" i="76"/>
  <c r="AG16" i="76" s="1"/>
  <c r="S16" i="76"/>
  <c r="U16" i="76" s="1"/>
  <c r="O16" i="76"/>
  <c r="N16" i="76"/>
  <c r="M16" i="76"/>
  <c r="L16" i="76"/>
  <c r="K16" i="76"/>
  <c r="AC16" i="76" s="1"/>
  <c r="AF16" i="76" s="1"/>
  <c r="J16" i="76"/>
  <c r="R16" i="76" s="1"/>
  <c r="AD15" i="76"/>
  <c r="AG15" i="76" s="1"/>
  <c r="O15" i="76"/>
  <c r="N15" i="76"/>
  <c r="M15" i="76"/>
  <c r="L15" i="76"/>
  <c r="T15" i="76" s="1"/>
  <c r="K15" i="76"/>
  <c r="AC15" i="76" s="1"/>
  <c r="AF15" i="76" s="1"/>
  <c r="J15" i="76"/>
  <c r="AD14" i="76"/>
  <c r="AG14" i="76" s="1"/>
  <c r="R14" i="76"/>
  <c r="O14" i="76"/>
  <c r="N14" i="76"/>
  <c r="M14" i="76"/>
  <c r="L14" i="76"/>
  <c r="T14" i="76" s="1"/>
  <c r="K14" i="76"/>
  <c r="AC14" i="76" s="1"/>
  <c r="AF14" i="76" s="1"/>
  <c r="J14" i="76"/>
  <c r="AD13" i="76"/>
  <c r="AG13" i="76" s="1"/>
  <c r="R13" i="76"/>
  <c r="O13" i="76"/>
  <c r="N13" i="76"/>
  <c r="M13" i="76"/>
  <c r="L13" i="76"/>
  <c r="T13" i="76" s="1"/>
  <c r="K13" i="76"/>
  <c r="AC13" i="76" s="1"/>
  <c r="AF13" i="76" s="1"/>
  <c r="J13" i="76"/>
  <c r="AD12" i="76"/>
  <c r="AG12" i="76" s="1"/>
  <c r="O12" i="76"/>
  <c r="N12" i="76"/>
  <c r="M12" i="76"/>
  <c r="L12" i="76"/>
  <c r="T12" i="76" s="1"/>
  <c r="K12" i="76"/>
  <c r="AC12" i="76" s="1"/>
  <c r="AF12" i="76" s="1"/>
  <c r="J12" i="76"/>
  <c r="R12" i="76" s="1"/>
  <c r="AD11" i="76"/>
  <c r="AG11" i="76" s="1"/>
  <c r="S11" i="76"/>
  <c r="U11" i="76" s="1"/>
  <c r="R11" i="76"/>
  <c r="O11" i="76"/>
  <c r="N11" i="76"/>
  <c r="M11" i="76"/>
  <c r="L11" i="76"/>
  <c r="T11" i="76" s="1"/>
  <c r="K11" i="76"/>
  <c r="AC11" i="76" s="1"/>
  <c r="AF11" i="76" s="1"/>
  <c r="J11" i="76"/>
  <c r="AD10" i="76"/>
  <c r="AG10" i="76" s="1"/>
  <c r="S10" i="76"/>
  <c r="U10" i="76" s="1"/>
  <c r="O10" i="76"/>
  <c r="N10" i="76"/>
  <c r="M10" i="76"/>
  <c r="L10" i="76"/>
  <c r="T10" i="76" s="1"/>
  <c r="K10" i="76"/>
  <c r="AC10" i="76" s="1"/>
  <c r="AF10" i="76" s="1"/>
  <c r="J10" i="76"/>
  <c r="AD9" i="76"/>
  <c r="AG9" i="76" s="1"/>
  <c r="O9" i="76"/>
  <c r="N9" i="76"/>
  <c r="M9" i="76"/>
  <c r="L9" i="76"/>
  <c r="T9" i="76" s="1"/>
  <c r="K9" i="76"/>
  <c r="AC9" i="76" s="1"/>
  <c r="AF9" i="76" s="1"/>
  <c r="J9" i="76"/>
  <c r="R9" i="76" s="1"/>
  <c r="AD8" i="76"/>
  <c r="AG8" i="76" s="1"/>
  <c r="S8" i="76"/>
  <c r="U8" i="76" s="1"/>
  <c r="R8" i="76"/>
  <c r="O8" i="76"/>
  <c r="N8" i="76"/>
  <c r="M8" i="76"/>
  <c r="L8" i="76"/>
  <c r="K8" i="76"/>
  <c r="AC8" i="76" s="1"/>
  <c r="AF8" i="76" s="1"/>
  <c r="J8" i="76"/>
  <c r="AD7" i="76"/>
  <c r="AG7" i="76" s="1"/>
  <c r="O7" i="76"/>
  <c r="N7" i="76"/>
  <c r="M7" i="76"/>
  <c r="L7" i="76"/>
  <c r="T7" i="76" s="1"/>
  <c r="K7" i="76"/>
  <c r="AC7" i="76" s="1"/>
  <c r="AF7" i="76" s="1"/>
  <c r="J7" i="76"/>
  <c r="AD6" i="76"/>
  <c r="AG6" i="76" s="1"/>
  <c r="R6" i="76"/>
  <c r="O6" i="76"/>
  <c r="N6" i="76"/>
  <c r="M6" i="76"/>
  <c r="L6" i="76"/>
  <c r="T6" i="76" s="1"/>
  <c r="K6" i="76"/>
  <c r="AC6" i="76" s="1"/>
  <c r="AF6" i="76" s="1"/>
  <c r="J6" i="76"/>
  <c r="AD5" i="76"/>
  <c r="AG5" i="76" s="1"/>
  <c r="S5" i="76"/>
  <c r="U5" i="76" s="1"/>
  <c r="R5" i="76"/>
  <c r="O5" i="76"/>
  <c r="N5" i="76"/>
  <c r="M5" i="76"/>
  <c r="L5" i="76"/>
  <c r="T5" i="76" s="1"/>
  <c r="K5" i="76"/>
  <c r="AC5" i="76" s="1"/>
  <c r="AF5" i="76" s="1"/>
  <c r="J5" i="76"/>
  <c r="AD4" i="76"/>
  <c r="AG4" i="76" s="1"/>
  <c r="O4" i="76"/>
  <c r="N4" i="76"/>
  <c r="M4" i="76"/>
  <c r="L4" i="76"/>
  <c r="T4" i="76" s="1"/>
  <c r="K4" i="76"/>
  <c r="AC4" i="76" s="1"/>
  <c r="AF4" i="76" s="1"/>
  <c r="J4" i="76"/>
  <c r="R4" i="76" s="1"/>
  <c r="AD3" i="76"/>
  <c r="AG3" i="76" s="1"/>
  <c r="S3" i="76"/>
  <c r="U3" i="76" s="1"/>
  <c r="R3" i="76"/>
  <c r="O3" i="76"/>
  <c r="N3" i="76"/>
  <c r="L3" i="76"/>
  <c r="T3" i="76" s="1"/>
  <c r="K3" i="76"/>
  <c r="AC3" i="76" s="1"/>
  <c r="AF3" i="76" s="1"/>
  <c r="J3" i="76"/>
  <c r="AB3" i="76" s="1"/>
  <c r="AF17" i="3"/>
  <c r="S17" i="3"/>
  <c r="N17" i="3"/>
  <c r="M17" i="3"/>
  <c r="L17" i="3"/>
  <c r="K17" i="3"/>
  <c r="AG17" i="3" s="1"/>
  <c r="J17" i="3"/>
  <c r="U12" i="3" s="1"/>
  <c r="I17" i="3"/>
  <c r="T15" i="3" s="1"/>
  <c r="AI16" i="3"/>
  <c r="AE16" i="3"/>
  <c r="V16" i="3"/>
  <c r="S16" i="3"/>
  <c r="AG16" i="3" s="1"/>
  <c r="AK16" i="3" s="1"/>
  <c r="N16" i="3"/>
  <c r="M16" i="3"/>
  <c r="L16" i="3"/>
  <c r="AF16" i="3" s="1"/>
  <c r="AJ16" i="3" s="1"/>
  <c r="K16" i="3"/>
  <c r="J16" i="3"/>
  <c r="U16" i="3" s="1"/>
  <c r="W16" i="3" s="1"/>
  <c r="I16" i="3"/>
  <c r="P16" i="3" s="1"/>
  <c r="V15" i="3"/>
  <c r="U15" i="3"/>
  <c r="W15" i="3" s="1"/>
  <c r="S15" i="3"/>
  <c r="N15" i="3"/>
  <c r="M15" i="3"/>
  <c r="L15" i="3"/>
  <c r="K15" i="3"/>
  <c r="AG15" i="3" s="1"/>
  <c r="AK15" i="3" s="1"/>
  <c r="J15" i="3"/>
  <c r="AE15" i="3" s="1"/>
  <c r="AI15" i="3" s="1"/>
  <c r="I15" i="3"/>
  <c r="AG14" i="3"/>
  <c r="AK14" i="3" s="1"/>
  <c r="AF14" i="3"/>
  <c r="AJ14" i="3" s="1"/>
  <c r="Y14" i="3"/>
  <c r="X14" i="3"/>
  <c r="U14" i="3"/>
  <c r="W14" i="3" s="1"/>
  <c r="T14" i="3"/>
  <c r="S14" i="3"/>
  <c r="N14" i="3"/>
  <c r="O14" i="3" s="1"/>
  <c r="M14" i="3"/>
  <c r="L14" i="3"/>
  <c r="K14" i="3"/>
  <c r="AD14" i="3" s="1"/>
  <c r="J14" i="3"/>
  <c r="AE14" i="3" s="1"/>
  <c r="AI14" i="3" s="1"/>
  <c r="I14" i="3"/>
  <c r="AJ13" i="3"/>
  <c r="AF13" i="3"/>
  <c r="S13" i="3"/>
  <c r="AG13" i="3" s="1"/>
  <c r="AK13" i="3" s="1"/>
  <c r="N13" i="3"/>
  <c r="M13" i="3"/>
  <c r="L13" i="3"/>
  <c r="K13" i="3"/>
  <c r="V13" i="3" s="1"/>
  <c r="J13" i="3"/>
  <c r="I13" i="3"/>
  <c r="T13" i="3" s="1"/>
  <c r="AE12" i="3"/>
  <c r="AI12" i="3" s="1"/>
  <c r="AD12" i="3"/>
  <c r="W12" i="3"/>
  <c r="V12" i="3"/>
  <c r="S12" i="3"/>
  <c r="AG12" i="3" s="1"/>
  <c r="AK12" i="3" s="1"/>
  <c r="N12" i="3"/>
  <c r="M12" i="3"/>
  <c r="L12" i="3"/>
  <c r="AF12" i="3" s="1"/>
  <c r="AJ12" i="3" s="1"/>
  <c r="K12" i="3"/>
  <c r="J12" i="3"/>
  <c r="I12" i="3"/>
  <c r="T12" i="3" s="1"/>
  <c r="AG11" i="3"/>
  <c r="AK11" i="3" s="1"/>
  <c r="AD11" i="3"/>
  <c r="V11" i="3"/>
  <c r="S11" i="3"/>
  <c r="P11" i="3"/>
  <c r="O11" i="3"/>
  <c r="N11" i="3"/>
  <c r="M11" i="3"/>
  <c r="L11" i="3"/>
  <c r="AF11" i="3" s="1"/>
  <c r="AJ11" i="3" s="1"/>
  <c r="K11" i="3"/>
  <c r="AE11" i="3" s="1"/>
  <c r="AI11" i="3" s="1"/>
  <c r="J11" i="3"/>
  <c r="I11" i="3"/>
  <c r="T11" i="3" s="1"/>
  <c r="U10" i="3"/>
  <c r="W10" i="3" s="1"/>
  <c r="T10" i="3"/>
  <c r="S10" i="3"/>
  <c r="O10" i="3"/>
  <c r="N10" i="3"/>
  <c r="M10" i="3"/>
  <c r="L10" i="3"/>
  <c r="K10" i="3"/>
  <c r="J10" i="3"/>
  <c r="AE10" i="3" s="1"/>
  <c r="AI10" i="3" s="1"/>
  <c r="I10" i="3"/>
  <c r="P10" i="3" s="1"/>
  <c r="AF9" i="3"/>
  <c r="AJ9" i="3" s="1"/>
  <c r="AE9" i="3"/>
  <c r="AI9" i="3" s="1"/>
  <c r="V9" i="3"/>
  <c r="T9" i="3"/>
  <c r="S9" i="3"/>
  <c r="AG9" i="3" s="1"/>
  <c r="AK9" i="3" s="1"/>
  <c r="N9" i="3"/>
  <c r="M9" i="3"/>
  <c r="L9" i="3"/>
  <c r="K9" i="3"/>
  <c r="J9" i="3"/>
  <c r="U9" i="3" s="1"/>
  <c r="W9" i="3" s="1"/>
  <c r="I9" i="3"/>
  <c r="AD9" i="3" s="1"/>
  <c r="AI8" i="3"/>
  <c r="AE8" i="3"/>
  <c r="V8" i="3"/>
  <c r="S8" i="3"/>
  <c r="AG8" i="3" s="1"/>
  <c r="AK8" i="3" s="1"/>
  <c r="P8" i="3"/>
  <c r="N8" i="3"/>
  <c r="M8" i="3"/>
  <c r="L8" i="3"/>
  <c r="AF8" i="3" s="1"/>
  <c r="AJ8" i="3" s="1"/>
  <c r="K8" i="3"/>
  <c r="J8" i="3"/>
  <c r="U8" i="3" s="1"/>
  <c r="W8" i="3" s="1"/>
  <c r="I8" i="3"/>
  <c r="V7" i="3"/>
  <c r="U7" i="3"/>
  <c r="W7" i="3" s="1"/>
  <c r="T7" i="3"/>
  <c r="S7" i="3"/>
  <c r="N7" i="3"/>
  <c r="M7" i="3"/>
  <c r="L7" i="3"/>
  <c r="K7" i="3"/>
  <c r="AG7" i="3" s="1"/>
  <c r="AK7" i="3" s="1"/>
  <c r="J7" i="3"/>
  <c r="AE7" i="3" s="1"/>
  <c r="AI7" i="3" s="1"/>
  <c r="I7" i="3"/>
  <c r="AG6" i="3"/>
  <c r="AK6" i="3" s="1"/>
  <c r="AF6" i="3"/>
  <c r="AJ6" i="3" s="1"/>
  <c r="X6" i="3"/>
  <c r="U6" i="3"/>
  <c r="W6" i="3" s="1"/>
  <c r="Y6" i="3" s="1"/>
  <c r="AA6" i="3" s="1"/>
  <c r="T6" i="3"/>
  <c r="S6" i="3"/>
  <c r="O6" i="3"/>
  <c r="N6" i="3"/>
  <c r="M6" i="3"/>
  <c r="L6" i="3"/>
  <c r="K6" i="3"/>
  <c r="AD6" i="3" s="1"/>
  <c r="J6" i="3"/>
  <c r="AE6" i="3" s="1"/>
  <c r="AI6" i="3" s="1"/>
  <c r="I6" i="3"/>
  <c r="P6" i="3" s="1"/>
  <c r="AJ5" i="3"/>
  <c r="AF5" i="3"/>
  <c r="T5" i="3"/>
  <c r="S5" i="3"/>
  <c r="AG5" i="3" s="1"/>
  <c r="AK5" i="3" s="1"/>
  <c r="N5" i="3"/>
  <c r="M5" i="3"/>
  <c r="L5" i="3"/>
  <c r="K5" i="3"/>
  <c r="V5" i="3" s="1"/>
  <c r="J5" i="3"/>
  <c r="I5" i="3"/>
  <c r="AE4" i="3"/>
  <c r="AI4" i="3" s="1"/>
  <c r="AD4" i="3"/>
  <c r="V4" i="3"/>
  <c r="S4" i="3"/>
  <c r="AG4" i="3" s="1"/>
  <c r="AK4" i="3" s="1"/>
  <c r="N4" i="3"/>
  <c r="M4" i="3"/>
  <c r="L4" i="3"/>
  <c r="AF4" i="3" s="1"/>
  <c r="AJ4" i="3" s="1"/>
  <c r="K4" i="3"/>
  <c r="J4" i="3"/>
  <c r="I4" i="3"/>
  <c r="T4" i="3" s="1"/>
  <c r="AG3" i="3"/>
  <c r="AK3" i="3" s="1"/>
  <c r="S3" i="3"/>
  <c r="P3" i="3"/>
  <c r="O3" i="3"/>
  <c r="N3" i="3"/>
  <c r="M3" i="3"/>
  <c r="K3" i="3"/>
  <c r="AF3" i="3" s="1"/>
  <c r="AJ3" i="3" s="1"/>
  <c r="J3" i="3"/>
  <c r="AE3" i="3" s="1"/>
  <c r="AI3" i="3" s="1"/>
  <c r="I3" i="3"/>
  <c r="T3" i="3" s="1"/>
  <c r="AL8" i="13"/>
  <c r="X8" i="13"/>
  <c r="AN8" i="13" s="1"/>
  <c r="W8" i="13"/>
  <c r="AM8" i="13" s="1"/>
  <c r="V8" i="13"/>
  <c r="O8" i="13"/>
  <c r="N8" i="13"/>
  <c r="M8" i="13"/>
  <c r="AK8" i="13" s="1"/>
  <c r="L8" i="13"/>
  <c r="K8" i="13"/>
  <c r="AJ8" i="13" s="1"/>
  <c r="J8" i="13"/>
  <c r="AI8" i="13" s="1"/>
  <c r="AO7" i="13"/>
  <c r="AL7" i="13"/>
  <c r="X7" i="13"/>
  <c r="AN7" i="13" s="1"/>
  <c r="W7" i="13"/>
  <c r="AM7" i="13" s="1"/>
  <c r="V7" i="13"/>
  <c r="O7" i="13"/>
  <c r="N7" i="13"/>
  <c r="M7" i="13"/>
  <c r="AK7" i="13" s="1"/>
  <c r="AR4" i="13" s="1"/>
  <c r="L7" i="13"/>
  <c r="K7" i="13"/>
  <c r="AJ7" i="13" s="1"/>
  <c r="J7" i="13"/>
  <c r="AI7" i="13" s="1"/>
  <c r="AL6" i="13"/>
  <c r="X6" i="13"/>
  <c r="AN6" i="13" s="1"/>
  <c r="W6" i="13"/>
  <c r="AM6" i="13" s="1"/>
  <c r="V6" i="13"/>
  <c r="O6" i="13"/>
  <c r="N6" i="13"/>
  <c r="M6" i="13"/>
  <c r="AK6" i="13" s="1"/>
  <c r="L6" i="13"/>
  <c r="K6" i="13"/>
  <c r="AJ6" i="13" s="1"/>
  <c r="J6" i="13"/>
  <c r="AO5" i="13"/>
  <c r="AN5" i="13"/>
  <c r="AU5" i="13" s="1"/>
  <c r="X5" i="13"/>
  <c r="W5" i="13"/>
  <c r="AM5" i="13" s="1"/>
  <c r="V5" i="13"/>
  <c r="AL5" i="13" s="1"/>
  <c r="AS5" i="13" s="1"/>
  <c r="O5" i="13"/>
  <c r="N5" i="13"/>
  <c r="M5" i="13"/>
  <c r="L5" i="13"/>
  <c r="K5" i="13"/>
  <c r="Z5" i="13" s="1"/>
  <c r="AB5" i="13" s="1"/>
  <c r="J5" i="13"/>
  <c r="AJ4" i="13"/>
  <c r="AQ4" i="13" s="1"/>
  <c r="AI4" i="13"/>
  <c r="AB4" i="13"/>
  <c r="AA4" i="13"/>
  <c r="X4" i="13"/>
  <c r="AO4" i="13" s="1"/>
  <c r="W4" i="13"/>
  <c r="AM4" i="13" s="1"/>
  <c r="V4" i="13"/>
  <c r="AL4" i="13" s="1"/>
  <c r="AS4" i="13" s="1"/>
  <c r="O4" i="13"/>
  <c r="P4" i="13" s="1"/>
  <c r="N4" i="13"/>
  <c r="M4" i="13"/>
  <c r="AK4" i="13" s="1"/>
  <c r="L4" i="13"/>
  <c r="K4" i="13"/>
  <c r="Z4" i="13" s="1"/>
  <c r="J4" i="13"/>
  <c r="AM3" i="13"/>
  <c r="AT3" i="13" s="1"/>
  <c r="AL3" i="13"/>
  <c r="AS3" i="13" s="1"/>
  <c r="AK3" i="13"/>
  <c r="AA3" i="13"/>
  <c r="X3" i="13"/>
  <c r="AO3" i="13" s="1"/>
  <c r="W3" i="13"/>
  <c r="V3" i="13"/>
  <c r="O3" i="13"/>
  <c r="N3" i="13"/>
  <c r="M3" i="13"/>
  <c r="L3" i="13"/>
  <c r="K3" i="13"/>
  <c r="J3" i="13"/>
  <c r="AJ24" i="12"/>
  <c r="AQ23" i="12" s="1"/>
  <c r="X24" i="12"/>
  <c r="W24" i="12"/>
  <c r="AO24" i="12" s="1"/>
  <c r="V24" i="12"/>
  <c r="O24" i="12"/>
  <c r="N24" i="12"/>
  <c r="M24" i="12"/>
  <c r="AK24" i="12" s="1"/>
  <c r="AR21" i="12" s="1"/>
  <c r="L24" i="12"/>
  <c r="K24" i="12"/>
  <c r="Z21" i="12" s="1"/>
  <c r="J24" i="12"/>
  <c r="AJ23" i="12"/>
  <c r="AI23" i="12"/>
  <c r="AA23" i="12"/>
  <c r="Y23" i="12"/>
  <c r="X23" i="12"/>
  <c r="AO23" i="12" s="1"/>
  <c r="AV23" i="12" s="1"/>
  <c r="W23" i="12"/>
  <c r="AM23" i="12" s="1"/>
  <c r="V23" i="12"/>
  <c r="AL23" i="12" s="1"/>
  <c r="O23" i="12"/>
  <c r="P23" i="12" s="1"/>
  <c r="N23" i="12"/>
  <c r="M23" i="12"/>
  <c r="AK23" i="12" s="1"/>
  <c r="AR23" i="12" s="1"/>
  <c r="L23" i="12"/>
  <c r="K23" i="12"/>
  <c r="Z23" i="12" s="1"/>
  <c r="AB23" i="12" s="1"/>
  <c r="J23" i="12"/>
  <c r="Q23" i="12" s="1"/>
  <c r="AN22" i="12"/>
  <c r="AI22" i="12"/>
  <c r="AA22" i="12"/>
  <c r="Z22" i="12"/>
  <c r="AB22" i="12" s="1"/>
  <c r="X22" i="12"/>
  <c r="V22" i="12"/>
  <c r="AL22" i="12" s="1"/>
  <c r="O22" i="12"/>
  <c r="N22" i="12"/>
  <c r="M22" i="12"/>
  <c r="AK22" i="12" s="1"/>
  <c r="AR22" i="12" s="1"/>
  <c r="L22" i="12"/>
  <c r="K22" i="12"/>
  <c r="AJ22" i="12" s="1"/>
  <c r="AQ22" i="12" s="1"/>
  <c r="J22" i="12"/>
  <c r="Y22" i="12" s="1"/>
  <c r="AO21" i="12"/>
  <c r="AK21" i="12"/>
  <c r="AJ21" i="12"/>
  <c r="AB21" i="12"/>
  <c r="AD21" i="12" s="1"/>
  <c r="Y21" i="12"/>
  <c r="X21" i="12"/>
  <c r="AN21" i="12" s="1"/>
  <c r="W21" i="12"/>
  <c r="AM21" i="12" s="1"/>
  <c r="V21" i="12"/>
  <c r="AL21" i="12" s="1"/>
  <c r="Q21" i="12"/>
  <c r="P21" i="12"/>
  <c r="O21" i="12"/>
  <c r="N21" i="12"/>
  <c r="M21" i="12"/>
  <c r="L21" i="12"/>
  <c r="AI21" i="12" s="1"/>
  <c r="K21" i="12"/>
  <c r="J21" i="12"/>
  <c r="AJ20" i="12"/>
  <c r="AI20" i="12"/>
  <c r="X20" i="12"/>
  <c r="AN20" i="12" s="1"/>
  <c r="V20" i="12"/>
  <c r="AL20" i="12" s="1"/>
  <c r="O20" i="12"/>
  <c r="N20" i="12"/>
  <c r="M20" i="12"/>
  <c r="AK20" i="12" s="1"/>
  <c r="L20" i="12"/>
  <c r="K20" i="12"/>
  <c r="Z20" i="12" s="1"/>
  <c r="AB20" i="12" s="1"/>
  <c r="J20" i="12"/>
  <c r="Y20" i="12" s="1"/>
  <c r="AO19" i="12"/>
  <c r="AK19" i="12"/>
  <c r="AJ19" i="12"/>
  <c r="AQ19" i="12" s="1"/>
  <c r="AD19" i="12"/>
  <c r="AC19" i="12"/>
  <c r="AE19" i="12" s="1"/>
  <c r="Z19" i="12"/>
  <c r="AB19" i="12" s="1"/>
  <c r="X19" i="12"/>
  <c r="AN19" i="12" s="1"/>
  <c r="W19" i="12"/>
  <c r="AM19" i="12" s="1"/>
  <c r="V19" i="12"/>
  <c r="AL19" i="12" s="1"/>
  <c r="Q19" i="12"/>
  <c r="O19" i="12"/>
  <c r="N19" i="12"/>
  <c r="M19" i="12"/>
  <c r="L19" i="12"/>
  <c r="K19" i="12"/>
  <c r="J19" i="12"/>
  <c r="AV18" i="12"/>
  <c r="AO18" i="12"/>
  <c r="AN18" i="12"/>
  <c r="Y18" i="12"/>
  <c r="X18" i="12"/>
  <c r="W18" i="12"/>
  <c r="V18" i="12"/>
  <c r="AL18" i="12" s="1"/>
  <c r="O18" i="12"/>
  <c r="N18" i="12"/>
  <c r="M18" i="12"/>
  <c r="L18" i="12"/>
  <c r="K18" i="12"/>
  <c r="Z18" i="12" s="1"/>
  <c r="AB18" i="12" s="1"/>
  <c r="J18" i="12"/>
  <c r="AJ17" i="12"/>
  <c r="AI17" i="12"/>
  <c r="AB17" i="12"/>
  <c r="Y17" i="12"/>
  <c r="X17" i="12"/>
  <c r="AO17" i="12" s="1"/>
  <c r="W17" i="12"/>
  <c r="AM17" i="12" s="1"/>
  <c r="V17" i="12"/>
  <c r="AL17" i="12" s="1"/>
  <c r="O17" i="12"/>
  <c r="P17" i="12" s="1"/>
  <c r="N17" i="12"/>
  <c r="M17" i="12"/>
  <c r="AK17" i="12" s="1"/>
  <c r="AR17" i="12" s="1"/>
  <c r="L17" i="12"/>
  <c r="K17" i="12"/>
  <c r="Z17" i="12" s="1"/>
  <c r="J17" i="12"/>
  <c r="AN16" i="12"/>
  <c r="AI16" i="12"/>
  <c r="Z16" i="12"/>
  <c r="AB16" i="12" s="1"/>
  <c r="X16" i="12"/>
  <c r="V16" i="12"/>
  <c r="AL16" i="12" s="1"/>
  <c r="O16" i="12"/>
  <c r="N16" i="12"/>
  <c r="M16" i="12"/>
  <c r="AK16" i="12" s="1"/>
  <c r="AR16" i="12" s="1"/>
  <c r="L16" i="12"/>
  <c r="K16" i="12"/>
  <c r="AJ16" i="12" s="1"/>
  <c r="J16" i="12"/>
  <c r="Y16" i="12" s="1"/>
  <c r="AO15" i="12"/>
  <c r="AV15" i="12" s="1"/>
  <c r="AK15" i="12"/>
  <c r="AR15" i="12" s="1"/>
  <c r="AJ15" i="12"/>
  <c r="AQ15" i="12" s="1"/>
  <c r="AC15" i="12"/>
  <c r="AE15" i="12" s="1"/>
  <c r="AB15" i="12"/>
  <c r="AD15" i="12" s="1"/>
  <c r="Z15" i="12"/>
  <c r="Y15" i="12"/>
  <c r="X15" i="12"/>
  <c r="AN15" i="12" s="1"/>
  <c r="W15" i="12"/>
  <c r="AM15" i="12" s="1"/>
  <c r="V15" i="12"/>
  <c r="AL15" i="12" s="1"/>
  <c r="Q15" i="12"/>
  <c r="P15" i="12"/>
  <c r="O15" i="12"/>
  <c r="N15" i="12"/>
  <c r="M15" i="12"/>
  <c r="L15" i="12"/>
  <c r="AI15" i="12" s="1"/>
  <c r="K15" i="12"/>
  <c r="J15" i="12"/>
  <c r="X14" i="12"/>
  <c r="W14" i="12"/>
  <c r="AM14" i="12" s="1"/>
  <c r="V14" i="12"/>
  <c r="AL14" i="12" s="1"/>
  <c r="P14" i="12"/>
  <c r="O14" i="12"/>
  <c r="N14" i="12"/>
  <c r="M14" i="12"/>
  <c r="L14" i="12"/>
  <c r="K14" i="12"/>
  <c r="J14" i="12"/>
  <c r="Q14" i="12" s="1"/>
  <c r="AN13" i="12"/>
  <c r="AJ13" i="12"/>
  <c r="Z13" i="12"/>
  <c r="AB13" i="12" s="1"/>
  <c r="AC13" i="12" s="1"/>
  <c r="AE13" i="12" s="1"/>
  <c r="X13" i="12"/>
  <c r="V13" i="12"/>
  <c r="AL13" i="12" s="1"/>
  <c r="Q13" i="12"/>
  <c r="O13" i="12"/>
  <c r="N13" i="12"/>
  <c r="M13" i="12"/>
  <c r="AK13" i="12" s="1"/>
  <c r="L13" i="12"/>
  <c r="K13" i="12"/>
  <c r="J13" i="12"/>
  <c r="AO12" i="12"/>
  <c r="AV12" i="12" s="1"/>
  <c r="Y12" i="12"/>
  <c r="X12" i="12"/>
  <c r="AN12" i="12" s="1"/>
  <c r="W12" i="12"/>
  <c r="AM12" i="12" s="1"/>
  <c r="V12" i="12"/>
  <c r="AL12" i="12" s="1"/>
  <c r="O12" i="12"/>
  <c r="N12" i="12"/>
  <c r="M12" i="12"/>
  <c r="L12" i="12"/>
  <c r="K12" i="12"/>
  <c r="J12" i="12"/>
  <c r="AI12" i="12" s="1"/>
  <c r="AN11" i="12"/>
  <c r="AK11" i="12"/>
  <c r="X11" i="12"/>
  <c r="V11" i="12"/>
  <c r="AL11" i="12" s="1"/>
  <c r="O11" i="12"/>
  <c r="N11" i="12"/>
  <c r="M11" i="12"/>
  <c r="L11" i="12"/>
  <c r="K11" i="12"/>
  <c r="J11" i="12"/>
  <c r="AO10" i="12"/>
  <c r="AL10" i="12"/>
  <c r="AD10" i="12"/>
  <c r="Z10" i="12"/>
  <c r="AB10" i="12" s="1"/>
  <c r="AC10" i="12" s="1"/>
  <c r="AE10" i="12" s="1"/>
  <c r="Y10" i="12"/>
  <c r="X10" i="12"/>
  <c r="AN10" i="12" s="1"/>
  <c r="W10" i="12"/>
  <c r="AM10" i="12" s="1"/>
  <c r="V10" i="12"/>
  <c r="O10" i="12"/>
  <c r="N10" i="12"/>
  <c r="M10" i="12"/>
  <c r="AK10" i="12" s="1"/>
  <c r="L10" i="12"/>
  <c r="K10" i="12"/>
  <c r="AJ10" i="12" s="1"/>
  <c r="J10" i="12"/>
  <c r="AK9" i="12"/>
  <c r="Y9" i="12"/>
  <c r="X9" i="12"/>
  <c r="V9" i="12"/>
  <c r="P9" i="12"/>
  <c r="O9" i="12"/>
  <c r="N9" i="12"/>
  <c r="M9" i="12"/>
  <c r="L9" i="12"/>
  <c r="K9" i="12"/>
  <c r="J9" i="12"/>
  <c r="Q9" i="12" s="1"/>
  <c r="AI8" i="12"/>
  <c r="Y8" i="12"/>
  <c r="X8" i="12"/>
  <c r="AN8" i="12" s="1"/>
  <c r="W8" i="12"/>
  <c r="AO8" i="12" s="1"/>
  <c r="AV8" i="12" s="1"/>
  <c r="V8" i="12"/>
  <c r="AL8" i="12" s="1"/>
  <c r="O8" i="12"/>
  <c r="N8" i="12"/>
  <c r="M8" i="12"/>
  <c r="AK8" i="12" s="1"/>
  <c r="L8" i="12"/>
  <c r="K8" i="12"/>
  <c r="AJ8" i="12" s="1"/>
  <c r="AQ8" i="12" s="1"/>
  <c r="J8" i="12"/>
  <c r="Q8" i="12" s="1"/>
  <c r="Z7" i="12"/>
  <c r="AB7" i="12" s="1"/>
  <c r="AC7" i="12" s="1"/>
  <c r="AE7" i="12" s="1"/>
  <c r="Y7" i="12"/>
  <c r="X7" i="12"/>
  <c r="AN7" i="12" s="1"/>
  <c r="V7" i="12"/>
  <c r="Q7" i="12"/>
  <c r="O7" i="12"/>
  <c r="N7" i="12"/>
  <c r="M7" i="12"/>
  <c r="L7" i="12"/>
  <c r="AA7" i="12" s="1"/>
  <c r="K7" i="12"/>
  <c r="J7" i="12"/>
  <c r="AI7" i="12" s="1"/>
  <c r="AV6" i="12"/>
  <c r="AI6" i="12"/>
  <c r="AB6" i="12"/>
  <c r="AA6" i="12"/>
  <c r="Z6" i="12"/>
  <c r="Y6" i="12"/>
  <c r="X6" i="12"/>
  <c r="AO6" i="12" s="1"/>
  <c r="W6" i="12"/>
  <c r="V6" i="12"/>
  <c r="AL6" i="12" s="1"/>
  <c r="O6" i="12"/>
  <c r="Q6" i="12" s="1"/>
  <c r="N6" i="12"/>
  <c r="M6" i="12"/>
  <c r="AK6" i="12" s="1"/>
  <c r="AR6" i="12" s="1"/>
  <c r="L6" i="12"/>
  <c r="AJ6" i="12" s="1"/>
  <c r="AQ6" i="12" s="1"/>
  <c r="K6" i="12"/>
  <c r="J6" i="12"/>
  <c r="AV5" i="12"/>
  <c r="AA5" i="12"/>
  <c r="X5" i="12"/>
  <c r="AO5" i="12" s="1"/>
  <c r="W5" i="12"/>
  <c r="AM5" i="12" s="1"/>
  <c r="V5" i="12"/>
  <c r="AL5" i="12" s="1"/>
  <c r="O5" i="12"/>
  <c r="N5" i="12"/>
  <c r="M5" i="12"/>
  <c r="L5" i="12"/>
  <c r="AK5" i="12" s="1"/>
  <c r="K5" i="12"/>
  <c r="J5" i="12"/>
  <c r="AI5" i="12" s="1"/>
  <c r="AN4" i="12"/>
  <c r="AK4" i="12"/>
  <c r="AR4" i="12" s="1"/>
  <c r="AJ4" i="12"/>
  <c r="Z4" i="12"/>
  <c r="AB4" i="12" s="1"/>
  <c r="AD4" i="12" s="1"/>
  <c r="X4" i="12"/>
  <c r="V4" i="12"/>
  <c r="AL4" i="12" s="1"/>
  <c r="P4" i="12"/>
  <c r="O4" i="12"/>
  <c r="N4" i="12"/>
  <c r="M4" i="12"/>
  <c r="L4" i="12"/>
  <c r="AA4" i="12" s="1"/>
  <c r="K4" i="12"/>
  <c r="J4" i="12"/>
  <c r="Q4" i="12" s="1"/>
  <c r="AM3" i="12"/>
  <c r="AB3" i="12"/>
  <c r="Y3" i="12"/>
  <c r="X3" i="12"/>
  <c r="AN3" i="12" s="1"/>
  <c r="W3" i="12"/>
  <c r="AO3" i="12" s="1"/>
  <c r="AV3" i="12" s="1"/>
  <c r="V3" i="12"/>
  <c r="O3" i="12"/>
  <c r="N3" i="12"/>
  <c r="M3" i="12"/>
  <c r="AK3" i="12" s="1"/>
  <c r="AR3" i="12" s="1"/>
  <c r="L3" i="12"/>
  <c r="K3" i="12"/>
  <c r="Z3" i="12" s="1"/>
  <c r="J3" i="12"/>
  <c r="AM16" i="25"/>
  <c r="AL16" i="25"/>
  <c r="AK16" i="25"/>
  <c r="AR3" i="25" s="1"/>
  <c r="X16" i="25"/>
  <c r="V16" i="25"/>
  <c r="S16" i="25"/>
  <c r="W16" i="25" s="1"/>
  <c r="O16" i="25"/>
  <c r="K16" i="25"/>
  <c r="Z9" i="25" s="1"/>
  <c r="AB9" i="25" s="1"/>
  <c r="J16" i="25"/>
  <c r="AI16" i="25" s="1"/>
  <c r="I16" i="25"/>
  <c r="H16" i="25"/>
  <c r="N16" i="25" s="1"/>
  <c r="G16" i="25"/>
  <c r="M16" i="25" s="1"/>
  <c r="F16" i="25"/>
  <c r="L16" i="25" s="1"/>
  <c r="E16" i="25"/>
  <c r="D16" i="25"/>
  <c r="AJ15" i="25"/>
  <c r="AA15" i="25"/>
  <c r="X15" i="25"/>
  <c r="AO15" i="25" s="1"/>
  <c r="W15" i="25"/>
  <c r="V15" i="25"/>
  <c r="AL15" i="25" s="1"/>
  <c r="AS15" i="25" s="1"/>
  <c r="P15" i="25"/>
  <c r="O15" i="25"/>
  <c r="Q15" i="25" s="1"/>
  <c r="N15" i="25"/>
  <c r="M15" i="25"/>
  <c r="L15" i="25"/>
  <c r="AK15" i="25" s="1"/>
  <c r="AR15" i="25" s="1"/>
  <c r="K15" i="25"/>
  <c r="J15" i="25"/>
  <c r="Y15" i="25" s="1"/>
  <c r="AA14" i="25"/>
  <c r="X14" i="25"/>
  <c r="AO14" i="25" s="1"/>
  <c r="W14" i="25"/>
  <c r="AM14" i="25" s="1"/>
  <c r="AT14" i="25" s="1"/>
  <c r="V14" i="25"/>
  <c r="AL14" i="25" s="1"/>
  <c r="AS14" i="25" s="1"/>
  <c r="O14" i="25"/>
  <c r="N14" i="25"/>
  <c r="M14" i="25"/>
  <c r="AK14" i="25" s="1"/>
  <c r="L14" i="25"/>
  <c r="K14" i="25"/>
  <c r="J14" i="25"/>
  <c r="AK13" i="25"/>
  <c r="AJ13" i="25"/>
  <c r="AA13" i="25"/>
  <c r="W13" i="25"/>
  <c r="AM13" i="25" s="1"/>
  <c r="O13" i="25"/>
  <c r="N13" i="25"/>
  <c r="M13" i="25"/>
  <c r="L13" i="25"/>
  <c r="K13" i="25"/>
  <c r="J13" i="25"/>
  <c r="AT12" i="25"/>
  <c r="AO12" i="25"/>
  <c r="AK12" i="25"/>
  <c r="AR12" i="25" s="1"/>
  <c r="AJ12" i="25"/>
  <c r="Y12" i="25"/>
  <c r="X12" i="25"/>
  <c r="AN12" i="25" s="1"/>
  <c r="W12" i="25"/>
  <c r="AM12" i="25" s="1"/>
  <c r="V12" i="25"/>
  <c r="AL12" i="25" s="1"/>
  <c r="AS12" i="25" s="1"/>
  <c r="Q12" i="25"/>
  <c r="P12" i="25"/>
  <c r="O12" i="25"/>
  <c r="N12" i="25"/>
  <c r="M12" i="25"/>
  <c r="L12" i="25"/>
  <c r="K12" i="25"/>
  <c r="Z12" i="25" s="1"/>
  <c r="AB12" i="25" s="1"/>
  <c r="J12" i="25"/>
  <c r="AI12" i="25" s="1"/>
  <c r="AP12" i="25" s="1"/>
  <c r="AJ11" i="25"/>
  <c r="Y11" i="25"/>
  <c r="X11" i="25"/>
  <c r="AN11" i="25" s="1"/>
  <c r="W11" i="25"/>
  <c r="AM11" i="25" s="1"/>
  <c r="AT11" i="25" s="1"/>
  <c r="V11" i="25"/>
  <c r="AL11" i="25" s="1"/>
  <c r="AS11" i="25" s="1"/>
  <c r="P11" i="25"/>
  <c r="O11" i="25"/>
  <c r="N11" i="25"/>
  <c r="M11" i="25"/>
  <c r="AK11" i="25" s="1"/>
  <c r="AR11" i="25" s="1"/>
  <c r="L11" i="25"/>
  <c r="AA11" i="25" s="1"/>
  <c r="K11" i="25"/>
  <c r="J11" i="25"/>
  <c r="AP10" i="25"/>
  <c r="AM10" i="25"/>
  <c r="AK10" i="25"/>
  <c r="AI10" i="25"/>
  <c r="AA10" i="25"/>
  <c r="Y10" i="25"/>
  <c r="X10" i="25"/>
  <c r="AN10" i="25" s="1"/>
  <c r="W10" i="25"/>
  <c r="AO10" i="25" s="1"/>
  <c r="V10" i="25"/>
  <c r="AL10" i="25" s="1"/>
  <c r="AS10" i="25" s="1"/>
  <c r="O10" i="25"/>
  <c r="Q10" i="25" s="1"/>
  <c r="N10" i="25"/>
  <c r="P10" i="25" s="1"/>
  <c r="M10" i="25"/>
  <c r="L10" i="25"/>
  <c r="K10" i="25"/>
  <c r="Z10" i="25" s="1"/>
  <c r="AB10" i="25" s="1"/>
  <c r="J10" i="25"/>
  <c r="AL9" i="25"/>
  <c r="AS9" i="25" s="1"/>
  <c r="AA9" i="25"/>
  <c r="Y9" i="25"/>
  <c r="X9" i="25"/>
  <c r="AN9" i="25" s="1"/>
  <c r="V9" i="25"/>
  <c r="O9" i="25"/>
  <c r="N9" i="25"/>
  <c r="M9" i="25"/>
  <c r="L9" i="25"/>
  <c r="AJ9" i="25" s="1"/>
  <c r="K9" i="25"/>
  <c r="J9" i="25"/>
  <c r="AJ8" i="25"/>
  <c r="AI8" i="25"/>
  <c r="AP8" i="25" s="1"/>
  <c r="X8" i="25"/>
  <c r="AO8" i="25" s="1"/>
  <c r="W8" i="25"/>
  <c r="V8" i="25"/>
  <c r="AL8" i="25" s="1"/>
  <c r="AS8" i="25" s="1"/>
  <c r="Q8" i="25"/>
  <c r="P8" i="25"/>
  <c r="O8" i="25"/>
  <c r="N8" i="25"/>
  <c r="M8" i="25"/>
  <c r="L8" i="25"/>
  <c r="AA8" i="25" s="1"/>
  <c r="K8" i="25"/>
  <c r="J8" i="25"/>
  <c r="Y8" i="25" s="1"/>
  <c r="AI7" i="25"/>
  <c r="AP7" i="25" s="1"/>
  <c r="AA7" i="25"/>
  <c r="X7" i="25"/>
  <c r="W7" i="25"/>
  <c r="AM7" i="25" s="1"/>
  <c r="AT7" i="25" s="1"/>
  <c r="V7" i="25"/>
  <c r="AL7" i="25" s="1"/>
  <c r="AS7" i="25" s="1"/>
  <c r="O7" i="25"/>
  <c r="N7" i="25"/>
  <c r="M7" i="25"/>
  <c r="AK7" i="25" s="1"/>
  <c r="L7" i="25"/>
  <c r="K7" i="25"/>
  <c r="J7" i="25"/>
  <c r="AT6" i="25"/>
  <c r="AP6" i="25"/>
  <c r="AO6" i="25"/>
  <c r="AL6" i="25"/>
  <c r="AJ6" i="25"/>
  <c r="AI6" i="25"/>
  <c r="AA6" i="25"/>
  <c r="Z6" i="25"/>
  <c r="AB6" i="25" s="1"/>
  <c r="AC6" i="25" s="1"/>
  <c r="AE6" i="25" s="1"/>
  <c r="Y6" i="25"/>
  <c r="X6" i="25"/>
  <c r="AN6" i="25" s="1"/>
  <c r="W6" i="25"/>
  <c r="AM6" i="25" s="1"/>
  <c r="V6" i="25"/>
  <c r="O6" i="25"/>
  <c r="N6" i="25"/>
  <c r="M6" i="25"/>
  <c r="AK6" i="25" s="1"/>
  <c r="AR6" i="25" s="1"/>
  <c r="L6" i="25"/>
  <c r="K6" i="25"/>
  <c r="J6" i="25"/>
  <c r="AO5" i="25"/>
  <c r="AL5" i="25"/>
  <c r="AS5" i="25" s="1"/>
  <c r="AK5" i="25"/>
  <c r="AR5" i="25" s="1"/>
  <c r="AJ5" i="25"/>
  <c r="Y5" i="25"/>
  <c r="X5" i="25"/>
  <c r="AN5" i="25" s="1"/>
  <c r="W5" i="25"/>
  <c r="AM5" i="25" s="1"/>
  <c r="AT5" i="25" s="1"/>
  <c r="V5" i="25"/>
  <c r="O5" i="25"/>
  <c r="N5" i="25"/>
  <c r="M5" i="25"/>
  <c r="P5" i="25" s="1"/>
  <c r="L5" i="25"/>
  <c r="K5" i="25"/>
  <c r="Z5" i="25" s="1"/>
  <c r="AB5" i="25" s="1"/>
  <c r="J5" i="25"/>
  <c r="AI5" i="25" s="1"/>
  <c r="AJ4" i="25"/>
  <c r="Y4" i="25"/>
  <c r="X4" i="25"/>
  <c r="AN4" i="25" s="1"/>
  <c r="W4" i="25"/>
  <c r="AO4" i="25" s="1"/>
  <c r="V4" i="25"/>
  <c r="AL4" i="25" s="1"/>
  <c r="AS4" i="25" s="1"/>
  <c r="P4" i="25"/>
  <c r="O4" i="25"/>
  <c r="N4" i="25"/>
  <c r="M4" i="25"/>
  <c r="L4" i="25"/>
  <c r="AA4" i="25" s="1"/>
  <c r="K4" i="25"/>
  <c r="J4" i="25"/>
  <c r="Q4" i="25" s="1"/>
  <c r="AK3" i="25"/>
  <c r="AI3" i="25"/>
  <c r="AP3" i="25" s="1"/>
  <c r="X3" i="25"/>
  <c r="AN3" i="25" s="1"/>
  <c r="W3" i="25"/>
  <c r="AO3" i="25" s="1"/>
  <c r="V3" i="25"/>
  <c r="AL3" i="25" s="1"/>
  <c r="AS3" i="25" s="1"/>
  <c r="O3" i="25"/>
  <c r="Q3" i="25" s="1"/>
  <c r="N3" i="25"/>
  <c r="M3" i="25"/>
  <c r="L3" i="25"/>
  <c r="K3" i="25"/>
  <c r="Z3" i="25" s="1"/>
  <c r="AB3" i="25" s="1"/>
  <c r="Y3" i="25"/>
  <c r="M6" i="28"/>
  <c r="L6" i="28"/>
  <c r="K6" i="28"/>
  <c r="J6" i="28"/>
  <c r="I6" i="28"/>
  <c r="AA6" i="28" s="1"/>
  <c r="H6" i="28"/>
  <c r="Z5" i="28"/>
  <c r="Q5" i="28"/>
  <c r="S5" i="28" s="1"/>
  <c r="U5" i="28" s="1"/>
  <c r="O5" i="28"/>
  <c r="M5" i="28"/>
  <c r="L5" i="28"/>
  <c r="K5" i="28"/>
  <c r="J5" i="28"/>
  <c r="R5" i="28" s="1"/>
  <c r="I5" i="28"/>
  <c r="H5" i="28"/>
  <c r="P5" i="28" s="1"/>
  <c r="AB4" i="28"/>
  <c r="Z4" i="28"/>
  <c r="P4" i="28"/>
  <c r="O4" i="28"/>
  <c r="M4" i="28"/>
  <c r="L4" i="28"/>
  <c r="K4" i="28"/>
  <c r="J4" i="28"/>
  <c r="I4" i="28"/>
  <c r="AA4" i="28" s="1"/>
  <c r="H4" i="28"/>
  <c r="AB3" i="28"/>
  <c r="Z3" i="28"/>
  <c r="Q3" i="28"/>
  <c r="S3" i="28" s="1"/>
  <c r="U3" i="28" s="1"/>
  <c r="O3" i="28"/>
  <c r="M3" i="28"/>
  <c r="L3" i="28"/>
  <c r="K3" i="28"/>
  <c r="J3" i="28"/>
  <c r="R3" i="28" s="1"/>
  <c r="I3" i="28"/>
  <c r="H3" i="28"/>
  <c r="N3" i="28" s="1"/>
  <c r="AC11" i="11"/>
  <c r="AB11" i="11"/>
  <c r="AH6" i="11" s="1"/>
  <c r="AA11" i="11"/>
  <c r="Z11" i="11"/>
  <c r="AF8" i="11" s="1"/>
  <c r="Y11" i="11"/>
  <c r="X11" i="11"/>
  <c r="AF10" i="11"/>
  <c r="AD10" i="11"/>
  <c r="AC10" i="11"/>
  <c r="AI10" i="11" s="1"/>
  <c r="AB10" i="11"/>
  <c r="AA10" i="11"/>
  <c r="AG10" i="11" s="1"/>
  <c r="Z10" i="11"/>
  <c r="Y10" i="11"/>
  <c r="X10" i="11"/>
  <c r="U10" i="11"/>
  <c r="T10" i="11"/>
  <c r="V10" i="11" s="1"/>
  <c r="W10" i="11" s="1"/>
  <c r="S10" i="11"/>
  <c r="Q10" i="11"/>
  <c r="R10" i="11" s="1"/>
  <c r="P10" i="11"/>
  <c r="O10" i="11"/>
  <c r="N10" i="11"/>
  <c r="J10" i="11"/>
  <c r="I10" i="11"/>
  <c r="AI9" i="11"/>
  <c r="AF9" i="11"/>
  <c r="AC9" i="11"/>
  <c r="AB9" i="11"/>
  <c r="AA9" i="11"/>
  <c r="AG9" i="11" s="1"/>
  <c r="Z9" i="11"/>
  <c r="Y9" i="11"/>
  <c r="AE9" i="11" s="1"/>
  <c r="X9" i="11"/>
  <c r="AD9" i="11" s="1"/>
  <c r="U9" i="11"/>
  <c r="S9" i="11"/>
  <c r="Q9" i="11"/>
  <c r="R9" i="11" s="1"/>
  <c r="T9" i="11" s="1"/>
  <c r="V9" i="11" s="1"/>
  <c r="W9" i="11" s="1"/>
  <c r="P9" i="11"/>
  <c r="O9" i="11"/>
  <c r="N9" i="11"/>
  <c r="J9" i="11"/>
  <c r="I9" i="11"/>
  <c r="AD8" i="11"/>
  <c r="AC8" i="11"/>
  <c r="AI8" i="11" s="1"/>
  <c r="AB8" i="11"/>
  <c r="AA8" i="11"/>
  <c r="AG8" i="11" s="1"/>
  <c r="Z8" i="11"/>
  <c r="Y8" i="11"/>
  <c r="X8" i="11"/>
  <c r="S8" i="11"/>
  <c r="U8" i="11" s="1"/>
  <c r="Q8" i="11"/>
  <c r="R8" i="11" s="1"/>
  <c r="T8" i="11" s="1"/>
  <c r="V8" i="11" s="1"/>
  <c r="W8" i="11" s="1"/>
  <c r="P8" i="11"/>
  <c r="O8" i="11"/>
  <c r="N8" i="11"/>
  <c r="J8" i="11"/>
  <c r="I8" i="11"/>
  <c r="AI7" i="11"/>
  <c r="AF7" i="11"/>
  <c r="AD7" i="11"/>
  <c r="AC7" i="11"/>
  <c r="AB7" i="11"/>
  <c r="AA7" i="11"/>
  <c r="AG7" i="11" s="1"/>
  <c r="Z7" i="11"/>
  <c r="Y7" i="11"/>
  <c r="AE7" i="11" s="1"/>
  <c r="X7" i="11"/>
  <c r="U7" i="11"/>
  <c r="S7" i="11"/>
  <c r="Q7" i="11"/>
  <c r="R7" i="11" s="1"/>
  <c r="T7" i="11" s="1"/>
  <c r="V7" i="11" s="1"/>
  <c r="W7" i="11" s="1"/>
  <c r="P7" i="11"/>
  <c r="O7" i="11"/>
  <c r="N7" i="11"/>
  <c r="J7" i="11"/>
  <c r="I7" i="11"/>
  <c r="AB6" i="11"/>
  <c r="Z6" i="11"/>
  <c r="Y6" i="11"/>
  <c r="AE6" i="11" s="1"/>
  <c r="X6" i="11"/>
  <c r="AD6" i="11" s="1"/>
  <c r="T6" i="11"/>
  <c r="V6" i="11" s="1"/>
  <c r="W6" i="11" s="1"/>
  <c r="R6" i="11"/>
  <c r="Q6" i="11"/>
  <c r="S6" i="11" s="1"/>
  <c r="U6" i="11" s="1"/>
  <c r="P6" i="11"/>
  <c r="O6" i="11"/>
  <c r="N6" i="11"/>
  <c r="J6" i="11"/>
  <c r="I6" i="11"/>
  <c r="AH5" i="11"/>
  <c r="AG5" i="11"/>
  <c r="AC5" i="11"/>
  <c r="AI5" i="11" s="1"/>
  <c r="AB5" i="11"/>
  <c r="AA5" i="11"/>
  <c r="Z5" i="11"/>
  <c r="AF5" i="11" s="1"/>
  <c r="Y5" i="11"/>
  <c r="AE5" i="11" s="1"/>
  <c r="X5" i="11"/>
  <c r="AD5" i="11" s="1"/>
  <c r="P5" i="11"/>
  <c r="O5" i="11"/>
  <c r="Q5" i="11" s="1"/>
  <c r="N5" i="11"/>
  <c r="J5" i="11"/>
  <c r="I5" i="11"/>
  <c r="AG4" i="11"/>
  <c r="AF4" i="11"/>
  <c r="AE4" i="11"/>
  <c r="AC4" i="11"/>
  <c r="AI4" i="11" s="1"/>
  <c r="AB4" i="11"/>
  <c r="AH4" i="11" s="1"/>
  <c r="AA4" i="11"/>
  <c r="Z4" i="11"/>
  <c r="Y4" i="11"/>
  <c r="X4" i="11"/>
  <c r="AD4" i="11" s="1"/>
  <c r="Q4" i="11"/>
  <c r="S4" i="11" s="1"/>
  <c r="U4" i="11" s="1"/>
  <c r="P4" i="11"/>
  <c r="O4" i="11"/>
  <c r="N4" i="11"/>
  <c r="J4" i="11"/>
  <c r="I4" i="11"/>
  <c r="AG3" i="11"/>
  <c r="AF3" i="11"/>
  <c r="AC3" i="11"/>
  <c r="AI3" i="11" s="1"/>
  <c r="AB3" i="11"/>
  <c r="AA3" i="11"/>
  <c r="Z3" i="11"/>
  <c r="Y3" i="11"/>
  <c r="AE3" i="11" s="1"/>
  <c r="X3" i="11"/>
  <c r="AD3" i="11" s="1"/>
  <c r="P3" i="11"/>
  <c r="O3" i="11"/>
  <c r="Q3" i="11" s="1"/>
  <c r="N3" i="11"/>
  <c r="J3" i="11"/>
  <c r="I3" i="11"/>
  <c r="AC11" i="43"/>
  <c r="AB11" i="43"/>
  <c r="AA11" i="43"/>
  <c r="Z11" i="43"/>
  <c r="Y11" i="43"/>
  <c r="X11" i="43"/>
  <c r="AH10" i="43"/>
  <c r="AG10" i="43"/>
  <c r="AC10" i="43"/>
  <c r="AB10" i="43"/>
  <c r="AA10" i="43"/>
  <c r="Z10" i="43"/>
  <c r="AF10" i="43" s="1"/>
  <c r="Y10" i="43"/>
  <c r="AE10" i="43" s="1"/>
  <c r="X10" i="43"/>
  <c r="Q10" i="43"/>
  <c r="S10" i="43" s="1"/>
  <c r="U10" i="43" s="1"/>
  <c r="P10" i="43"/>
  <c r="O10" i="43"/>
  <c r="N10" i="43"/>
  <c r="J10" i="43"/>
  <c r="I10" i="43"/>
  <c r="AI9" i="43"/>
  <c r="AH9" i="43"/>
  <c r="AG9" i="43"/>
  <c r="AF9" i="43"/>
  <c r="AC9" i="43"/>
  <c r="AB9" i="43"/>
  <c r="AA9" i="43"/>
  <c r="Z9" i="43"/>
  <c r="Y9" i="43"/>
  <c r="AE9" i="43" s="1"/>
  <c r="X9" i="43"/>
  <c r="AD9" i="43" s="1"/>
  <c r="Q9" i="43"/>
  <c r="S9" i="43" s="1"/>
  <c r="U9" i="43" s="1"/>
  <c r="P9" i="43"/>
  <c r="O9" i="43"/>
  <c r="N9" i="43"/>
  <c r="J9" i="43"/>
  <c r="I9" i="43"/>
  <c r="AI8" i="43"/>
  <c r="AH8" i="43"/>
  <c r="AG8" i="43"/>
  <c r="AF8" i="43"/>
  <c r="AC8" i="43"/>
  <c r="AB8" i="43"/>
  <c r="AA8" i="43"/>
  <c r="Z8" i="43"/>
  <c r="Y8" i="43"/>
  <c r="AE8" i="43" s="1"/>
  <c r="X8" i="43"/>
  <c r="AD8" i="43" s="1"/>
  <c r="Q8" i="43"/>
  <c r="S8" i="43" s="1"/>
  <c r="U8" i="43" s="1"/>
  <c r="P8" i="43"/>
  <c r="O8" i="43"/>
  <c r="N8" i="43"/>
  <c r="J8" i="43"/>
  <c r="I8" i="43"/>
  <c r="AI7" i="43"/>
  <c r="AH7" i="43"/>
  <c r="AG7" i="43"/>
  <c r="AF7" i="43"/>
  <c r="AC7" i="43"/>
  <c r="AB7" i="43"/>
  <c r="AA7" i="43"/>
  <c r="Z7" i="43"/>
  <c r="Y7" i="43"/>
  <c r="AE7" i="43" s="1"/>
  <c r="X7" i="43"/>
  <c r="AD7" i="43" s="1"/>
  <c r="Q7" i="43"/>
  <c r="S7" i="43" s="1"/>
  <c r="U7" i="43" s="1"/>
  <c r="P7" i="43"/>
  <c r="O7" i="43"/>
  <c r="N7" i="43"/>
  <c r="J7" i="43"/>
  <c r="I7" i="43"/>
  <c r="AI6" i="43"/>
  <c r="AH6" i="43"/>
  <c r="AG6" i="43"/>
  <c r="AF6" i="43"/>
  <c r="AC6" i="43"/>
  <c r="AB6" i="43"/>
  <c r="AA6" i="43"/>
  <c r="Z6" i="43"/>
  <c r="Y6" i="43"/>
  <c r="AE6" i="43" s="1"/>
  <c r="X6" i="43"/>
  <c r="AD6" i="43" s="1"/>
  <c r="Q6" i="43"/>
  <c r="S6" i="43" s="1"/>
  <c r="U6" i="43" s="1"/>
  <c r="P6" i="43"/>
  <c r="O6" i="43"/>
  <c r="N6" i="43"/>
  <c r="J6" i="43"/>
  <c r="I6" i="43"/>
  <c r="AI5" i="43"/>
  <c r="AH5" i="43"/>
  <c r="AG5" i="43"/>
  <c r="AF5" i="43"/>
  <c r="AC5" i="43"/>
  <c r="AB5" i="43"/>
  <c r="AA5" i="43"/>
  <c r="Z5" i="43"/>
  <c r="Y5" i="43"/>
  <c r="AE5" i="43" s="1"/>
  <c r="X5" i="43"/>
  <c r="AD5" i="43" s="1"/>
  <c r="Q5" i="43"/>
  <c r="S5" i="43" s="1"/>
  <c r="U5" i="43" s="1"/>
  <c r="P5" i="43"/>
  <c r="O5" i="43"/>
  <c r="N5" i="43"/>
  <c r="J5" i="43"/>
  <c r="I5" i="43"/>
  <c r="AI4" i="43"/>
  <c r="AH4" i="43"/>
  <c r="AG4" i="43"/>
  <c r="AF4" i="43"/>
  <c r="AC4" i="43"/>
  <c r="AB4" i="43"/>
  <c r="AA4" i="43"/>
  <c r="Z4" i="43"/>
  <c r="Y4" i="43"/>
  <c r="AE4" i="43" s="1"/>
  <c r="X4" i="43"/>
  <c r="AD4" i="43" s="1"/>
  <c r="Q4" i="43"/>
  <c r="S4" i="43" s="1"/>
  <c r="U4" i="43" s="1"/>
  <c r="P4" i="43"/>
  <c r="O4" i="43"/>
  <c r="N4" i="43"/>
  <c r="J4" i="43"/>
  <c r="I4" i="43"/>
  <c r="AI3" i="43"/>
  <c r="AH3" i="43"/>
  <c r="AG3" i="43"/>
  <c r="AF3" i="43"/>
  <c r="AC3" i="43"/>
  <c r="AB3" i="43"/>
  <c r="AA3" i="43"/>
  <c r="Z3" i="43"/>
  <c r="Y3" i="43"/>
  <c r="AE3" i="43" s="1"/>
  <c r="X3" i="43"/>
  <c r="AD3" i="43" s="1"/>
  <c r="Q3" i="43"/>
  <c r="S3" i="43" s="1"/>
  <c r="U3" i="43" s="1"/>
  <c r="P3" i="43"/>
  <c r="O3" i="43"/>
  <c r="N3" i="43"/>
  <c r="J3" i="43"/>
  <c r="I3" i="43"/>
  <c r="Y19" i="82" l="1"/>
  <c r="Y18" i="82"/>
  <c r="AC9" i="25"/>
  <c r="AE9" i="25" s="1"/>
  <c r="AG9" i="25" s="1"/>
  <c r="AH9" i="25" s="1"/>
  <c r="AD9" i="25"/>
  <c r="S3" i="11"/>
  <c r="U3" i="11" s="1"/>
  <c r="R3" i="11"/>
  <c r="T3" i="11" s="1"/>
  <c r="V3" i="11" s="1"/>
  <c r="W3" i="11" s="1"/>
  <c r="AP5" i="12"/>
  <c r="AC12" i="25"/>
  <c r="AE12" i="25" s="1"/>
  <c r="AD12" i="25"/>
  <c r="AD13" i="11"/>
  <c r="AD23" i="12"/>
  <c r="AF23" i="12" s="1"/>
  <c r="AC23" i="12"/>
  <c r="AE23" i="12" s="1"/>
  <c r="AC17" i="7"/>
  <c r="AB17" i="7"/>
  <c r="AD17" i="7" s="1"/>
  <c r="AD5" i="25"/>
  <c r="AC5" i="25"/>
  <c r="AE5" i="25" s="1"/>
  <c r="AS22" i="12"/>
  <c r="AD10" i="25"/>
  <c r="AC10" i="25"/>
  <c r="AE10" i="25" s="1"/>
  <c r="AS16" i="12"/>
  <c r="AD20" i="12"/>
  <c r="AC20" i="12"/>
  <c r="AE20" i="12" s="1"/>
  <c r="AG20" i="12" s="1"/>
  <c r="AH20" i="12" s="1"/>
  <c r="Y9" i="3"/>
  <c r="AA9" i="3" s="1"/>
  <c r="X9" i="3"/>
  <c r="S5" i="11"/>
  <c r="U5" i="11" s="1"/>
  <c r="R5" i="11"/>
  <c r="T5" i="11" s="1"/>
  <c r="V5" i="11" s="1"/>
  <c r="W5" i="11" s="1"/>
  <c r="AD3" i="25"/>
  <c r="AC3" i="25"/>
  <c r="AE3" i="25" s="1"/>
  <c r="AU11" i="25"/>
  <c r="AJ5" i="12"/>
  <c r="AQ5" i="12" s="1"/>
  <c r="Z5" i="12"/>
  <c r="AB5" i="12" s="1"/>
  <c r="AD6" i="12"/>
  <c r="AF6" i="12" s="1"/>
  <c r="AC6" i="12"/>
  <c r="AE6" i="12" s="1"/>
  <c r="Q10" i="76"/>
  <c r="P10" i="76"/>
  <c r="AB10" i="76"/>
  <c r="S13" i="76"/>
  <c r="U13" i="76" s="1"/>
  <c r="AP11" i="7"/>
  <c r="P15" i="7"/>
  <c r="AT15" i="7"/>
  <c r="AI16" i="7"/>
  <c r="Y16" i="7"/>
  <c r="AA16" i="7" s="1"/>
  <c r="P17" i="7"/>
  <c r="AE6" i="27"/>
  <c r="AC11" i="27"/>
  <c r="AE11" i="27" s="1"/>
  <c r="AB11" i="27"/>
  <c r="AD11" i="27" s="1"/>
  <c r="Z16" i="27"/>
  <c r="AJ18" i="27"/>
  <c r="AQ3" i="27" s="1"/>
  <c r="AG10" i="8"/>
  <c r="AH10" i="8"/>
  <c r="AJ10" i="8" s="1"/>
  <c r="AH13" i="8"/>
  <c r="AJ13" i="8" s="1"/>
  <c r="AE19" i="8"/>
  <c r="AM19" i="8"/>
  <c r="AG30" i="8"/>
  <c r="AH30" i="8"/>
  <c r="AJ30" i="8" s="1"/>
  <c r="AS54" i="8"/>
  <c r="AZ54" i="8" s="1"/>
  <c r="AR54" i="8"/>
  <c r="W5" i="28"/>
  <c r="Q14" i="25"/>
  <c r="P14" i="25"/>
  <c r="Y14" i="25"/>
  <c r="AR10" i="12"/>
  <c r="Q15" i="76"/>
  <c r="P15" i="76"/>
  <c r="AB15" i="76"/>
  <c r="AJ10" i="7"/>
  <c r="AQ10" i="7" s="1"/>
  <c r="P10" i="7"/>
  <c r="O10" i="7"/>
  <c r="AC12" i="7"/>
  <c r="AE12" i="7" s="1"/>
  <c r="AB12" i="7"/>
  <c r="AD12" i="7" s="1"/>
  <c r="P16" i="7"/>
  <c r="O16" i="7"/>
  <c r="AH16" i="7"/>
  <c r="AO16" i="7" s="1"/>
  <c r="X16" i="7"/>
  <c r="AD40" i="5"/>
  <c r="Q40" i="5"/>
  <c r="P40" i="5"/>
  <c r="T40" i="5"/>
  <c r="R4" i="11"/>
  <c r="T4" i="11" s="1"/>
  <c r="V4" i="11" s="1"/>
  <c r="W4" i="11" s="1"/>
  <c r="AM4" i="25"/>
  <c r="AT4" i="25" s="1"/>
  <c r="AP17" i="12"/>
  <c r="AG10" i="3"/>
  <c r="AK10" i="3" s="1"/>
  <c r="AF10" i="3"/>
  <c r="AJ10" i="3" s="1"/>
  <c r="V10" i="3"/>
  <c r="Y15" i="3"/>
  <c r="AA15" i="3" s="1"/>
  <c r="X15" i="3"/>
  <c r="Z15" i="3" s="1"/>
  <c r="W5" i="76"/>
  <c r="V5" i="76"/>
  <c r="X5" i="76" s="1"/>
  <c r="Z5" i="76" s="1"/>
  <c r="AA5" i="76" s="1"/>
  <c r="R3" i="43"/>
  <c r="T3" i="43" s="1"/>
  <c r="V3" i="43" s="1"/>
  <c r="W3" i="43" s="1"/>
  <c r="R4" i="43"/>
  <c r="T4" i="43" s="1"/>
  <c r="V4" i="43" s="1"/>
  <c r="W4" i="43" s="1"/>
  <c r="R5" i="43"/>
  <c r="T5" i="43" s="1"/>
  <c r="V5" i="43" s="1"/>
  <c r="W5" i="43" s="1"/>
  <c r="R6" i="43"/>
  <c r="T6" i="43" s="1"/>
  <c r="V6" i="43" s="1"/>
  <c r="W6" i="43" s="1"/>
  <c r="R7" i="43"/>
  <c r="T7" i="43" s="1"/>
  <c r="V7" i="43" s="1"/>
  <c r="W7" i="43" s="1"/>
  <c r="R8" i="43"/>
  <c r="T8" i="43" s="1"/>
  <c r="V8" i="43" s="1"/>
  <c r="W8" i="43" s="1"/>
  <c r="R9" i="43"/>
  <c r="T9" i="43" s="1"/>
  <c r="V9" i="43" s="1"/>
  <c r="W9" i="43" s="1"/>
  <c r="R10" i="43"/>
  <c r="T10" i="43" s="1"/>
  <c r="V10" i="43" s="1"/>
  <c r="W10" i="43" s="1"/>
  <c r="AH3" i="11"/>
  <c r="P3" i="28"/>
  <c r="AJ3" i="25"/>
  <c r="Z4" i="25"/>
  <c r="AB4" i="25" s="1"/>
  <c r="AD6" i="25"/>
  <c r="AM8" i="25"/>
  <c r="AT8" i="25" s="1"/>
  <c r="AK8" i="25"/>
  <c r="AR8" i="25" s="1"/>
  <c r="AR10" i="25"/>
  <c r="AQ4" i="12"/>
  <c r="P6" i="12"/>
  <c r="AJ7" i="12"/>
  <c r="AQ7" i="12" s="1"/>
  <c r="AR9" i="12"/>
  <c r="AT12" i="12"/>
  <c r="P13" i="12"/>
  <c r="AI13" i="12"/>
  <c r="AP13" i="12" s="1"/>
  <c r="Y13" i="12"/>
  <c r="AJ14" i="12"/>
  <c r="AQ14" i="12" s="1"/>
  <c r="Z14" i="12"/>
  <c r="AB14" i="12" s="1"/>
  <c r="AO14" i="12"/>
  <c r="AV14" i="12" s="1"/>
  <c r="AR19" i="12"/>
  <c r="AR20" i="12"/>
  <c r="AQ20" i="12"/>
  <c r="AC21" i="12"/>
  <c r="AE21" i="12" s="1"/>
  <c r="AI24" i="12"/>
  <c r="AP8" i="12" s="1"/>
  <c r="AF10" i="12"/>
  <c r="AG10" i="12" s="1"/>
  <c r="AH10" i="12" s="1"/>
  <c r="AA19" i="12"/>
  <c r="AF20" i="12"/>
  <c r="AF17" i="12"/>
  <c r="AA13" i="12"/>
  <c r="AN24" i="12"/>
  <c r="AU13" i="12" s="1"/>
  <c r="AF21" i="12"/>
  <c r="AF15" i="12"/>
  <c r="AA11" i="12"/>
  <c r="AF19" i="12"/>
  <c r="AF4" i="12"/>
  <c r="P7" i="3"/>
  <c r="O7" i="3"/>
  <c r="AF7" i="3"/>
  <c r="AJ7" i="3" s="1"/>
  <c r="AD7" i="3"/>
  <c r="Q5" i="76"/>
  <c r="Q3" i="76"/>
  <c r="P5" i="76"/>
  <c r="P3" i="76"/>
  <c r="AB5" i="76"/>
  <c r="AE5" i="76" s="1"/>
  <c r="W8" i="76"/>
  <c r="V8" i="76"/>
  <c r="Q13" i="76"/>
  <c r="P13" i="76"/>
  <c r="AB13" i="76"/>
  <c r="AE13" i="76" s="1"/>
  <c r="W16" i="76"/>
  <c r="V16" i="76"/>
  <c r="AF3" i="7"/>
  <c r="AG3" i="7" s="1"/>
  <c r="AI5" i="7"/>
  <c r="Y5" i="7"/>
  <c r="AA5" i="7" s="1"/>
  <c r="AE9" i="27"/>
  <c r="Z15" i="27"/>
  <c r="AE8" i="8"/>
  <c r="AQ8" i="8"/>
  <c r="AX8" i="8" s="1"/>
  <c r="AN8" i="8"/>
  <c r="AU8" i="8" s="1"/>
  <c r="AK13" i="8"/>
  <c r="AM22" i="8"/>
  <c r="AC22" i="8"/>
  <c r="Q22" i="8"/>
  <c r="P22" i="8"/>
  <c r="AO16" i="25"/>
  <c r="AV15" i="25" s="1"/>
  <c r="AN16" i="25"/>
  <c r="AU9" i="25" s="1"/>
  <c r="AD22" i="12"/>
  <c r="AF22" i="12" s="1"/>
  <c r="AC22" i="12"/>
  <c r="AE22" i="12" s="1"/>
  <c r="AJ13" i="7"/>
  <c r="AQ13" i="7" s="1"/>
  <c r="AH13" i="7"/>
  <c r="AO13" i="7" s="1"/>
  <c r="Z13" i="7"/>
  <c r="AL18" i="27"/>
  <c r="AR5" i="12"/>
  <c r="AM13" i="7"/>
  <c r="AT13" i="7" s="1"/>
  <c r="AB14" i="7"/>
  <c r="AD14" i="7" s="1"/>
  <c r="AC15" i="7"/>
  <c r="AB15" i="7"/>
  <c r="AD15" i="7" s="1"/>
  <c r="AI4" i="27"/>
  <c r="Y4" i="27"/>
  <c r="AA4" i="27" s="1"/>
  <c r="AN4" i="27"/>
  <c r="AM4" i="27"/>
  <c r="Z5" i="27"/>
  <c r="AB5" i="27"/>
  <c r="AD5" i="27" s="1"/>
  <c r="AC5" i="27"/>
  <c r="AE5" i="27" s="1"/>
  <c r="AJ14" i="27"/>
  <c r="O14" i="27"/>
  <c r="AQ15" i="27"/>
  <c r="AE15" i="27"/>
  <c r="AF15" i="27" s="1"/>
  <c r="AG15" i="27" s="1"/>
  <c r="AN17" i="27"/>
  <c r="AU9" i="27" s="1"/>
  <c r="AL17" i="27"/>
  <c r="AS7" i="27" s="1"/>
  <c r="AH3" i="8"/>
  <c r="AJ3" i="8" s="1"/>
  <c r="AG3" i="8"/>
  <c r="AI3" i="8" s="1"/>
  <c r="AK3" i="8" s="1"/>
  <c r="AG6" i="8"/>
  <c r="AI6" i="8" s="1"/>
  <c r="AK6" i="8" s="1"/>
  <c r="AM18" i="8"/>
  <c r="AC18" i="8"/>
  <c r="Q18" i="8"/>
  <c r="P18" i="8"/>
  <c r="AS20" i="8"/>
  <c r="AZ20" i="8" s="1"/>
  <c r="AR20" i="8"/>
  <c r="AG34" i="8"/>
  <c r="AI34" i="8" s="1"/>
  <c r="AK34" i="8" s="1"/>
  <c r="AL34" i="8" s="1"/>
  <c r="AH34" i="8"/>
  <c r="AJ34" i="8" s="1"/>
  <c r="AE35" i="8"/>
  <c r="AN35" i="8"/>
  <c r="AU35" i="8" s="1"/>
  <c r="AM35" i="8"/>
  <c r="AP35" i="8"/>
  <c r="AW35" i="8" s="1"/>
  <c r="AB3" i="67"/>
  <c r="AA3" i="67"/>
  <c r="AC3" i="67" s="1"/>
  <c r="AB7" i="67"/>
  <c r="AA7" i="67"/>
  <c r="AC7" i="67" s="1"/>
  <c r="AE7" i="67" s="1"/>
  <c r="AF7" i="67" s="1"/>
  <c r="V9" i="5"/>
  <c r="AF9" i="5"/>
  <c r="AJ9" i="5" s="1"/>
  <c r="AR11" i="12"/>
  <c r="AP16" i="12"/>
  <c r="AK18" i="12"/>
  <c r="AR18" i="12" s="1"/>
  <c r="Q18" i="12"/>
  <c r="P18" i="12"/>
  <c r="AC9" i="7"/>
  <c r="AE9" i="7" s="1"/>
  <c r="AB9" i="7"/>
  <c r="AD9" i="7" s="1"/>
  <c r="AF9" i="7" s="1"/>
  <c r="AG9" i="7" s="1"/>
  <c r="AH18" i="27"/>
  <c r="AO15" i="27" s="1"/>
  <c r="AM18" i="27"/>
  <c r="AI18" i="27"/>
  <c r="Z7" i="27"/>
  <c r="Z6" i="27"/>
  <c r="Z14" i="27"/>
  <c r="AS30" i="8"/>
  <c r="AZ30" i="8" s="1"/>
  <c r="AR30" i="8"/>
  <c r="AU5" i="25"/>
  <c r="Y13" i="25"/>
  <c r="Q13" i="25"/>
  <c r="P13" i="25"/>
  <c r="AJ14" i="25"/>
  <c r="Z14" i="25"/>
  <c r="AB14" i="25" s="1"/>
  <c r="AU7" i="12"/>
  <c r="AM8" i="12"/>
  <c r="AU11" i="12"/>
  <c r="AN8" i="25"/>
  <c r="AU8" i="25" s="1"/>
  <c r="AR14" i="25"/>
  <c r="P3" i="12"/>
  <c r="AS6" i="12"/>
  <c r="AP6" i="12"/>
  <c r="AP12" i="12"/>
  <c r="AK14" i="12"/>
  <c r="AR14" i="12" s="1"/>
  <c r="AI14" i="12"/>
  <c r="AP14" i="12" s="1"/>
  <c r="AA14" i="12"/>
  <c r="AP15" i="12"/>
  <c r="AS17" i="12"/>
  <c r="AQ17" i="12"/>
  <c r="AS18" i="12"/>
  <c r="AQ21" i="12"/>
  <c r="AP22" i="12"/>
  <c r="Q3" i="13"/>
  <c r="P3" i="13"/>
  <c r="AI3" i="13"/>
  <c r="Y3" i="13"/>
  <c r="AT5" i="13"/>
  <c r="Y4" i="13"/>
  <c r="AI6" i="13"/>
  <c r="AP4" i="13" s="1"/>
  <c r="AO8" i="13"/>
  <c r="W3" i="76"/>
  <c r="V3" i="76"/>
  <c r="X3" i="76" s="1"/>
  <c r="Z3" i="76" s="1"/>
  <c r="AA3" i="76" s="1"/>
  <c r="Q8" i="76"/>
  <c r="P8" i="76"/>
  <c r="AB8" i="76"/>
  <c r="AE8" i="76" s="1"/>
  <c r="W11" i="76"/>
  <c r="V11" i="76"/>
  <c r="Q16" i="76"/>
  <c r="P16" i="76"/>
  <c r="AB16" i="76"/>
  <c r="AC4" i="7"/>
  <c r="AB4" i="7"/>
  <c r="AD4" i="7" s="1"/>
  <c r="AJ5" i="7"/>
  <c r="AQ5" i="7" s="1"/>
  <c r="AH5" i="7"/>
  <c r="AO5" i="7" s="1"/>
  <c r="Z5" i="7"/>
  <c r="P8" i="7"/>
  <c r="O8" i="7"/>
  <c r="AH8" i="7"/>
  <c r="AO8" i="7" s="1"/>
  <c r="X8" i="7"/>
  <c r="AI10" i="43"/>
  <c r="AF6" i="11"/>
  <c r="AH9" i="11"/>
  <c r="AE10" i="11"/>
  <c r="AA3" i="28"/>
  <c r="AD3" i="28" s="1"/>
  <c r="N4" i="28"/>
  <c r="Q4" i="28"/>
  <c r="S4" i="28" s="1"/>
  <c r="AB5" i="28"/>
  <c r="AA3" i="25"/>
  <c r="AM3" i="25"/>
  <c r="AT3" i="25" s="1"/>
  <c r="AK4" i="25"/>
  <c r="AR4" i="25" s="1"/>
  <c r="Q7" i="25"/>
  <c r="P7" i="25"/>
  <c r="Y7" i="25"/>
  <c r="AO7" i="25"/>
  <c r="AN7" i="25"/>
  <c r="AU7" i="25" s="1"/>
  <c r="Q11" i="25"/>
  <c r="AU12" i="25"/>
  <c r="AI13" i="25"/>
  <c r="AP13" i="25" s="1"/>
  <c r="AI15" i="25"/>
  <c r="AP15" i="25" s="1"/>
  <c r="AL3" i="12"/>
  <c r="AJ3" i="12"/>
  <c r="AQ3" i="12" s="1"/>
  <c r="AM6" i="12"/>
  <c r="AK7" i="12"/>
  <c r="AR7" i="12" s="1"/>
  <c r="P7" i="12"/>
  <c r="AD7" i="12"/>
  <c r="AF7" i="12" s="1"/>
  <c r="AG7" i="12" s="1"/>
  <c r="AH7" i="12" s="1"/>
  <c r="Z8" i="12"/>
  <c r="AB8" i="12" s="1"/>
  <c r="AL9" i="12"/>
  <c r="AS9" i="12" s="1"/>
  <c r="AV10" i="12"/>
  <c r="AJ12" i="12"/>
  <c r="AQ12" i="12" s="1"/>
  <c r="AD13" i="12"/>
  <c r="AF13" i="12" s="1"/>
  <c r="AG13" i="12" s="1"/>
  <c r="AH13" i="12" s="1"/>
  <c r="Q17" i="12"/>
  <c r="AT17" i="12"/>
  <c r="AM18" i="12"/>
  <c r="P19" i="12"/>
  <c r="AI19" i="12"/>
  <c r="AP19" i="12" s="1"/>
  <c r="Y19" i="12"/>
  <c r="AV19" i="12"/>
  <c r="AU22" i="12"/>
  <c r="AP23" i="12"/>
  <c r="AJ3" i="13"/>
  <c r="AQ3" i="13" s="1"/>
  <c r="Z3" i="13"/>
  <c r="AB3" i="13" s="1"/>
  <c r="Q4" i="13"/>
  <c r="AT4" i="13"/>
  <c r="AI5" i="13"/>
  <c r="AP5" i="13" s="1"/>
  <c r="P5" i="3"/>
  <c r="O5" i="3"/>
  <c r="AD5" i="3"/>
  <c r="O8" i="3"/>
  <c r="AD8" i="3"/>
  <c r="T8" i="3"/>
  <c r="Y12" i="3"/>
  <c r="AA12" i="3" s="1"/>
  <c r="X12" i="3"/>
  <c r="Z12" i="3" s="1"/>
  <c r="AB12" i="3" s="1"/>
  <c r="P14" i="3"/>
  <c r="AD15" i="3"/>
  <c r="S6" i="76"/>
  <c r="U6" i="76" s="1"/>
  <c r="Q11" i="76"/>
  <c r="P11" i="76"/>
  <c r="AB11" i="76"/>
  <c r="S14" i="76"/>
  <c r="U14" i="76" s="1"/>
  <c r="Y16" i="76"/>
  <c r="Y11" i="76"/>
  <c r="Y8" i="76"/>
  <c r="Y5" i="76"/>
  <c r="Y3" i="76"/>
  <c r="P7" i="7"/>
  <c r="AI8" i="7"/>
  <c r="Y8" i="7"/>
  <c r="AA8" i="7" s="1"/>
  <c r="AL10" i="7"/>
  <c r="AS10" i="7" s="1"/>
  <c r="O11" i="7"/>
  <c r="AH11" i="7"/>
  <c r="AO11" i="7" s="1"/>
  <c r="X11" i="7"/>
  <c r="AQ15" i="7"/>
  <c r="AQ16" i="7"/>
  <c r="AL4" i="27"/>
  <c r="AS4" i="27" s="1"/>
  <c r="AK4" i="27"/>
  <c r="Z4" i="27"/>
  <c r="AJ5" i="27"/>
  <c r="AQ5" i="27" s="1"/>
  <c r="O5" i="27"/>
  <c r="AL5" i="27"/>
  <c r="AF9" i="27"/>
  <c r="AU13" i="27"/>
  <c r="AO35" i="8"/>
  <c r="AV35" i="8" s="1"/>
  <c r="Q35" i="8"/>
  <c r="AQ35" i="8"/>
  <c r="AX35" i="8" s="1"/>
  <c r="AH43" i="8"/>
  <c r="AG43" i="8"/>
  <c r="AJ7" i="67"/>
  <c r="AN7" i="67" s="1"/>
  <c r="Y7" i="67"/>
  <c r="AU4" i="12"/>
  <c r="AN6" i="12"/>
  <c r="AU6" i="12" s="1"/>
  <c r="AR8" i="12"/>
  <c r="AA8" i="12"/>
  <c r="AN9" i="12"/>
  <c r="AU9" i="12" s="1"/>
  <c r="Q10" i="12"/>
  <c r="P10" i="12"/>
  <c r="AI10" i="12"/>
  <c r="AP10" i="12" s="1"/>
  <c r="AU10" i="12"/>
  <c r="AA12" i="12"/>
  <c r="AR13" i="12"/>
  <c r="AD16" i="12"/>
  <c r="AF16" i="12" s="1"/>
  <c r="AC16" i="12"/>
  <c r="AE16" i="12" s="1"/>
  <c r="AV17" i="12"/>
  <c r="AI18" i="12"/>
  <c r="AP18" i="12" s="1"/>
  <c r="AU19" i="12"/>
  <c r="AV21" i="12"/>
  <c r="AD5" i="13"/>
  <c r="AF5" i="13" s="1"/>
  <c r="AC5" i="13"/>
  <c r="AE5" i="13" s="1"/>
  <c r="Y5" i="13"/>
  <c r="AO6" i="13"/>
  <c r="AV4" i="13" s="1"/>
  <c r="AE5" i="3"/>
  <c r="AI5" i="3" s="1"/>
  <c r="U5" i="3"/>
  <c r="W5" i="3" s="1"/>
  <c r="Y8" i="3"/>
  <c r="AA8" i="3" s="1"/>
  <c r="X8" i="3"/>
  <c r="Z8" i="3" s="1"/>
  <c r="P15" i="3"/>
  <c r="O15" i="3"/>
  <c r="AF15" i="3"/>
  <c r="AJ15" i="3" s="1"/>
  <c r="Q6" i="76"/>
  <c r="P6" i="76"/>
  <c r="AB6" i="76"/>
  <c r="T8" i="76"/>
  <c r="S9" i="76"/>
  <c r="U9" i="76" s="1"/>
  <c r="Q14" i="76"/>
  <c r="P14" i="76"/>
  <c r="AB14" i="76"/>
  <c r="T16" i="76"/>
  <c r="AD17" i="76"/>
  <c r="AQ3" i="7"/>
  <c r="AQ4" i="7"/>
  <c r="AL5" i="7"/>
  <c r="AS5" i="7" s="1"/>
  <c r="AH10" i="7"/>
  <c r="AO10" i="7" s="1"/>
  <c r="AK13" i="7"/>
  <c r="AR13" i="7" s="1"/>
  <c r="AM5" i="27"/>
  <c r="O9" i="27"/>
  <c r="AH13" i="27"/>
  <c r="P13" i="27"/>
  <c r="O13" i="27"/>
  <c r="X13" i="27"/>
  <c r="AP14" i="27"/>
  <c r="AC9" i="8"/>
  <c r="Q9" i="8"/>
  <c r="P9" i="8"/>
  <c r="AM9" i="8"/>
  <c r="AY10" i="8"/>
  <c r="AE16" i="8"/>
  <c r="AR16" i="8"/>
  <c r="AY16" i="8" s="1"/>
  <c r="AP16" i="8"/>
  <c r="AW16" i="8" s="1"/>
  <c r="Q29" i="8"/>
  <c r="AO29" i="8"/>
  <c r="AV29" i="8" s="1"/>
  <c r="AS38" i="8"/>
  <c r="AZ38" i="8" s="1"/>
  <c r="AR38" i="8"/>
  <c r="AC49" i="8"/>
  <c r="Q49" i="8"/>
  <c r="P49" i="8"/>
  <c r="AM49" i="8"/>
  <c r="AD3" i="12"/>
  <c r="AF3" i="12" s="1"/>
  <c r="AC3" i="12"/>
  <c r="AE3" i="12" s="1"/>
  <c r="AG3" i="12" s="1"/>
  <c r="AH3" i="12" s="1"/>
  <c r="Y10" i="3"/>
  <c r="AA10" i="3" s="1"/>
  <c r="X10" i="3"/>
  <c r="Q7" i="76"/>
  <c r="P7" i="76"/>
  <c r="AB7" i="76"/>
  <c r="AU15" i="27"/>
  <c r="AH8" i="11"/>
  <c r="AP7" i="12"/>
  <c r="AK9" i="25"/>
  <c r="AR9" i="25" s="1"/>
  <c r="P9" i="25"/>
  <c r="AJ16" i="25"/>
  <c r="Z15" i="25"/>
  <c r="AB15" i="25" s="1"/>
  <c r="Z13" i="25"/>
  <c r="AB13" i="25" s="1"/>
  <c r="Z8" i="25"/>
  <c r="AB8" i="25" s="1"/>
  <c r="AI4" i="12"/>
  <c r="AP4" i="12" s="1"/>
  <c r="Y4" i="12"/>
  <c r="AB6" i="28"/>
  <c r="AE3" i="28" s="1"/>
  <c r="AJ10" i="25"/>
  <c r="AV12" i="25"/>
  <c r="Q3" i="12"/>
  <c r="AH7" i="11"/>
  <c r="AE8" i="11"/>
  <c r="W3" i="28"/>
  <c r="AA5" i="28"/>
  <c r="AD5" i="28" s="1"/>
  <c r="Z6" i="28"/>
  <c r="AC4" i="28" s="1"/>
  <c r="P3" i="25"/>
  <c r="Q5" i="25"/>
  <c r="Q6" i="25"/>
  <c r="P6" i="25"/>
  <c r="AU6" i="25"/>
  <c r="Q9" i="25"/>
  <c r="AO11" i="25"/>
  <c r="AV11" i="25" s="1"/>
  <c r="AR13" i="25"/>
  <c r="AM15" i="25"/>
  <c r="AT15" i="25" s="1"/>
  <c r="AA12" i="25"/>
  <c r="AF9" i="25"/>
  <c r="AF6" i="25"/>
  <c r="AG6" i="25" s="1"/>
  <c r="AH6" i="25" s="1"/>
  <c r="AA5" i="25"/>
  <c r="AF10" i="25"/>
  <c r="AF3" i="25"/>
  <c r="AF12" i="25"/>
  <c r="AF5" i="25"/>
  <c r="AC4" i="12"/>
  <c r="AE4" i="12" s="1"/>
  <c r="AG4" i="12" s="1"/>
  <c r="AH4" i="12" s="1"/>
  <c r="AJ9" i="12"/>
  <c r="AQ9" i="12" s="1"/>
  <c r="Z9" i="12"/>
  <c r="AB9" i="12" s="1"/>
  <c r="AQ10" i="12"/>
  <c r="Q11" i="12"/>
  <c r="P11" i="12"/>
  <c r="AI11" i="12"/>
  <c r="AP11" i="12" s="1"/>
  <c r="Y11" i="12"/>
  <c r="AK12" i="12"/>
  <c r="AR12" i="12" s="1"/>
  <c r="Q12" i="12"/>
  <c r="P12" i="12"/>
  <c r="AQ13" i="12"/>
  <c r="AN14" i="12"/>
  <c r="AU14" i="12" s="1"/>
  <c r="AQ16" i="12"/>
  <c r="AA16" i="12"/>
  <c r="AD18" i="12"/>
  <c r="AF18" i="12" s="1"/>
  <c r="AC18" i="12"/>
  <c r="AE18" i="12" s="1"/>
  <c r="AS23" i="12"/>
  <c r="AL24" i="12"/>
  <c r="AS15" i="12" s="1"/>
  <c r="AJ5" i="13"/>
  <c r="AQ5" i="13" s="1"/>
  <c r="AA5" i="13"/>
  <c r="O16" i="3"/>
  <c r="AD16" i="3"/>
  <c r="T16" i="3"/>
  <c r="S4" i="76"/>
  <c r="U4" i="76" s="1"/>
  <c r="R7" i="76"/>
  <c r="Q9" i="76"/>
  <c r="P9" i="76"/>
  <c r="AB9" i="76"/>
  <c r="S12" i="76"/>
  <c r="U12" i="76" s="1"/>
  <c r="R15" i="76"/>
  <c r="X16" i="76"/>
  <c r="Z16" i="76" s="1"/>
  <c r="AA16" i="76" s="1"/>
  <c r="X11" i="76"/>
  <c r="Z11" i="76" s="1"/>
  <c r="X10" i="76"/>
  <c r="X8" i="76"/>
  <c r="Z8" i="76" s="1"/>
  <c r="AA8" i="76" s="1"/>
  <c r="AB17" i="76"/>
  <c r="AE3" i="76" s="1"/>
  <c r="AM5" i="7"/>
  <c r="AT5" i="7" s="1"/>
  <c r="AC7" i="7"/>
  <c r="AB7" i="7"/>
  <c r="AD7" i="7" s="1"/>
  <c r="AF7" i="7" s="1"/>
  <c r="AG7" i="7" s="1"/>
  <c r="AC10" i="7"/>
  <c r="AE10" i="7" s="1"/>
  <c r="AB10" i="7"/>
  <c r="AD10" i="7" s="1"/>
  <c r="AF10" i="7" s="1"/>
  <c r="AG10" i="7" s="1"/>
  <c r="AO3" i="27"/>
  <c r="Z3" i="27"/>
  <c r="AN12" i="27"/>
  <c r="AU12" i="27" s="1"/>
  <c r="AL12" i="27"/>
  <c r="Y13" i="27"/>
  <c r="AA13" i="27" s="1"/>
  <c r="AI13" i="27"/>
  <c r="AP13" i="27" s="1"/>
  <c r="AH11" i="8"/>
  <c r="AJ11" i="8" s="1"/>
  <c r="AG11" i="8"/>
  <c r="AI11" i="8" s="1"/>
  <c r="AN17" i="8"/>
  <c r="AU17" i="8" s="1"/>
  <c r="AD17" i="8"/>
  <c r="AF17" i="8" s="1"/>
  <c r="AS34" i="8"/>
  <c r="AZ34" i="8" s="1"/>
  <c r="AR34" i="8"/>
  <c r="AY34" i="8" s="1"/>
  <c r="AN49" i="8"/>
  <c r="AU49" i="8" s="1"/>
  <c r="AD49" i="8"/>
  <c r="AF49" i="8" s="1"/>
  <c r="AE12" i="10"/>
  <c r="AE11" i="10"/>
  <c r="AN14" i="25"/>
  <c r="AU14" i="25" s="1"/>
  <c r="AS8" i="12"/>
  <c r="AD17" i="12"/>
  <c r="AC17" i="12"/>
  <c r="AE17" i="12" s="1"/>
  <c r="AE13" i="3"/>
  <c r="AI13" i="3" s="1"/>
  <c r="U13" i="3"/>
  <c r="W13" i="3" s="1"/>
  <c r="W10" i="76"/>
  <c r="Y10" i="76" s="1"/>
  <c r="V10" i="76"/>
  <c r="AP12" i="27"/>
  <c r="AY32" i="8"/>
  <c r="AD12" i="11"/>
  <c r="AP20" i="12"/>
  <c r="AC5" i="28"/>
  <c r="AS10" i="12"/>
  <c r="T3" i="28"/>
  <c r="V3" i="28" s="1"/>
  <c r="X3" i="28" s="1"/>
  <c r="Y3" i="28" s="1"/>
  <c r="AD4" i="28"/>
  <c r="R4" i="28"/>
  <c r="N5" i="28"/>
  <c r="AJ7" i="25"/>
  <c r="Z7" i="25"/>
  <c r="AB7" i="25" s="1"/>
  <c r="Z11" i="25"/>
  <c r="AB11" i="25" s="1"/>
  <c r="AI14" i="25"/>
  <c r="AP14" i="25" s="1"/>
  <c r="AD10" i="43"/>
  <c r="AD13" i="43" s="1"/>
  <c r="AH10" i="11"/>
  <c r="T5" i="28"/>
  <c r="V5" i="28" s="1"/>
  <c r="X5" i="28" s="1"/>
  <c r="Y5" i="28" s="1"/>
  <c r="AP5" i="25"/>
  <c r="AS6" i="25"/>
  <c r="AR7" i="25"/>
  <c r="AI9" i="25"/>
  <c r="AP9" i="25" s="1"/>
  <c r="AT10" i="25"/>
  <c r="AT13" i="25"/>
  <c r="AN15" i="25"/>
  <c r="AU15" i="25" s="1"/>
  <c r="AA3" i="12"/>
  <c r="Q5" i="12"/>
  <c r="P5" i="12"/>
  <c r="Y5" i="12"/>
  <c r="AN5" i="12"/>
  <c r="AU5" i="12" s="1"/>
  <c r="AL7" i="12"/>
  <c r="AS7" i="12" s="1"/>
  <c r="AA9" i="12"/>
  <c r="AA10" i="12"/>
  <c r="AJ11" i="12"/>
  <c r="AQ11" i="12" s="1"/>
  <c r="Z11" i="12"/>
  <c r="AB11" i="12" s="1"/>
  <c r="AG15" i="12"/>
  <c r="AH15" i="12" s="1"/>
  <c r="AA17" i="12"/>
  <c r="AJ18" i="12"/>
  <c r="AQ18" i="12" s="1"/>
  <c r="AA18" i="12"/>
  <c r="AG19" i="12"/>
  <c r="AH19" i="12" s="1"/>
  <c r="AA20" i="12"/>
  <c r="AP21" i="12"/>
  <c r="AU21" i="12"/>
  <c r="AR3" i="13"/>
  <c r="AD4" i="13"/>
  <c r="AF4" i="13" s="1"/>
  <c r="AC4" i="13"/>
  <c r="AE4" i="13" s="1"/>
  <c r="AK5" i="13"/>
  <c r="AR5" i="13" s="1"/>
  <c r="Q5" i="13"/>
  <c r="P5" i="13"/>
  <c r="Y7" i="3"/>
  <c r="AA7" i="3" s="1"/>
  <c r="X7" i="3"/>
  <c r="Z7" i="3" s="1"/>
  <c r="P13" i="3"/>
  <c r="O13" i="3"/>
  <c r="AD13" i="3"/>
  <c r="Y16" i="3"/>
  <c r="AA16" i="3" s="1"/>
  <c r="X16" i="3"/>
  <c r="Z16" i="3" s="1"/>
  <c r="Q4" i="76"/>
  <c r="P4" i="76"/>
  <c r="AB4" i="76"/>
  <c r="S7" i="76"/>
  <c r="U7" i="76" s="1"/>
  <c r="R10" i="76"/>
  <c r="Q12" i="76"/>
  <c r="P12" i="76"/>
  <c r="AB12" i="76"/>
  <c r="AE12" i="76" s="1"/>
  <c r="S15" i="76"/>
  <c r="U15" i="76" s="1"/>
  <c r="O3" i="7"/>
  <c r="AH3" i="7"/>
  <c r="AO3" i="7" s="1"/>
  <c r="X3" i="7"/>
  <c r="AP6" i="7"/>
  <c r="AI10" i="7"/>
  <c r="Z10" i="7"/>
  <c r="AI13" i="7"/>
  <c r="AP13" i="7" s="1"/>
  <c r="Y13" i="7"/>
  <c r="AA13" i="7" s="1"/>
  <c r="AN13" i="7"/>
  <c r="AU13" i="7" s="1"/>
  <c r="AP3" i="27"/>
  <c r="AK5" i="27"/>
  <c r="AP11" i="27"/>
  <c r="AS13" i="27"/>
  <c r="AU14" i="27"/>
  <c r="AK18" i="27"/>
  <c r="AK5" i="8"/>
  <c r="Q23" i="8"/>
  <c r="AO23" i="8"/>
  <c r="AV23" i="8" s="1"/>
  <c r="P23" i="8"/>
  <c r="AQ23" i="8"/>
  <c r="AX23" i="8" s="1"/>
  <c r="AS23" i="8"/>
  <c r="AZ23" i="8" s="1"/>
  <c r="AH28" i="8"/>
  <c r="AJ28" i="8" s="1"/>
  <c r="AG28" i="8"/>
  <c r="AW31" i="8"/>
  <c r="AW21" i="8"/>
  <c r="AW17" i="8"/>
  <c r="AW39" i="8"/>
  <c r="AO3" i="9"/>
  <c r="Y6" i="9"/>
  <c r="AJ11" i="9"/>
  <c r="AO8" i="9" s="1"/>
  <c r="AI11" i="9"/>
  <c r="AN4" i="9" s="1"/>
  <c r="Y8" i="9"/>
  <c r="Y4" i="9"/>
  <c r="P8" i="12"/>
  <c r="Z12" i="12"/>
  <c r="AB12" i="12" s="1"/>
  <c r="Y14" i="12"/>
  <c r="P20" i="12"/>
  <c r="AN3" i="13"/>
  <c r="AU3" i="13" s="1"/>
  <c r="Z6" i="3"/>
  <c r="AB6" i="3" s="1"/>
  <c r="O9" i="3"/>
  <c r="AD10" i="3"/>
  <c r="Z14" i="3"/>
  <c r="O4" i="7"/>
  <c r="X5" i="7"/>
  <c r="AH7" i="7"/>
  <c r="AO7" i="7" s="1"/>
  <c r="AM8" i="7"/>
  <c r="AT8" i="7" s="1"/>
  <c r="O12" i="7"/>
  <c r="X13" i="7"/>
  <c r="AH15" i="7"/>
  <c r="AO15" i="7" s="1"/>
  <c r="AM16" i="7"/>
  <c r="AT16" i="7" s="1"/>
  <c r="O3" i="27"/>
  <c r="AJ4" i="27"/>
  <c r="X6" i="27"/>
  <c r="P7" i="27"/>
  <c r="O7" i="27"/>
  <c r="AH7" i="27"/>
  <c r="AO7" i="27" s="1"/>
  <c r="X8" i="27"/>
  <c r="O8" i="27"/>
  <c r="AJ8" i="27"/>
  <c r="AQ8" i="27" s="1"/>
  <c r="AK10" i="27"/>
  <c r="Z13" i="27"/>
  <c r="AJ16" i="27"/>
  <c r="AH20" i="27"/>
  <c r="AM20" i="27"/>
  <c r="AK20" i="27"/>
  <c r="AM5" i="8"/>
  <c r="AE5" i="8"/>
  <c r="AM6" i="8"/>
  <c r="AC6" i="8"/>
  <c r="Q6" i="8"/>
  <c r="AR7" i="8"/>
  <c r="AO8" i="8"/>
  <c r="AV8" i="8" s="1"/>
  <c r="AP8" i="8"/>
  <c r="AW8" i="8" s="1"/>
  <c r="AE10" i="8"/>
  <c r="AM13" i="8"/>
  <c r="AE13" i="8"/>
  <c r="AM14" i="8"/>
  <c r="AC14" i="8"/>
  <c r="Q14" i="8"/>
  <c r="AR15" i="8"/>
  <c r="AY15" i="8" s="1"/>
  <c r="AO19" i="8"/>
  <c r="AV19" i="8" s="1"/>
  <c r="AQ19" i="8"/>
  <c r="AX19" i="8" s="1"/>
  <c r="AW22" i="8"/>
  <c r="AE26" i="8"/>
  <c r="AH27" i="8"/>
  <c r="AJ27" i="8" s="1"/>
  <c r="AG27" i="8"/>
  <c r="AI27" i="8" s="1"/>
  <c r="AM32" i="8"/>
  <c r="AT32" i="8" s="1"/>
  <c r="AC32" i="8"/>
  <c r="Q32" i="8"/>
  <c r="P32" i="8"/>
  <c r="AS33" i="8"/>
  <c r="AZ33" i="8" s="1"/>
  <c r="AQ33" i="8"/>
  <c r="AX33" i="8" s="1"/>
  <c r="AW55" i="8"/>
  <c r="AM56" i="8"/>
  <c r="AT17" i="8" s="1"/>
  <c r="AI40" i="8"/>
  <c r="AK40" i="8" s="1"/>
  <c r="AI32" i="8"/>
  <c r="AK32" i="8" s="1"/>
  <c r="AI24" i="8"/>
  <c r="AK24" i="8" s="1"/>
  <c r="AC51" i="8"/>
  <c r="AI18" i="8"/>
  <c r="AK18" i="8" s="1"/>
  <c r="AC53" i="8"/>
  <c r="AI51" i="8"/>
  <c r="AC45" i="8"/>
  <c r="AI43" i="8"/>
  <c r="AC37" i="8"/>
  <c r="AI52" i="8"/>
  <c r="AK52" i="8" s="1"/>
  <c r="AI28" i="8"/>
  <c r="AI20" i="8"/>
  <c r="AK20" i="8" s="1"/>
  <c r="AL20" i="8" s="1"/>
  <c r="AC43" i="8"/>
  <c r="AC23" i="8"/>
  <c r="AI9" i="8"/>
  <c r="AK9" i="8" s="1"/>
  <c r="AC47" i="8"/>
  <c r="AC35" i="8"/>
  <c r="AI30" i="8"/>
  <c r="AK30" i="8" s="1"/>
  <c r="AL30" i="8" s="1"/>
  <c r="AC29" i="8"/>
  <c r="AI16" i="8"/>
  <c r="AK16" i="8" s="1"/>
  <c r="AL16" i="8" s="1"/>
  <c r="AI10" i="8"/>
  <c r="AK10" i="8" s="1"/>
  <c r="AC24" i="8"/>
  <c r="AC48" i="8"/>
  <c r="AC33" i="8"/>
  <c r="AC27" i="8"/>
  <c r="AI22" i="8"/>
  <c r="AK22" i="8" s="1"/>
  <c r="AL22" i="8" s="1"/>
  <c r="AC21" i="8"/>
  <c r="AC19" i="8"/>
  <c r="AI46" i="8"/>
  <c r="AK46" i="8" s="1"/>
  <c r="AL46" i="8" s="1"/>
  <c r="AC31" i="8"/>
  <c r="Y53" i="5"/>
  <c r="AA53" i="5" s="1"/>
  <c r="X53" i="5"/>
  <c r="Z53" i="5" s="1"/>
  <c r="P5" i="38"/>
  <c r="O5" i="38"/>
  <c r="AH5" i="38"/>
  <c r="AO5" i="38" s="1"/>
  <c r="X5" i="38"/>
  <c r="O29" i="39"/>
  <c r="AE29" i="39"/>
  <c r="AI29" i="39" s="1"/>
  <c r="AI9" i="12"/>
  <c r="AP9" i="12" s="1"/>
  <c r="P16" i="12"/>
  <c r="Q20" i="12"/>
  <c r="P22" i="12"/>
  <c r="AM24" i="12"/>
  <c r="AT19" i="12" s="1"/>
  <c r="O4" i="3"/>
  <c r="P9" i="3"/>
  <c r="Z9" i="3"/>
  <c r="AB9" i="3" s="1"/>
  <c r="O12" i="3"/>
  <c r="AA14" i="3"/>
  <c r="AD17" i="3"/>
  <c r="AH11" i="3" s="1"/>
  <c r="AE3" i="7"/>
  <c r="P4" i="7"/>
  <c r="O7" i="7"/>
  <c r="AE11" i="7"/>
  <c r="AF11" i="7" s="1"/>
  <c r="AG11" i="7" s="1"/>
  <c r="P12" i="7"/>
  <c r="O15" i="7"/>
  <c r="AL17" i="7"/>
  <c r="AS17" i="7" s="1"/>
  <c r="P3" i="27"/>
  <c r="AI7" i="27"/>
  <c r="AP7" i="27" s="1"/>
  <c r="X7" i="27"/>
  <c r="Y8" i="27"/>
  <c r="AA8" i="27" s="1"/>
  <c r="AI8" i="27"/>
  <c r="AP8" i="27" s="1"/>
  <c r="AK9" i="27"/>
  <c r="AH10" i="27"/>
  <c r="AJ10" i="27"/>
  <c r="AQ10" i="27" s="1"/>
  <c r="AU11" i="27"/>
  <c r="X16" i="27"/>
  <c r="O16" i="27"/>
  <c r="AL16" i="27"/>
  <c r="AS16" i="27" s="1"/>
  <c r="AH17" i="27"/>
  <c r="AO6" i="27" s="1"/>
  <c r="AM17" i="27"/>
  <c r="AT7" i="27" s="1"/>
  <c r="Z12" i="27"/>
  <c r="Z11" i="27"/>
  <c r="AK17" i="27"/>
  <c r="AR3" i="27" s="1"/>
  <c r="AJ20" i="27"/>
  <c r="AR4" i="8"/>
  <c r="AO5" i="8"/>
  <c r="AV5" i="8" s="1"/>
  <c r="AN5" i="8"/>
  <c r="AU5" i="8" s="1"/>
  <c r="AR12" i="8"/>
  <c r="AO13" i="8"/>
  <c r="AV13" i="8" s="1"/>
  <c r="AN13" i="8"/>
  <c r="AU13" i="8" s="1"/>
  <c r="AQ16" i="8"/>
  <c r="AX16" i="8" s="1"/>
  <c r="AW18" i="8"/>
  <c r="AS18" i="8"/>
  <c r="AZ18" i="8" s="1"/>
  <c r="AR19" i="8"/>
  <c r="AY19" i="8" s="1"/>
  <c r="AE20" i="8"/>
  <c r="AE22" i="8"/>
  <c r="AN22" i="8"/>
  <c r="AU22" i="8" s="1"/>
  <c r="AR22" i="8"/>
  <c r="AY22" i="8" s="1"/>
  <c r="AW25" i="8"/>
  <c r="AQ25" i="8"/>
  <c r="AX25" i="8" s="1"/>
  <c r="AE27" i="8"/>
  <c r="AO27" i="8"/>
  <c r="AV27" i="8" s="1"/>
  <c r="AM28" i="8"/>
  <c r="AC28" i="8"/>
  <c r="Q28" i="8"/>
  <c r="P28" i="8"/>
  <c r="AH35" i="8"/>
  <c r="AJ35" i="8" s="1"/>
  <c r="AG35" i="8"/>
  <c r="AI35" i="8" s="1"/>
  <c r="AK35" i="8" s="1"/>
  <c r="AH38" i="8"/>
  <c r="AJ38" i="8" s="1"/>
  <c r="AG38" i="8"/>
  <c r="AI38" i="8" s="1"/>
  <c r="AD42" i="8"/>
  <c r="AF42" i="8" s="1"/>
  <c r="AN42" i="8"/>
  <c r="AU42" i="8" s="1"/>
  <c r="AW50" i="8"/>
  <c r="AH51" i="8"/>
  <c r="AJ51" i="8" s="1"/>
  <c r="AG51" i="8"/>
  <c r="AO4" i="9"/>
  <c r="AM5" i="9"/>
  <c r="AI4" i="25"/>
  <c r="AP4" i="25" s="1"/>
  <c r="AP18" i="25" s="1"/>
  <c r="AI11" i="25"/>
  <c r="AP11" i="25" s="1"/>
  <c r="AI3" i="12"/>
  <c r="AP3" i="12" s="1"/>
  <c r="Q16" i="12"/>
  <c r="Q22" i="12"/>
  <c r="U3" i="3"/>
  <c r="W3" i="3" s="1"/>
  <c r="P4" i="3"/>
  <c r="U11" i="3"/>
  <c r="W11" i="3" s="1"/>
  <c r="P12" i="3"/>
  <c r="AE17" i="3"/>
  <c r="AE14" i="7"/>
  <c r="Z8" i="27"/>
  <c r="AL9" i="27"/>
  <c r="AS9" i="27" s="1"/>
  <c r="AH9" i="27"/>
  <c r="AI10" i="27"/>
  <c r="AP10" i="27" s="1"/>
  <c r="AS11" i="27"/>
  <c r="AE14" i="27"/>
  <c r="AF14" i="27" s="1"/>
  <c r="AM16" i="27"/>
  <c r="P5" i="8"/>
  <c r="AW5" i="8"/>
  <c r="AR8" i="8"/>
  <c r="AY8" i="8" s="1"/>
  <c r="P13" i="8"/>
  <c r="AW13" i="8"/>
  <c r="AE24" i="8"/>
  <c r="AN24" i="8"/>
  <c r="AU24" i="8" s="1"/>
  <c r="AS27" i="8"/>
  <c r="AZ27" i="8" s="1"/>
  <c r="AQ27" i="8"/>
  <c r="AX27" i="8" s="1"/>
  <c r="AY28" i="8"/>
  <c r="AE32" i="8"/>
  <c r="AN32" i="8"/>
  <c r="AU32" i="8" s="1"/>
  <c r="AP32" i="8"/>
  <c r="AW32" i="8" s="1"/>
  <c r="AC34" i="8"/>
  <c r="Q34" i="8"/>
  <c r="AM34" i="8"/>
  <c r="P34" i="8"/>
  <c r="AM51" i="8"/>
  <c r="AT51" i="8" s="1"/>
  <c r="AE51" i="8"/>
  <c r="AP51" i="8"/>
  <c r="AW51" i="8" s="1"/>
  <c r="AW52" i="8"/>
  <c r="AB5" i="67"/>
  <c r="AA5" i="67"/>
  <c r="AC5" i="67" s="1"/>
  <c r="Y7" i="5"/>
  <c r="AA7" i="5" s="1"/>
  <c r="X7" i="5"/>
  <c r="Z7" i="5" s="1"/>
  <c r="Y50" i="5"/>
  <c r="AA50" i="5" s="1"/>
  <c r="X50" i="5"/>
  <c r="Z50" i="5" s="1"/>
  <c r="AB50" i="5" s="1"/>
  <c r="AD54" i="5"/>
  <c r="Q54" i="5"/>
  <c r="P54" i="5"/>
  <c r="T54" i="5"/>
  <c r="AN17" i="12"/>
  <c r="AU17" i="12" s="1"/>
  <c r="AN23" i="12"/>
  <c r="AU23" i="12" s="1"/>
  <c r="AN4" i="13"/>
  <c r="AU4" i="13" s="1"/>
  <c r="V3" i="3"/>
  <c r="AD3" i="3"/>
  <c r="AL4" i="7"/>
  <c r="AS4" i="7" s="1"/>
  <c r="AM9" i="7"/>
  <c r="AT9" i="7" s="1"/>
  <c r="AL12" i="7"/>
  <c r="AS12" i="7" s="1"/>
  <c r="AE17" i="7"/>
  <c r="AI18" i="7"/>
  <c r="AU6" i="27"/>
  <c r="AQ7" i="27"/>
  <c r="AJ9" i="27"/>
  <c r="Z10" i="27"/>
  <c r="AM10" i="27"/>
  <c r="AC12" i="27"/>
  <c r="AE12" i="27" s="1"/>
  <c r="AB12" i="27"/>
  <c r="AD12" i="27" s="1"/>
  <c r="P15" i="27"/>
  <c r="O15" i="27"/>
  <c r="AH19" i="27"/>
  <c r="AM19" i="27"/>
  <c r="AK19" i="27"/>
  <c r="AC3" i="8"/>
  <c r="Q3" i="8"/>
  <c r="P3" i="8"/>
  <c r="AM3" i="8"/>
  <c r="AN7" i="8"/>
  <c r="AU7" i="8" s="1"/>
  <c r="AD7" i="8"/>
  <c r="AF7" i="8" s="1"/>
  <c r="AC11" i="8"/>
  <c r="Q11" i="8"/>
  <c r="P11" i="8"/>
  <c r="AM11" i="8"/>
  <c r="AT11" i="8" s="1"/>
  <c r="AN15" i="8"/>
  <c r="AU15" i="8" s="1"/>
  <c r="AD15" i="8"/>
  <c r="AF15" i="8" s="1"/>
  <c r="AS17" i="8"/>
  <c r="AZ17" i="8" s="1"/>
  <c r="AR17" i="8"/>
  <c r="AG19" i="8"/>
  <c r="AI19" i="8" s="1"/>
  <c r="AK19" i="8" s="1"/>
  <c r="AL19" i="8" s="1"/>
  <c r="AP24" i="8"/>
  <c r="AW24" i="8" s="1"/>
  <c r="AY26" i="8"/>
  <c r="AO32" i="8"/>
  <c r="AV32" i="8" s="1"/>
  <c r="AW37" i="8"/>
  <c r="AT38" i="8"/>
  <c r="AW40" i="8"/>
  <c r="AY48" i="8"/>
  <c r="AB8" i="9"/>
  <c r="AD8" i="9" s="1"/>
  <c r="AA8" i="9"/>
  <c r="AC8" i="9" s="1"/>
  <c r="AE16" i="5"/>
  <c r="AI16" i="5" s="1"/>
  <c r="U16" i="5"/>
  <c r="W16" i="5" s="1"/>
  <c r="V6" i="3"/>
  <c r="Z10" i="3"/>
  <c r="AB10" i="3" s="1"/>
  <c r="V14" i="3"/>
  <c r="Z3" i="7"/>
  <c r="AE4" i="7"/>
  <c r="Y6" i="7"/>
  <c r="AA6" i="7" s="1"/>
  <c r="Z11" i="7"/>
  <c r="X3" i="27"/>
  <c r="AH5" i="27"/>
  <c r="P5" i="27"/>
  <c r="AI5" i="27"/>
  <c r="AP5" i="27" s="1"/>
  <c r="AB6" i="27"/>
  <c r="AD6" i="27" s="1"/>
  <c r="AF6" i="27" s="1"/>
  <c r="AC7" i="27"/>
  <c r="AE7" i="27" s="1"/>
  <c r="AF7" i="27" s="1"/>
  <c r="AM9" i="27"/>
  <c r="O10" i="27"/>
  <c r="Y10" i="27"/>
  <c r="AA10" i="27" s="1"/>
  <c r="P14" i="27"/>
  <c r="AH14" i="27"/>
  <c r="AO14" i="27" s="1"/>
  <c r="AI15" i="27"/>
  <c r="AP15" i="27" s="1"/>
  <c r="X15" i="27"/>
  <c r="AM15" i="27"/>
  <c r="AB16" i="27"/>
  <c r="AD16" i="27" s="1"/>
  <c r="AF16" i="27" s="1"/>
  <c r="AG16" i="27" s="1"/>
  <c r="AJ19" i="27"/>
  <c r="AL19" i="27"/>
  <c r="AR9" i="8"/>
  <c r="P10" i="8"/>
  <c r="AM20" i="8"/>
  <c r="AT20" i="8" s="1"/>
  <c r="AQ21" i="8"/>
  <c r="AX21" i="8" s="1"/>
  <c r="AQ24" i="8"/>
  <c r="AX24" i="8" s="1"/>
  <c r="AD26" i="8"/>
  <c r="AF26" i="8" s="1"/>
  <c r="AN26" i="8"/>
  <c r="AU26" i="8" s="1"/>
  <c r="P29" i="8"/>
  <c r="AW34" i="8"/>
  <c r="P35" i="8"/>
  <c r="AS36" i="8"/>
  <c r="AZ36" i="8" s="1"/>
  <c r="AR36" i="8"/>
  <c r="AS37" i="8"/>
  <c r="AZ37" i="8" s="1"/>
  <c r="AQ37" i="8"/>
  <c r="AX37" i="8" s="1"/>
  <c r="AM44" i="8"/>
  <c r="AC44" i="8"/>
  <c r="Q44" i="8"/>
  <c r="P44" i="8"/>
  <c r="AT47" i="8"/>
  <c r="AN6" i="67"/>
  <c r="Y39" i="5"/>
  <c r="AA39" i="5" s="1"/>
  <c r="X39" i="5"/>
  <c r="Z39" i="5" s="1"/>
  <c r="AA15" i="12"/>
  <c r="AA21" i="12"/>
  <c r="U4" i="3"/>
  <c r="W4" i="3" s="1"/>
  <c r="Z6" i="7"/>
  <c r="AE7" i="7"/>
  <c r="Z14" i="7"/>
  <c r="AE15" i="7"/>
  <c r="Y3" i="27"/>
  <c r="AA3" i="27" s="1"/>
  <c r="P4" i="27"/>
  <c r="O12" i="27"/>
  <c r="AP3" i="8"/>
  <c r="AW3" i="8" s="1"/>
  <c r="AN3" i="8"/>
  <c r="AU3" i="8" s="1"/>
  <c r="AD4" i="8"/>
  <c r="AF4" i="8" s="1"/>
  <c r="AN4" i="8"/>
  <c r="AU4" i="8" s="1"/>
  <c r="AR6" i="8"/>
  <c r="AM8" i="8"/>
  <c r="P8" i="8"/>
  <c r="AH8" i="8"/>
  <c r="AJ8" i="8" s="1"/>
  <c r="AG8" i="8"/>
  <c r="AI8" i="8" s="1"/>
  <c r="AK8" i="8" s="1"/>
  <c r="AQ10" i="8"/>
  <c r="AX10" i="8" s="1"/>
  <c r="AN10" i="8"/>
  <c r="AU10" i="8" s="1"/>
  <c r="AP11" i="8"/>
  <c r="AW11" i="8" s="1"/>
  <c r="AN11" i="8"/>
  <c r="AU11" i="8" s="1"/>
  <c r="AD12" i="8"/>
  <c r="AF12" i="8" s="1"/>
  <c r="AN12" i="8"/>
  <c r="AU12" i="8" s="1"/>
  <c r="AR14" i="8"/>
  <c r="AM16" i="8"/>
  <c r="P16" i="8"/>
  <c r="AP20" i="8"/>
  <c r="AW20" i="8" s="1"/>
  <c r="AO20" i="8"/>
  <c r="AV20" i="8" s="1"/>
  <c r="AH25" i="8"/>
  <c r="AJ25" i="8" s="1"/>
  <c r="AG25" i="8"/>
  <c r="AI25" i="8" s="1"/>
  <c r="AK25" i="8" s="1"/>
  <c r="AL25" i="8" s="1"/>
  <c r="AP26" i="8"/>
  <c r="AW26" i="8" s="1"/>
  <c r="AN31" i="8"/>
  <c r="AU31" i="8" s="1"/>
  <c r="AD31" i="8"/>
  <c r="AF31" i="8" s="1"/>
  <c r="AH36" i="8"/>
  <c r="AJ36" i="8" s="1"/>
  <c r="AG36" i="8"/>
  <c r="AI36" i="8" s="1"/>
  <c r="AK36" i="8" s="1"/>
  <c r="AL36" i="8" s="1"/>
  <c r="AM43" i="8"/>
  <c r="AT43" i="8" s="1"/>
  <c r="AE43" i="8"/>
  <c r="AY47" i="8"/>
  <c r="AN51" i="8"/>
  <c r="AU51" i="8" s="1"/>
  <c r="AM6" i="9"/>
  <c r="AG11" i="9"/>
  <c r="X13" i="5"/>
  <c r="Z13" i="5" s="1"/>
  <c r="Y13" i="5"/>
  <c r="AA13" i="5" s="1"/>
  <c r="AH11" i="27"/>
  <c r="AO11" i="27" s="1"/>
  <c r="AI16" i="27"/>
  <c r="AP16" i="27" s="1"/>
  <c r="AP19" i="8"/>
  <c r="AW19" i="8" s="1"/>
  <c r="AN23" i="8"/>
  <c r="AU23" i="8" s="1"/>
  <c r="AD23" i="8"/>
  <c r="AF23" i="8" s="1"/>
  <c r="AO24" i="8"/>
  <c r="AV24" i="8" s="1"/>
  <c r="AM25" i="8"/>
  <c r="AC26" i="8"/>
  <c r="Q26" i="8"/>
  <c r="AP27" i="8"/>
  <c r="AW27" i="8" s="1"/>
  <c r="AP28" i="8"/>
  <c r="AW28" i="8" s="1"/>
  <c r="AN29" i="8"/>
  <c r="AU29" i="8" s="1"/>
  <c r="AD29" i="8"/>
  <c r="AF29" i="8" s="1"/>
  <c r="AN30" i="8"/>
  <c r="AU30" i="8" s="1"/>
  <c r="AQ36" i="8"/>
  <c r="AX36" i="8" s="1"/>
  <c r="AD41" i="8"/>
  <c r="AF41" i="8" s="1"/>
  <c r="P43" i="8"/>
  <c r="AW48" i="8"/>
  <c r="P51" i="8"/>
  <c r="AO51" i="8"/>
  <c r="AV51" i="8" s="1"/>
  <c r="P53" i="8"/>
  <c r="AW54" i="8"/>
  <c r="AB4" i="9"/>
  <c r="AD4" i="9" s="1"/>
  <c r="AA4" i="9"/>
  <c r="AC4" i="9" s="1"/>
  <c r="AN6" i="9"/>
  <c r="AH11" i="9"/>
  <c r="AM8" i="9" s="1"/>
  <c r="Q5" i="10"/>
  <c r="AG9" i="10"/>
  <c r="Y11" i="5"/>
  <c r="AA11" i="5" s="1"/>
  <c r="X11" i="5"/>
  <c r="Z11" i="5" s="1"/>
  <c r="AB11" i="5" s="1"/>
  <c r="AD22" i="5"/>
  <c r="T22" i="5"/>
  <c r="Q22" i="5"/>
  <c r="P22" i="5"/>
  <c r="Y23" i="5"/>
  <c r="AA23" i="5" s="1"/>
  <c r="X23" i="5"/>
  <c r="Z23" i="5" s="1"/>
  <c r="AB23" i="5" s="1"/>
  <c r="Y29" i="5"/>
  <c r="AA29" i="5" s="1"/>
  <c r="X29" i="5"/>
  <c r="Z29" i="5" s="1"/>
  <c r="AN8" i="67"/>
  <c r="AF13" i="5"/>
  <c r="AJ13" i="5" s="1"/>
  <c r="P13" i="5"/>
  <c r="AU5" i="38"/>
  <c r="AO10" i="8"/>
  <c r="AV10" i="8" s="1"/>
  <c r="AO26" i="8"/>
  <c r="AV26" i="8" s="1"/>
  <c r="AC41" i="8"/>
  <c r="Q41" i="8"/>
  <c r="P41" i="8"/>
  <c r="AP43" i="8"/>
  <c r="AW43" i="8" s="1"/>
  <c r="AO43" i="8"/>
  <c r="AV43" i="8" s="1"/>
  <c r="P45" i="8"/>
  <c r="AW46" i="8"/>
  <c r="AW49" i="8"/>
  <c r="AH50" i="8"/>
  <c r="AJ50" i="8" s="1"/>
  <c r="AG50" i="8"/>
  <c r="AI50" i="8" s="1"/>
  <c r="AK50" i="8" s="1"/>
  <c r="AL50" i="8" s="1"/>
  <c r="AQ51" i="8"/>
  <c r="AX51" i="8" s="1"/>
  <c r="AH3" i="9"/>
  <c r="AM3" i="9" s="1"/>
  <c r="X3" i="9"/>
  <c r="Z3" i="9" s="1"/>
  <c r="AN5" i="9"/>
  <c r="AM9" i="9"/>
  <c r="AG4" i="10"/>
  <c r="AG8" i="10"/>
  <c r="AJ3" i="67"/>
  <c r="AN3" i="67" s="1"/>
  <c r="Y3" i="67"/>
  <c r="AJ5" i="67"/>
  <c r="Y5" i="67"/>
  <c r="Y15" i="5"/>
  <c r="AA15" i="5" s="1"/>
  <c r="Y20" i="5"/>
  <c r="AA20" i="5" s="1"/>
  <c r="X20" i="5"/>
  <c r="Z20" i="5" s="1"/>
  <c r="X31" i="5"/>
  <c r="Z31" i="5" s="1"/>
  <c r="AB31" i="5" s="1"/>
  <c r="Y45" i="5"/>
  <c r="AA45" i="5" s="1"/>
  <c r="X45" i="5"/>
  <c r="Z45" i="5" s="1"/>
  <c r="AB45" i="5" s="1"/>
  <c r="AQ26" i="8"/>
  <c r="AX26" i="8" s="1"/>
  <c r="AM30" i="8"/>
  <c r="AC30" i="8"/>
  <c r="Q30" i="8"/>
  <c r="AQ32" i="8"/>
  <c r="AX32" i="8" s="1"/>
  <c r="AR35" i="8"/>
  <c r="AM36" i="8"/>
  <c r="AT36" i="8" s="1"/>
  <c r="AC36" i="8"/>
  <c r="Q36" i="8"/>
  <c r="P37" i="8"/>
  <c r="AT37" i="8"/>
  <c r="AN38" i="8"/>
  <c r="AU38" i="8" s="1"/>
  <c r="P40" i="8"/>
  <c r="AM40" i="8"/>
  <c r="AW42" i="8"/>
  <c r="AQ43" i="8"/>
  <c r="AX43" i="8" s="1"/>
  <c r="AW45" i="8"/>
  <c r="AH48" i="8"/>
  <c r="AJ48" i="8" s="1"/>
  <c r="AG48" i="8"/>
  <c r="AI48" i="8" s="1"/>
  <c r="AK48" i="8" s="1"/>
  <c r="AL48" i="8" s="1"/>
  <c r="AC50" i="8"/>
  <c r="AR51" i="8"/>
  <c r="AY51" i="8" s="1"/>
  <c r="AI3" i="9"/>
  <c r="AN3" i="9" s="1"/>
  <c r="Y3" i="9"/>
  <c r="AH7" i="9"/>
  <c r="AM7" i="9" s="1"/>
  <c r="X7" i="9"/>
  <c r="Z7" i="9" s="1"/>
  <c r="AN9" i="9"/>
  <c r="Q3" i="67"/>
  <c r="AI3" i="67"/>
  <c r="AM3" i="67" s="1"/>
  <c r="Q5" i="67"/>
  <c r="AI5" i="67"/>
  <c r="AM5" i="67" s="1"/>
  <c r="X5" i="5"/>
  <c r="Z5" i="5" s="1"/>
  <c r="AB5" i="5" s="1"/>
  <c r="AC5" i="5" s="1"/>
  <c r="Y5" i="5"/>
  <c r="AA5" i="5" s="1"/>
  <c r="AG9" i="5"/>
  <c r="AK9" i="5" s="1"/>
  <c r="AB15" i="5"/>
  <c r="X30" i="5"/>
  <c r="Z30" i="5" s="1"/>
  <c r="Y30" i="5"/>
  <c r="AA30" i="5" s="1"/>
  <c r="Y42" i="5"/>
  <c r="AA42" i="5" s="1"/>
  <c r="X42" i="5"/>
  <c r="Z42" i="5" s="1"/>
  <c r="AG45" i="5"/>
  <c r="AK45" i="5" s="1"/>
  <c r="AD45" i="5"/>
  <c r="V45" i="5"/>
  <c r="Y56" i="5"/>
  <c r="AA56" i="5" s="1"/>
  <c r="X56" i="5"/>
  <c r="Z56" i="5" s="1"/>
  <c r="AH59" i="5"/>
  <c r="Q4" i="8"/>
  <c r="AE6" i="8"/>
  <c r="Q12" i="8"/>
  <c r="AE14" i="8"/>
  <c r="AO16" i="8"/>
  <c r="AV16" i="8" s="1"/>
  <c r="P19" i="8"/>
  <c r="AC20" i="8"/>
  <c r="Q20" i="8"/>
  <c r="P21" i="8"/>
  <c r="AO22" i="8"/>
  <c r="AV22" i="8" s="1"/>
  <c r="AM24" i="8"/>
  <c r="AR24" i="8"/>
  <c r="AY24" i="8" s="1"/>
  <c r="P27" i="8"/>
  <c r="P33" i="8"/>
  <c r="AO34" i="8"/>
  <c r="AV34" i="8" s="1"/>
  <c r="AN37" i="8"/>
  <c r="AU37" i="8" s="1"/>
  <c r="AD37" i="8"/>
  <c r="AF37" i="8" s="1"/>
  <c r="AO38" i="8"/>
  <c r="AV38" i="8" s="1"/>
  <c r="AP38" i="8"/>
  <c r="AW38" i="8" s="1"/>
  <c r="AW41" i="8"/>
  <c r="AQ41" i="8"/>
  <c r="AX41" i="8" s="1"/>
  <c r="AQ42" i="8"/>
  <c r="AX42" i="8" s="1"/>
  <c r="AR43" i="8"/>
  <c r="AY43" i="8" s="1"/>
  <c r="AG44" i="8"/>
  <c r="AI44" i="8" s="1"/>
  <c r="AK44" i="8" s="1"/>
  <c r="AL44" i="8" s="1"/>
  <c r="AQ45" i="8"/>
  <c r="AX45" i="8" s="1"/>
  <c r="AS46" i="8"/>
  <c r="AZ46" i="8" s="1"/>
  <c r="P48" i="8"/>
  <c r="AM48" i="8"/>
  <c r="AT48" i="8" s="1"/>
  <c r="AN50" i="8"/>
  <c r="AU50" i="8" s="1"/>
  <c r="P6" i="9"/>
  <c r="AG6" i="9"/>
  <c r="AL6" i="9" s="1"/>
  <c r="W6" i="9"/>
  <c r="AI7" i="9"/>
  <c r="AN7" i="9" s="1"/>
  <c r="Y7" i="9"/>
  <c r="AG5" i="10"/>
  <c r="AK4" i="67"/>
  <c r="AD7" i="67"/>
  <c r="AD5" i="67"/>
  <c r="AD3" i="67"/>
  <c r="Y8" i="67"/>
  <c r="Y6" i="67"/>
  <c r="Y4" i="67"/>
  <c r="AD8" i="67"/>
  <c r="AD6" i="67"/>
  <c r="AD4" i="67"/>
  <c r="Y3" i="5"/>
  <c r="AA3" i="5" s="1"/>
  <c r="X3" i="5"/>
  <c r="Z3" i="5" s="1"/>
  <c r="Y28" i="5"/>
  <c r="AA28" i="5" s="1"/>
  <c r="X28" i="5"/>
  <c r="Z28" i="5" s="1"/>
  <c r="AB28" i="5" s="1"/>
  <c r="AD35" i="5"/>
  <c r="T35" i="5"/>
  <c r="P35" i="5"/>
  <c r="Q35" i="5"/>
  <c r="Q49" i="5"/>
  <c r="P49" i="5"/>
  <c r="V61" i="5"/>
  <c r="AG61" i="5"/>
  <c r="AK61" i="5" s="1"/>
  <c r="AN21" i="8"/>
  <c r="AU21" i="8" s="1"/>
  <c r="AD21" i="8"/>
  <c r="AF21" i="8" s="1"/>
  <c r="AQ28" i="8"/>
  <c r="AX28" i="8" s="1"/>
  <c r="AN28" i="8"/>
  <c r="AU28" i="8" s="1"/>
  <c r="AT31" i="8"/>
  <c r="AG33" i="8"/>
  <c r="AI33" i="8" s="1"/>
  <c r="AK33" i="8" s="1"/>
  <c r="AQ34" i="8"/>
  <c r="AX34" i="8" s="1"/>
  <c r="AN36" i="8"/>
  <c r="AU36" i="8" s="1"/>
  <c r="AE36" i="8"/>
  <c r="AO5" i="9"/>
  <c r="AB6" i="9"/>
  <c r="AD6" i="9" s="1"/>
  <c r="AE6" i="9" s="1"/>
  <c r="AF6" i="9" s="1"/>
  <c r="W9" i="9"/>
  <c r="W5" i="9"/>
  <c r="AG10" i="9"/>
  <c r="AL9" i="9" s="1"/>
  <c r="AK11" i="9"/>
  <c r="Q4" i="10"/>
  <c r="Q8" i="10"/>
  <c r="AA8" i="67"/>
  <c r="AC8" i="67" s="1"/>
  <c r="AE8" i="67" s="1"/>
  <c r="AF8" i="67" s="1"/>
  <c r="AC4" i="5"/>
  <c r="AB9" i="5"/>
  <c r="Y36" i="5"/>
  <c r="AA36" i="5" s="1"/>
  <c r="X36" i="5"/>
  <c r="Z36" i="5" s="1"/>
  <c r="AB36" i="5" s="1"/>
  <c r="Y60" i="5"/>
  <c r="AA60" i="5" s="1"/>
  <c r="X60" i="5"/>
  <c r="Z60" i="5" s="1"/>
  <c r="AB60" i="5" s="1"/>
  <c r="AD3" i="5"/>
  <c r="P3" i="5"/>
  <c r="T3" i="5"/>
  <c r="Q7" i="5"/>
  <c r="T7" i="5"/>
  <c r="Y21" i="5"/>
  <c r="AA21" i="5" s="1"/>
  <c r="X21" i="5"/>
  <c r="Z21" i="5" s="1"/>
  <c r="AB21" i="5" s="1"/>
  <c r="AH31" i="5"/>
  <c r="Y37" i="5"/>
  <c r="AA37" i="5" s="1"/>
  <c r="X37" i="5"/>
  <c r="Z37" i="5" s="1"/>
  <c r="AB38" i="5"/>
  <c r="AE40" i="5"/>
  <c r="AI40" i="5" s="1"/>
  <c r="U40" i="5"/>
  <c r="W40" i="5" s="1"/>
  <c r="Y51" i="5"/>
  <c r="AA51" i="5" s="1"/>
  <c r="X51" i="5"/>
  <c r="Z51" i="5" s="1"/>
  <c r="AB52" i="5"/>
  <c r="AC52" i="5" s="1"/>
  <c r="AE54" i="5"/>
  <c r="AI54" i="5" s="1"/>
  <c r="U54" i="5"/>
  <c r="W54" i="5" s="1"/>
  <c r="P11" i="59"/>
  <c r="AD11" i="59"/>
  <c r="AH11" i="59" s="1"/>
  <c r="O11" i="59"/>
  <c r="Q38" i="8"/>
  <c r="AC38" i="8"/>
  <c r="AD39" i="8"/>
  <c r="AF39" i="8" s="1"/>
  <c r="AE40" i="8"/>
  <c r="Q46" i="8"/>
  <c r="AC46" i="8"/>
  <c r="AD47" i="8"/>
  <c r="AF47" i="8" s="1"/>
  <c r="AE48" i="8"/>
  <c r="Q54" i="8"/>
  <c r="AC54" i="8"/>
  <c r="AD55" i="8"/>
  <c r="AF55" i="8" s="1"/>
  <c r="P3" i="10"/>
  <c r="X3" i="10"/>
  <c r="Z3" i="10" s="1"/>
  <c r="AA3" i="10" s="1"/>
  <c r="P4" i="10"/>
  <c r="P5" i="10"/>
  <c r="P6" i="10"/>
  <c r="P7" i="10"/>
  <c r="P8" i="10"/>
  <c r="AG3" i="67"/>
  <c r="AK3" i="67" s="1"/>
  <c r="AC4" i="67"/>
  <c r="AG5" i="67"/>
  <c r="AK5" i="67" s="1"/>
  <c r="AC6" i="67"/>
  <c r="AG7" i="67"/>
  <c r="AK7" i="67" s="1"/>
  <c r="AG5" i="5"/>
  <c r="AK5" i="5" s="1"/>
  <c r="AK12" i="5"/>
  <c r="U14" i="5"/>
  <c r="W14" i="5" s="1"/>
  <c r="AE14" i="5"/>
  <c r="AI14" i="5" s="1"/>
  <c r="T14" i="5"/>
  <c r="AD15" i="5"/>
  <c r="X17" i="5"/>
  <c r="Z17" i="5" s="1"/>
  <c r="AB17" i="5" s="1"/>
  <c r="AK19" i="5"/>
  <c r="AH20" i="5"/>
  <c r="AE21" i="5"/>
  <c r="AI21" i="5" s="1"/>
  <c r="V21" i="5"/>
  <c r="Y22" i="5"/>
  <c r="AA22" i="5" s="1"/>
  <c r="AB22" i="5" s="1"/>
  <c r="AC22" i="5" s="1"/>
  <c r="P25" i="5"/>
  <c r="AK25" i="5"/>
  <c r="AG26" i="5"/>
  <c r="AK26" i="5" s="1"/>
  <c r="AD27" i="5"/>
  <c r="AH27" i="5" s="1"/>
  <c r="P27" i="5"/>
  <c r="T27" i="5"/>
  <c r="P31" i="5"/>
  <c r="P33" i="5"/>
  <c r="AK33" i="5"/>
  <c r="AG34" i="5"/>
  <c r="AK34" i="5" s="1"/>
  <c r="AE37" i="5"/>
  <c r="AI37" i="5" s="1"/>
  <c r="AK38" i="5"/>
  <c r="P41" i="5"/>
  <c r="X44" i="5"/>
  <c r="Z44" i="5" s="1"/>
  <c r="AB44" i="5" s="1"/>
  <c r="Y49" i="5"/>
  <c r="AA49" i="5" s="1"/>
  <c r="AB49" i="5" s="1"/>
  <c r="AC49" i="5" s="1"/>
  <c r="AE51" i="5"/>
  <c r="AI51" i="5" s="1"/>
  <c r="AK52" i="5"/>
  <c r="P55" i="5"/>
  <c r="Y62" i="5"/>
  <c r="AA62" i="5" s="1"/>
  <c r="X62" i="5"/>
  <c r="Z62" i="5" s="1"/>
  <c r="Y4" i="38"/>
  <c r="AA4" i="38" s="1"/>
  <c r="AI4" i="38"/>
  <c r="AR44" i="8"/>
  <c r="AY44" i="8" s="1"/>
  <c r="Q45" i="8"/>
  <c r="P52" i="8"/>
  <c r="AR52" i="8"/>
  <c r="AY52" i="8" s="1"/>
  <c r="Q53" i="8"/>
  <c r="AR56" i="8"/>
  <c r="AY3" i="8" s="1"/>
  <c r="AG3" i="9"/>
  <c r="P4" i="9"/>
  <c r="AK5" i="9"/>
  <c r="AG7" i="9"/>
  <c r="P8" i="9"/>
  <c r="AK9" i="9"/>
  <c r="Q3" i="10"/>
  <c r="Y3" i="10"/>
  <c r="P6" i="5"/>
  <c r="Q8" i="5"/>
  <c r="P8" i="5"/>
  <c r="AD19" i="5"/>
  <c r="P19" i="5"/>
  <c r="T19" i="5"/>
  <c r="AG24" i="5"/>
  <c r="AK24" i="5" s="1"/>
  <c r="AE27" i="5"/>
  <c r="AI27" i="5" s="1"/>
  <c r="U27" i="5"/>
  <c r="W27" i="5" s="1"/>
  <c r="P29" i="5"/>
  <c r="AF29" i="5"/>
  <c r="AJ29" i="5" s="1"/>
  <c r="AG32" i="5"/>
  <c r="AK32" i="5" s="1"/>
  <c r="Y34" i="5"/>
  <c r="AA34" i="5" s="1"/>
  <c r="X34" i="5"/>
  <c r="Z34" i="5" s="1"/>
  <c r="AB34" i="5" s="1"/>
  <c r="AG37" i="5"/>
  <c r="AK37" i="5" s="1"/>
  <c r="AD37" i="5"/>
  <c r="AH37" i="5" s="1"/>
  <c r="V37" i="5"/>
  <c r="AD42" i="5"/>
  <c r="AK48" i="5"/>
  <c r="AG51" i="5"/>
  <c r="AK51" i="5" s="1"/>
  <c r="AD51" i="5"/>
  <c r="V51" i="5"/>
  <c r="AD56" i="5"/>
  <c r="AH56" i="5" s="1"/>
  <c r="AF58" i="5"/>
  <c r="AJ58" i="5" s="1"/>
  <c r="Q58" i="5"/>
  <c r="U5" i="59"/>
  <c r="W5" i="59" s="1"/>
  <c r="Y7" i="59"/>
  <c r="AA7" i="59" s="1"/>
  <c r="X7" i="59"/>
  <c r="Z7" i="59" s="1"/>
  <c r="AH9" i="38"/>
  <c r="AO9" i="38" s="1"/>
  <c r="Z9" i="38"/>
  <c r="AI9" i="38"/>
  <c r="AJ9" i="38"/>
  <c r="AQ9" i="38" s="1"/>
  <c r="AN9" i="38"/>
  <c r="AU9" i="38" s="1"/>
  <c r="AM9" i="38"/>
  <c r="P5" i="75"/>
  <c r="O5" i="75"/>
  <c r="AD5" i="75"/>
  <c r="AG5" i="75" s="1"/>
  <c r="T5" i="75"/>
  <c r="AJ43" i="8"/>
  <c r="AD45" i="8"/>
  <c r="AF45" i="8" s="1"/>
  <c r="AE46" i="8"/>
  <c r="Q52" i="8"/>
  <c r="AC52" i="8"/>
  <c r="AD53" i="8"/>
  <c r="AF53" i="8" s="1"/>
  <c r="AE54" i="8"/>
  <c r="Q4" i="9"/>
  <c r="AQ4" i="9" s="1"/>
  <c r="Q8" i="9"/>
  <c r="AQ8" i="9" s="1"/>
  <c r="R3" i="10"/>
  <c r="S9" i="10"/>
  <c r="U9" i="10" s="1"/>
  <c r="W4" i="67"/>
  <c r="W6" i="67"/>
  <c r="AI7" i="67"/>
  <c r="AM7" i="67" s="1"/>
  <c r="W8" i="67"/>
  <c r="AJ9" i="67"/>
  <c r="AN4" i="67" s="1"/>
  <c r="AF3" i="5"/>
  <c r="AJ3" i="5" s="1"/>
  <c r="AE4" i="5"/>
  <c r="AI4" i="5" s="1"/>
  <c r="AF5" i="5"/>
  <c r="AJ5" i="5" s="1"/>
  <c r="Q6" i="5"/>
  <c r="AD6" i="5"/>
  <c r="AE8" i="5"/>
  <c r="AI8" i="5" s="1"/>
  <c r="AG11" i="5"/>
  <c r="AK11" i="5" s="1"/>
  <c r="AE11" i="5"/>
  <c r="AI11" i="5" s="1"/>
  <c r="AD13" i="5"/>
  <c r="AF16" i="5"/>
  <c r="AJ16" i="5" s="1"/>
  <c r="Y18" i="5"/>
  <c r="AA18" i="5" s="1"/>
  <c r="X18" i="5"/>
  <c r="Z18" i="5" s="1"/>
  <c r="AB18" i="5" s="1"/>
  <c r="AE19" i="5"/>
  <c r="AI19" i="5" s="1"/>
  <c r="U19" i="5"/>
  <c r="W19" i="5" s="1"/>
  <c r="P21" i="5"/>
  <c r="AF21" i="5"/>
  <c r="AJ21" i="5" s="1"/>
  <c r="AK31" i="5"/>
  <c r="P34" i="5"/>
  <c r="V34" i="5"/>
  <c r="Q39" i="5"/>
  <c r="Q42" i="5"/>
  <c r="AF42" i="5"/>
  <c r="AJ42" i="5" s="1"/>
  <c r="AK43" i="5"/>
  <c r="P47" i="5"/>
  <c r="AF47" i="5"/>
  <c r="AJ47" i="5" s="1"/>
  <c r="AK47" i="5"/>
  <c r="AK49" i="5"/>
  <c r="Q53" i="5"/>
  <c r="Q56" i="5"/>
  <c r="AF56" i="5"/>
  <c r="AJ56" i="5" s="1"/>
  <c r="Y57" i="5"/>
  <c r="AA57" i="5" s="1"/>
  <c r="X57" i="5"/>
  <c r="Z57" i="5" s="1"/>
  <c r="AB57" i="5" s="1"/>
  <c r="AE62" i="5"/>
  <c r="AI62" i="5" s="1"/>
  <c r="AD62" i="5"/>
  <c r="AG62" i="5"/>
  <c r="AK62" i="5" s="1"/>
  <c r="U3" i="59"/>
  <c r="W3" i="59" s="1"/>
  <c r="AE3" i="59"/>
  <c r="AI3" i="59" s="1"/>
  <c r="O4" i="59"/>
  <c r="AD5" i="59"/>
  <c r="V5" i="59"/>
  <c r="X8" i="59"/>
  <c r="Z8" i="59" s="1"/>
  <c r="AB8" i="59" s="1"/>
  <c r="AC8" i="59" s="1"/>
  <c r="Y8" i="59"/>
  <c r="AI8" i="38"/>
  <c r="AP8" i="38" s="1"/>
  <c r="Y8" i="38"/>
  <c r="AA8" i="38" s="1"/>
  <c r="AC9" i="38"/>
  <c r="AE9" i="38" s="1"/>
  <c r="AB9" i="38"/>
  <c r="AD9" i="38" s="1"/>
  <c r="AQ49" i="8"/>
  <c r="AX49" i="8" s="1"/>
  <c r="AR50" i="8"/>
  <c r="S4" i="10"/>
  <c r="U4" i="10" s="1"/>
  <c r="S5" i="10"/>
  <c r="U5" i="10" s="1"/>
  <c r="S6" i="10"/>
  <c r="U6" i="10" s="1"/>
  <c r="S7" i="10"/>
  <c r="U7" i="10" s="1"/>
  <c r="S8" i="10"/>
  <c r="U8" i="10" s="1"/>
  <c r="P10" i="5"/>
  <c r="AD11" i="5"/>
  <c r="P11" i="5"/>
  <c r="T11" i="5"/>
  <c r="Q13" i="5"/>
  <c r="AE13" i="5"/>
  <c r="AI13" i="5" s="1"/>
  <c r="Q15" i="5"/>
  <c r="T15" i="5"/>
  <c r="AG16" i="5"/>
  <c r="AK16" i="5" s="1"/>
  <c r="P18" i="5"/>
  <c r="AF18" i="5"/>
  <c r="AJ18" i="5" s="1"/>
  <c r="AD24" i="5"/>
  <c r="Q24" i="5"/>
  <c r="P24" i="5"/>
  <c r="X24" i="5"/>
  <c r="Z24" i="5" s="1"/>
  <c r="Y24" i="5"/>
  <c r="AA24" i="5" s="1"/>
  <c r="Y26" i="5"/>
  <c r="AA26" i="5" s="1"/>
  <c r="X26" i="5"/>
  <c r="Z26" i="5" s="1"/>
  <c r="P30" i="5"/>
  <c r="AD32" i="5"/>
  <c r="Q32" i="5"/>
  <c r="P32" i="5"/>
  <c r="X32" i="5"/>
  <c r="Z32" i="5" s="1"/>
  <c r="Y32" i="5"/>
  <c r="AA32" i="5" s="1"/>
  <c r="AD43" i="5"/>
  <c r="T43" i="5"/>
  <c r="P43" i="5"/>
  <c r="AK44" i="5"/>
  <c r="AD48" i="5"/>
  <c r="Q48" i="5"/>
  <c r="P48" i="5"/>
  <c r="X48" i="5"/>
  <c r="Z48" i="5" s="1"/>
  <c r="Y48" i="5"/>
  <c r="AA48" i="5" s="1"/>
  <c r="AC55" i="5"/>
  <c r="Q62" i="5"/>
  <c r="P62" i="5"/>
  <c r="Y4" i="75"/>
  <c r="X4" i="75"/>
  <c r="Z4" i="75" s="1"/>
  <c r="AB4" i="75" s="1"/>
  <c r="AC4" i="75" s="1"/>
  <c r="Q42" i="8"/>
  <c r="AE44" i="8"/>
  <c r="AG46" i="8"/>
  <c r="Q50" i="8"/>
  <c r="AE52" i="8"/>
  <c r="AG54" i="8"/>
  <c r="AI54" i="8" s="1"/>
  <c r="AK54" i="8" s="1"/>
  <c r="AL54" i="8" s="1"/>
  <c r="X5" i="9"/>
  <c r="Z5" i="9" s="1"/>
  <c r="X9" i="9"/>
  <c r="Z9" i="9" s="1"/>
  <c r="T3" i="10"/>
  <c r="T4" i="10"/>
  <c r="T5" i="10"/>
  <c r="T6" i="10"/>
  <c r="T7" i="10"/>
  <c r="T8" i="10"/>
  <c r="AK4" i="5"/>
  <c r="U6" i="5"/>
  <c r="W6" i="5" s="1"/>
  <c r="AE6" i="5"/>
  <c r="AI6" i="5" s="1"/>
  <c r="AD7" i="5"/>
  <c r="T9" i="5"/>
  <c r="AD9" i="5"/>
  <c r="AH9" i="5" s="1"/>
  <c r="AG13" i="5"/>
  <c r="AK13" i="5" s="1"/>
  <c r="AK23" i="5"/>
  <c r="AE24" i="5"/>
  <c r="AI24" i="5" s="1"/>
  <c r="AK29" i="5"/>
  <c r="AE32" i="5"/>
  <c r="AI32" i="5" s="1"/>
  <c r="AD34" i="5"/>
  <c r="AK40" i="5"/>
  <c r="AB46" i="5"/>
  <c r="AC46" i="5" s="1"/>
  <c r="AK54" i="5"/>
  <c r="AK57" i="5"/>
  <c r="P59" i="5"/>
  <c r="AF59" i="5"/>
  <c r="AJ59" i="5" s="1"/>
  <c r="AK60" i="5"/>
  <c r="AQ6" i="38"/>
  <c r="Y3" i="75"/>
  <c r="X3" i="75"/>
  <c r="AG6" i="70"/>
  <c r="AK6" i="70" s="1"/>
  <c r="AF6" i="70"/>
  <c r="AJ6" i="70" s="1"/>
  <c r="AD6" i="70"/>
  <c r="AH6" i="70" s="1"/>
  <c r="AH22" i="70" s="1"/>
  <c r="V6" i="70"/>
  <c r="Y5" i="9"/>
  <c r="Y9" i="9"/>
  <c r="AH9" i="67"/>
  <c r="Q3" i="5"/>
  <c r="P7" i="5"/>
  <c r="AE9" i="5"/>
  <c r="AI9" i="5" s="1"/>
  <c r="AD16" i="5"/>
  <c r="Q16" i="5"/>
  <c r="P16" i="5"/>
  <c r="AF24" i="5"/>
  <c r="AJ24" i="5" s="1"/>
  <c r="V24" i="5"/>
  <c r="Q26" i="5"/>
  <c r="P26" i="5"/>
  <c r="AF26" i="5"/>
  <c r="AJ26" i="5" s="1"/>
  <c r="AK28" i="5"/>
  <c r="AD30" i="5"/>
  <c r="AH30" i="5" s="1"/>
  <c r="T30" i="5"/>
  <c r="Q34" i="5"/>
  <c r="AF34" i="5"/>
  <c r="AJ34" i="5" s="1"/>
  <c r="AK35" i="5"/>
  <c r="P39" i="5"/>
  <c r="AF39" i="5"/>
  <c r="AJ39" i="5" s="1"/>
  <c r="AK39" i="5"/>
  <c r="AE45" i="5"/>
  <c r="AI45" i="5" s="1"/>
  <c r="AK46" i="5"/>
  <c r="AF50" i="5"/>
  <c r="AJ50" i="5" s="1"/>
  <c r="P53" i="5"/>
  <c r="AF53" i="5"/>
  <c r="AJ53" i="5" s="1"/>
  <c r="AK53" i="5"/>
  <c r="AK56" i="5"/>
  <c r="X58" i="5"/>
  <c r="Z58" i="5" s="1"/>
  <c r="Y58" i="5"/>
  <c r="AA58" i="5" s="1"/>
  <c r="AE61" i="5"/>
  <c r="AI61" i="5" s="1"/>
  <c r="U61" i="5"/>
  <c r="W61" i="5" s="1"/>
  <c r="Y4" i="59"/>
  <c r="AH6" i="59"/>
  <c r="Z10" i="59"/>
  <c r="Z12" i="59"/>
  <c r="AD13" i="59"/>
  <c r="AH12" i="59" s="1"/>
  <c r="T8" i="59"/>
  <c r="T9" i="59"/>
  <c r="Z4" i="59"/>
  <c r="T4" i="59"/>
  <c r="AD17" i="5"/>
  <c r="AE22" i="5"/>
  <c r="AI22" i="5" s="1"/>
  <c r="T23" i="5"/>
  <c r="AD25" i="5"/>
  <c r="AE30" i="5"/>
  <c r="AI30" i="5" s="1"/>
  <c r="T31" i="5"/>
  <c r="AD33" i="5"/>
  <c r="AH33" i="5" s="1"/>
  <c r="AE38" i="5"/>
  <c r="AI38" i="5" s="1"/>
  <c r="T39" i="5"/>
  <c r="V41" i="5"/>
  <c r="AD41" i="5"/>
  <c r="AF43" i="5"/>
  <c r="AJ43" i="5" s="1"/>
  <c r="AE46" i="5"/>
  <c r="AI46" i="5" s="1"/>
  <c r="T47" i="5"/>
  <c r="AE49" i="5"/>
  <c r="AI49" i="5" s="1"/>
  <c r="Q51" i="5"/>
  <c r="AE52" i="5"/>
  <c r="AI52" i="5" s="1"/>
  <c r="T53" i="5"/>
  <c r="V55" i="5"/>
  <c r="AD55" i="5"/>
  <c r="U59" i="5"/>
  <c r="W59" i="5" s="1"/>
  <c r="T62" i="5"/>
  <c r="P3" i="59"/>
  <c r="O12" i="59"/>
  <c r="AK5" i="38"/>
  <c r="AR5" i="38" s="1"/>
  <c r="AC6" i="61"/>
  <c r="AE6" i="61" s="1"/>
  <c r="AB6" i="61"/>
  <c r="AD6" i="61" s="1"/>
  <c r="T34" i="5"/>
  <c r="V36" i="5"/>
  <c r="T42" i="5"/>
  <c r="V44" i="5"/>
  <c r="U47" i="5"/>
  <c r="W47" i="5" s="1"/>
  <c r="AD50" i="5"/>
  <c r="T56" i="5"/>
  <c r="AE58" i="5"/>
  <c r="AI58" i="5" s="1"/>
  <c r="T58" i="5"/>
  <c r="AD58" i="5"/>
  <c r="AD61" i="5"/>
  <c r="P5" i="59"/>
  <c r="T5" i="59"/>
  <c r="AE7" i="59"/>
  <c r="AI7" i="59" s="1"/>
  <c r="AH9" i="59"/>
  <c r="AM5" i="38"/>
  <c r="AL9" i="38"/>
  <c r="AS9" i="38" s="1"/>
  <c r="P4" i="75"/>
  <c r="O4" i="75"/>
  <c r="AD4" i="75"/>
  <c r="AG4" i="75" s="1"/>
  <c r="AH4" i="75"/>
  <c r="Y5" i="75"/>
  <c r="AA5" i="75" s="1"/>
  <c r="X5" i="75"/>
  <c r="T10" i="39"/>
  <c r="V10" i="39" s="1"/>
  <c r="Y8" i="70"/>
  <c r="AA8" i="70" s="1"/>
  <c r="X8" i="70"/>
  <c r="Z8" i="70" s="1"/>
  <c r="Q15" i="70"/>
  <c r="P15" i="70"/>
  <c r="T15" i="70"/>
  <c r="AF57" i="5"/>
  <c r="AJ57" i="5" s="1"/>
  <c r="Q60" i="5"/>
  <c r="P60" i="5"/>
  <c r="AH4" i="59"/>
  <c r="AF5" i="59"/>
  <c r="AJ5" i="59" s="1"/>
  <c r="O7" i="59"/>
  <c r="AD7" i="59"/>
  <c r="AH7" i="59" s="1"/>
  <c r="T7" i="59"/>
  <c r="AE11" i="59"/>
  <c r="AI11" i="59" s="1"/>
  <c r="U11" i="59"/>
  <c r="W11" i="59" s="1"/>
  <c r="AA9" i="59"/>
  <c r="AA8" i="59"/>
  <c r="V9" i="59"/>
  <c r="AA4" i="59"/>
  <c r="AF13" i="59"/>
  <c r="AJ4" i="38"/>
  <c r="AQ4" i="38" s="1"/>
  <c r="O4" i="38"/>
  <c r="AF3" i="75"/>
  <c r="AI3" i="75" s="1"/>
  <c r="P3" i="75"/>
  <c r="AE12" i="22"/>
  <c r="AE11" i="22"/>
  <c r="AG21" i="39"/>
  <c r="AJ24" i="39"/>
  <c r="T29" i="39"/>
  <c r="V29" i="39" s="1"/>
  <c r="T21" i="39"/>
  <c r="V21" i="39" s="1"/>
  <c r="T13" i="39"/>
  <c r="V13" i="39" s="1"/>
  <c r="T5" i="39"/>
  <c r="V5" i="39" s="1"/>
  <c r="T31" i="39"/>
  <c r="V31" i="39" s="1"/>
  <c r="T23" i="39"/>
  <c r="V23" i="39" s="1"/>
  <c r="T15" i="39"/>
  <c r="V15" i="39" s="1"/>
  <c r="T7" i="39"/>
  <c r="V7" i="39" s="1"/>
  <c r="T33" i="39"/>
  <c r="V33" i="39" s="1"/>
  <c r="T25" i="39"/>
  <c r="V25" i="39" s="1"/>
  <c r="T17" i="39"/>
  <c r="V17" i="39" s="1"/>
  <c r="T9" i="39"/>
  <c r="V9" i="39" s="1"/>
  <c r="T30" i="39"/>
  <c r="V30" i="39" s="1"/>
  <c r="T22" i="39"/>
  <c r="V22" i="39" s="1"/>
  <c r="T14" i="39"/>
  <c r="V14" i="39" s="1"/>
  <c r="T6" i="39"/>
  <c r="V6" i="39" s="1"/>
  <c r="AD36" i="39"/>
  <c r="AH22" i="39" s="1"/>
  <c r="T8" i="39"/>
  <c r="V8" i="39" s="1"/>
  <c r="T32" i="39"/>
  <c r="V32" i="39" s="1"/>
  <c r="T16" i="39"/>
  <c r="V16" i="39" s="1"/>
  <c r="P23" i="5"/>
  <c r="U35" i="5"/>
  <c r="W35" i="5" s="1"/>
  <c r="T38" i="5"/>
  <c r="U43" i="5"/>
  <c r="W43" i="5" s="1"/>
  <c r="T46" i="5"/>
  <c r="T49" i="5"/>
  <c r="T52" i="5"/>
  <c r="T6" i="59"/>
  <c r="O6" i="59"/>
  <c r="AH10" i="59"/>
  <c r="AU3" i="38"/>
  <c r="Z5" i="38"/>
  <c r="AB6" i="38"/>
  <c r="AD6" i="38" s="1"/>
  <c r="AF6" i="38" s="1"/>
  <c r="AG6" i="38" s="1"/>
  <c r="AC6" i="38"/>
  <c r="P7" i="75"/>
  <c r="O7" i="75"/>
  <c r="AD7" i="75"/>
  <c r="AG7" i="75" s="1"/>
  <c r="T7" i="75"/>
  <c r="AD8" i="75"/>
  <c r="Z7" i="75"/>
  <c r="Z6" i="75"/>
  <c r="Z5" i="75"/>
  <c r="Z3" i="75"/>
  <c r="AJ7" i="39"/>
  <c r="AH14" i="39"/>
  <c r="T24" i="39"/>
  <c r="V24" i="39" s="1"/>
  <c r="T34" i="39"/>
  <c r="V34" i="39" s="1"/>
  <c r="AF37" i="5"/>
  <c r="AJ37" i="5" s="1"/>
  <c r="AF45" i="5"/>
  <c r="AJ45" i="5" s="1"/>
  <c r="Q50" i="5"/>
  <c r="AF51" i="5"/>
  <c r="AJ51" i="5" s="1"/>
  <c r="Q59" i="5"/>
  <c r="P63" i="5"/>
  <c r="T63" i="5"/>
  <c r="AD63" i="5"/>
  <c r="AD65" i="5"/>
  <c r="AH38" i="5" s="1"/>
  <c r="P4" i="59"/>
  <c r="X6" i="59"/>
  <c r="Z6" i="59" s="1"/>
  <c r="AB6" i="59" s="1"/>
  <c r="AC6" i="59" s="1"/>
  <c r="V7" i="59"/>
  <c r="X9" i="59"/>
  <c r="Z9" i="59" s="1"/>
  <c r="AB9" i="59" s="1"/>
  <c r="AC9" i="59" s="1"/>
  <c r="Y9" i="59"/>
  <c r="Y10" i="59"/>
  <c r="AA10" i="59" s="1"/>
  <c r="AA12" i="59"/>
  <c r="AJ5" i="38"/>
  <c r="AQ5" i="38" s="1"/>
  <c r="AP6" i="38"/>
  <c r="Z6" i="38"/>
  <c r="Y7" i="75"/>
  <c r="X7" i="75"/>
  <c r="P6" i="39"/>
  <c r="O6" i="39"/>
  <c r="AC6" i="39"/>
  <c r="AG6" i="39" s="1"/>
  <c r="S6" i="39"/>
  <c r="AF32" i="39"/>
  <c r="AE32" i="39"/>
  <c r="AI32" i="39" s="1"/>
  <c r="U32" i="39"/>
  <c r="X4" i="37"/>
  <c r="Z4" i="37" s="1"/>
  <c r="W4" i="37"/>
  <c r="Y4" i="37" s="1"/>
  <c r="AA4" i="37" s="1"/>
  <c r="AB4" i="37" s="1"/>
  <c r="T59" i="5"/>
  <c r="U63" i="5"/>
  <c r="W63" i="5" s="1"/>
  <c r="V4" i="59"/>
  <c r="O5" i="59"/>
  <c r="V6" i="59"/>
  <c r="AA6" i="59"/>
  <c r="AF8" i="59"/>
  <c r="AJ8" i="59" s="1"/>
  <c r="V8" i="59"/>
  <c r="AG8" i="59"/>
  <c r="AK8" i="59" s="1"/>
  <c r="Y3" i="38"/>
  <c r="AA3" i="38" s="1"/>
  <c r="Y7" i="38"/>
  <c r="AA7" i="38" s="1"/>
  <c r="AI10" i="38"/>
  <c r="AP7" i="38" s="1"/>
  <c r="T4" i="75"/>
  <c r="AD3" i="39"/>
  <c r="T3" i="39"/>
  <c r="V3" i="39" s="1"/>
  <c r="AH6" i="39"/>
  <c r="AH21" i="70"/>
  <c r="AC13" i="61"/>
  <c r="AE13" i="61" s="1"/>
  <c r="AB13" i="61"/>
  <c r="AD13" i="61" s="1"/>
  <c r="AC14" i="61"/>
  <c r="AE14" i="61" s="1"/>
  <c r="AB14" i="61"/>
  <c r="AD14" i="61" s="1"/>
  <c r="P3" i="38"/>
  <c r="AH3" i="38"/>
  <c r="AO3" i="38" s="1"/>
  <c r="V5" i="75"/>
  <c r="P6" i="75"/>
  <c r="O6" i="75"/>
  <c r="AD6" i="75"/>
  <c r="AG6" i="75" s="1"/>
  <c r="AG9" i="22"/>
  <c r="O13" i="39"/>
  <c r="AE13" i="39"/>
  <c r="AI13" i="39" s="1"/>
  <c r="AF16" i="39"/>
  <c r="AJ16" i="39" s="1"/>
  <c r="P3" i="70"/>
  <c r="AF3" i="70"/>
  <c r="AJ3" i="70" s="1"/>
  <c r="Q4" i="70"/>
  <c r="P4" i="70"/>
  <c r="AD4" i="70"/>
  <c r="AH4" i="70" s="1"/>
  <c r="T4" i="70"/>
  <c r="Y6" i="70"/>
  <c r="AA6" i="70" s="1"/>
  <c r="X6" i="70"/>
  <c r="Z6" i="70" s="1"/>
  <c r="AE9" i="70"/>
  <c r="AI9" i="70" s="1"/>
  <c r="U9" i="70"/>
  <c r="W9" i="70" s="1"/>
  <c r="Q11" i="70"/>
  <c r="W7" i="37"/>
  <c r="Y7" i="37" s="1"/>
  <c r="X7" i="37"/>
  <c r="Z7" i="37" s="1"/>
  <c r="X11" i="37"/>
  <c r="Z11" i="37" s="1"/>
  <c r="W11" i="37"/>
  <c r="AC7" i="61"/>
  <c r="AE7" i="61" s="1"/>
  <c r="AB7" i="61"/>
  <c r="AD7" i="61" s="1"/>
  <c r="W5" i="23"/>
  <c r="V5" i="23"/>
  <c r="W13" i="23"/>
  <c r="V13" i="23"/>
  <c r="V42" i="50"/>
  <c r="X42" i="50" s="1"/>
  <c r="U42" i="50"/>
  <c r="W42" i="50" s="1"/>
  <c r="O10" i="59"/>
  <c r="T12" i="59"/>
  <c r="P12" i="59"/>
  <c r="P4" i="38"/>
  <c r="AH4" i="38"/>
  <c r="AO4" i="38" s="1"/>
  <c r="AQ7" i="38"/>
  <c r="O8" i="38"/>
  <c r="AN8" i="38"/>
  <c r="AU8" i="38" s="1"/>
  <c r="AE6" i="38"/>
  <c r="O3" i="75"/>
  <c r="AD3" i="75"/>
  <c r="AG3" i="75" s="1"/>
  <c r="AI5" i="75"/>
  <c r="AH6" i="75"/>
  <c r="P7" i="22"/>
  <c r="AG15" i="39"/>
  <c r="O18" i="39"/>
  <c r="AH18" i="39"/>
  <c r="AJ19" i="39"/>
  <c r="AE24" i="39"/>
  <c r="AI24" i="39" s="1"/>
  <c r="U24" i="39"/>
  <c r="AD27" i="39"/>
  <c r="T27" i="39"/>
  <c r="V27" i="39" s="1"/>
  <c r="P30" i="39"/>
  <c r="O30" i="39"/>
  <c r="AC30" i="39"/>
  <c r="AG30" i="39" s="1"/>
  <c r="S30" i="39"/>
  <c r="AE6" i="70"/>
  <c r="AI6" i="70" s="1"/>
  <c r="AF11" i="70"/>
  <c r="AJ11" i="70" s="1"/>
  <c r="P20" i="70"/>
  <c r="AF20" i="70"/>
  <c r="Q20" i="70"/>
  <c r="P10" i="37"/>
  <c r="O10" i="37"/>
  <c r="S10" i="37"/>
  <c r="AC10" i="37"/>
  <c r="AG10" i="37" s="1"/>
  <c r="AC11" i="37"/>
  <c r="AG11" i="37" s="1"/>
  <c r="S11" i="37"/>
  <c r="P11" i="37"/>
  <c r="O11" i="37"/>
  <c r="X14" i="37"/>
  <c r="Z14" i="37" s="1"/>
  <c r="W14" i="37"/>
  <c r="Y14" i="37" s="1"/>
  <c r="AP21" i="61"/>
  <c r="AG7" i="59"/>
  <c r="AK7" i="59" s="1"/>
  <c r="P10" i="59"/>
  <c r="T10" i="59"/>
  <c r="AG13" i="59"/>
  <c r="Y5" i="38"/>
  <c r="AA5" i="38" s="1"/>
  <c r="O6" i="38"/>
  <c r="AH6" i="38"/>
  <c r="AO6" i="38" s="1"/>
  <c r="AL6" i="38"/>
  <c r="AS6" i="38" s="1"/>
  <c r="AQ8" i="38"/>
  <c r="AK9" i="38"/>
  <c r="AR9" i="38" s="1"/>
  <c r="AN10" i="38"/>
  <c r="AU6" i="38" s="1"/>
  <c r="AM10" i="38"/>
  <c r="AT3" i="38" s="1"/>
  <c r="AH3" i="75"/>
  <c r="AI6" i="75"/>
  <c r="AH7" i="75"/>
  <c r="AA7" i="75"/>
  <c r="AA4" i="75"/>
  <c r="AA3" i="75"/>
  <c r="AG4" i="22"/>
  <c r="P9" i="22"/>
  <c r="O5" i="39"/>
  <c r="AE5" i="39"/>
  <c r="AI5" i="39" s="1"/>
  <c r="AF8" i="39"/>
  <c r="AG12" i="39"/>
  <c r="AD16" i="39"/>
  <c r="AH16" i="39" s="1"/>
  <c r="AH21" i="39"/>
  <c r="AG31" i="39"/>
  <c r="P8" i="70"/>
  <c r="X13" i="70"/>
  <c r="Z13" i="70" s="1"/>
  <c r="AB13" i="70" s="1"/>
  <c r="AC13" i="70" s="1"/>
  <c r="Y13" i="70"/>
  <c r="Y19" i="70"/>
  <c r="AA19" i="70" s="1"/>
  <c r="X19" i="70"/>
  <c r="Z19" i="70" s="1"/>
  <c r="O10" i="39"/>
  <c r="AE16" i="39"/>
  <c r="AI16" i="39" s="1"/>
  <c r="U16" i="39"/>
  <c r="AD19" i="39"/>
  <c r="AH19" i="39" s="1"/>
  <c r="T19" i="39"/>
  <c r="V19" i="39" s="1"/>
  <c r="P22" i="39"/>
  <c r="O22" i="39"/>
  <c r="AC22" i="39"/>
  <c r="AG22" i="39" s="1"/>
  <c r="S22" i="39"/>
  <c r="T26" i="39"/>
  <c r="V26" i="39" s="1"/>
  <c r="AH28" i="39"/>
  <c r="AC32" i="39"/>
  <c r="AG32" i="39" s="1"/>
  <c r="O34" i="39"/>
  <c r="Y3" i="70"/>
  <c r="AA3" i="70" s="1"/>
  <c r="X3" i="70"/>
  <c r="Z3" i="70" s="1"/>
  <c r="AB3" i="70" s="1"/>
  <c r="AC3" i="70" s="1"/>
  <c r="AC5" i="70"/>
  <c r="AA5" i="37"/>
  <c r="AB5" i="37" s="1"/>
  <c r="AI12" i="61"/>
  <c r="AP12" i="61" s="1"/>
  <c r="Y12" i="61"/>
  <c r="AA12" i="61" s="1"/>
  <c r="O21" i="39"/>
  <c r="AE21" i="39"/>
  <c r="AI21" i="39" s="1"/>
  <c r="AG28" i="39"/>
  <c r="AD32" i="39"/>
  <c r="AH32" i="39" s="1"/>
  <c r="AJ34" i="39"/>
  <c r="Y7" i="70"/>
  <c r="X7" i="70"/>
  <c r="Z7" i="70" s="1"/>
  <c r="AF12" i="70"/>
  <c r="AJ12" i="70" s="1"/>
  <c r="Q12" i="70"/>
  <c r="AB17" i="70"/>
  <c r="AC17" i="70" s="1"/>
  <c r="AA12" i="37"/>
  <c r="AB12" i="37" s="1"/>
  <c r="AC33" i="61"/>
  <c r="AE33" i="61" s="1"/>
  <c r="AB33" i="61"/>
  <c r="AD33" i="61" s="1"/>
  <c r="X3" i="37"/>
  <c r="Z3" i="37" s="1"/>
  <c r="W3" i="37"/>
  <c r="AI31" i="61"/>
  <c r="Y31" i="61"/>
  <c r="AA31" i="61" s="1"/>
  <c r="X7" i="38"/>
  <c r="P7" i="38"/>
  <c r="O7" i="38"/>
  <c r="AU7" i="38"/>
  <c r="AH5" i="75"/>
  <c r="Y6" i="75"/>
  <c r="AA6" i="75" s="1"/>
  <c r="X6" i="75"/>
  <c r="AG8" i="22"/>
  <c r="AJ3" i="39"/>
  <c r="AE8" i="39"/>
  <c r="AI8" i="39" s="1"/>
  <c r="U8" i="39"/>
  <c r="AD11" i="39"/>
  <c r="T11" i="39"/>
  <c r="V11" i="39" s="1"/>
  <c r="P14" i="39"/>
  <c r="O14" i="39"/>
  <c r="AC14" i="39"/>
  <c r="AG14" i="39" s="1"/>
  <c r="S14" i="39"/>
  <c r="T18" i="39"/>
  <c r="V18" i="39" s="1"/>
  <c r="AG29" i="39"/>
  <c r="AJ30" i="39"/>
  <c r="AD35" i="39"/>
  <c r="AH35" i="39" s="1"/>
  <c r="T35" i="39"/>
  <c r="V35" i="39" s="1"/>
  <c r="AC36" i="39"/>
  <c r="S32" i="39"/>
  <c r="S24" i="39"/>
  <c r="S16" i="39"/>
  <c r="S8" i="39"/>
  <c r="S34" i="39"/>
  <c r="S26" i="39"/>
  <c r="S18" i="39"/>
  <c r="S10" i="39"/>
  <c r="S28" i="39"/>
  <c r="S20" i="39"/>
  <c r="S12" i="39"/>
  <c r="S4" i="39"/>
  <c r="S33" i="39"/>
  <c r="S25" i="39"/>
  <c r="S17" i="39"/>
  <c r="S9" i="39"/>
  <c r="Y4" i="70"/>
  <c r="AA4" i="70" s="1"/>
  <c r="X4" i="70"/>
  <c r="Z4" i="70" s="1"/>
  <c r="Y11" i="70"/>
  <c r="AA11" i="70" s="1"/>
  <c r="X11" i="70"/>
  <c r="Z11" i="70" s="1"/>
  <c r="AB11" i="70" s="1"/>
  <c r="AC11" i="70" s="1"/>
  <c r="Y14" i="70"/>
  <c r="X14" i="70"/>
  <c r="Z14" i="70" s="1"/>
  <c r="S9" i="37"/>
  <c r="P9" i="37"/>
  <c r="O9" i="37"/>
  <c r="AC9" i="37"/>
  <c r="AG9" i="37" s="1"/>
  <c r="X13" i="37"/>
  <c r="Z13" i="37" s="1"/>
  <c r="W13" i="37"/>
  <c r="Y13" i="37" s="1"/>
  <c r="AA13" i="37" s="1"/>
  <c r="AB13" i="37" s="1"/>
  <c r="X8" i="38"/>
  <c r="O7" i="39"/>
  <c r="AC8" i="39"/>
  <c r="AG8" i="39" s="1"/>
  <c r="AE10" i="39"/>
  <c r="AI10" i="39" s="1"/>
  <c r="O15" i="39"/>
  <c r="AC16" i="39"/>
  <c r="AG16" i="39" s="1"/>
  <c r="AE18" i="39"/>
  <c r="AI18" i="39" s="1"/>
  <c r="O23" i="39"/>
  <c r="AC24" i="39"/>
  <c r="AG24" i="39" s="1"/>
  <c r="AE26" i="39"/>
  <c r="AI26" i="39" s="1"/>
  <c r="O31" i="39"/>
  <c r="AE34" i="39"/>
  <c r="AI34" i="39" s="1"/>
  <c r="P5" i="70"/>
  <c r="AA7" i="70"/>
  <c r="AF8" i="70"/>
  <c r="AJ8" i="70" s="1"/>
  <c r="P13" i="70"/>
  <c r="AA13" i="70"/>
  <c r="Q14" i="70"/>
  <c r="U15" i="70"/>
  <c r="W15" i="70" s="1"/>
  <c r="AA17" i="70"/>
  <c r="T18" i="70"/>
  <c r="AD18" i="70"/>
  <c r="AH18" i="70" s="1"/>
  <c r="V19" i="70"/>
  <c r="AD10" i="37"/>
  <c r="AH10" i="37" s="1"/>
  <c r="T10" i="37"/>
  <c r="V10" i="37" s="1"/>
  <c r="O13" i="37"/>
  <c r="AT8" i="61"/>
  <c r="AK9" i="61"/>
  <c r="AR9" i="61" s="1"/>
  <c r="AC11" i="61"/>
  <c r="AE11" i="61" s="1"/>
  <c r="AB11" i="61"/>
  <c r="AD11" i="61" s="1"/>
  <c r="AB18" i="61"/>
  <c r="AD18" i="61" s="1"/>
  <c r="AF18" i="61" s="1"/>
  <c r="AH23" i="61"/>
  <c r="AO23" i="61" s="1"/>
  <c r="P23" i="61"/>
  <c r="O23" i="61"/>
  <c r="X23" i="61"/>
  <c r="AP24" i="61"/>
  <c r="P29" i="61"/>
  <c r="O29" i="61"/>
  <c r="AT29" i="61"/>
  <c r="AN32" i="61"/>
  <c r="AU32" i="61" s="1"/>
  <c r="AL32" i="61"/>
  <c r="AS32" i="61" s="1"/>
  <c r="P35" i="61"/>
  <c r="W4" i="23"/>
  <c r="V4" i="23"/>
  <c r="W12" i="23"/>
  <c r="Y12" i="23" s="1"/>
  <c r="V12" i="23"/>
  <c r="X12" i="23" s="1"/>
  <c r="Z12" i="23" s="1"/>
  <c r="AA12" i="23" s="1"/>
  <c r="Z19" i="73"/>
  <c r="AB19" i="73" s="1"/>
  <c r="Y19" i="73"/>
  <c r="AA19" i="73" s="1"/>
  <c r="AC3" i="39"/>
  <c r="AG3" i="39" s="1"/>
  <c r="P7" i="39"/>
  <c r="AC11" i="39"/>
  <c r="P15" i="39"/>
  <c r="AC19" i="39"/>
  <c r="AG19" i="39" s="1"/>
  <c r="P23" i="39"/>
  <c r="AC27" i="39"/>
  <c r="AG27" i="39" s="1"/>
  <c r="P31" i="39"/>
  <c r="AC35" i="39"/>
  <c r="AG35" i="39" s="1"/>
  <c r="AF36" i="39"/>
  <c r="AJ13" i="39" s="1"/>
  <c r="Q5" i="70"/>
  <c r="V9" i="70"/>
  <c r="AD9" i="70"/>
  <c r="AH9" i="70" s="1"/>
  <c r="Q13" i="70"/>
  <c r="P17" i="70"/>
  <c r="AE18" i="70"/>
  <c r="AI18" i="70" s="1"/>
  <c r="U18" i="70"/>
  <c r="W18" i="70" s="1"/>
  <c r="AF18" i="70"/>
  <c r="AJ18" i="70" s="1"/>
  <c r="S3" i="37"/>
  <c r="P3" i="37"/>
  <c r="AD7" i="37"/>
  <c r="AH7" i="37" s="1"/>
  <c r="AD11" i="37"/>
  <c r="AH11" i="37" s="1"/>
  <c r="U11" i="37"/>
  <c r="AD12" i="37"/>
  <c r="AH12" i="37" s="1"/>
  <c r="T9" i="37"/>
  <c r="V9" i="37" s="1"/>
  <c r="AD15" i="37"/>
  <c r="AI4" i="61"/>
  <c r="Z4" i="61"/>
  <c r="AN6" i="61"/>
  <c r="AU6" i="61" s="1"/>
  <c r="AL9" i="61"/>
  <c r="AS9" i="61" s="1"/>
  <c r="AI17" i="61"/>
  <c r="AP17" i="61" s="1"/>
  <c r="AC23" i="61"/>
  <c r="AE23" i="61" s="1"/>
  <c r="AB23" i="61"/>
  <c r="AD23" i="61" s="1"/>
  <c r="P32" i="61"/>
  <c r="X32" i="61"/>
  <c r="O32" i="61"/>
  <c r="AC41" i="61"/>
  <c r="AB41" i="61"/>
  <c r="AD41" i="61" s="1"/>
  <c r="AF41" i="61" s="1"/>
  <c r="AG41" i="61" s="1"/>
  <c r="W3" i="23"/>
  <c r="V3" i="23"/>
  <c r="X3" i="23" s="1"/>
  <c r="W11" i="23"/>
  <c r="V11" i="23"/>
  <c r="X11" i="23" s="1"/>
  <c r="Z11" i="23" s="1"/>
  <c r="AA11" i="23" s="1"/>
  <c r="W19" i="23"/>
  <c r="V19" i="23"/>
  <c r="X19" i="23" s="1"/>
  <c r="Z19" i="23" s="1"/>
  <c r="AA19" i="23" s="1"/>
  <c r="AE14" i="70"/>
  <c r="AI14" i="70" s="1"/>
  <c r="O5" i="37"/>
  <c r="AC12" i="37"/>
  <c r="AG12" i="37" s="1"/>
  <c r="U12" i="37"/>
  <c r="AE13" i="37"/>
  <c r="AI13" i="37" s="1"/>
  <c r="U13" i="37"/>
  <c r="AC8" i="61"/>
  <c r="AE8" i="61" s="1"/>
  <c r="AB8" i="61"/>
  <c r="AD8" i="61" s="1"/>
  <c r="AF8" i="61" s="1"/>
  <c r="P15" i="61"/>
  <c r="O15" i="61"/>
  <c r="AH15" i="61"/>
  <c r="X15" i="61"/>
  <c r="AT21" i="61"/>
  <c r="AB32" i="61"/>
  <c r="AD32" i="61" s="1"/>
  <c r="AC32" i="61"/>
  <c r="AC35" i="61"/>
  <c r="AB35" i="61"/>
  <c r="AD35" i="61" s="1"/>
  <c r="AF35" i="61" s="1"/>
  <c r="AG35" i="61" s="1"/>
  <c r="AT50" i="61"/>
  <c r="W10" i="23"/>
  <c r="Y10" i="23" s="1"/>
  <c r="V10" i="23"/>
  <c r="W18" i="23"/>
  <c r="V18" i="23"/>
  <c r="X18" i="23" s="1"/>
  <c r="Z18" i="23" s="1"/>
  <c r="AA18" i="23" s="1"/>
  <c r="T4" i="39"/>
  <c r="V4" i="39" s="1"/>
  <c r="P5" i="39"/>
  <c r="S7" i="39"/>
  <c r="U9" i="39"/>
  <c r="T12" i="39"/>
  <c r="V12" i="39" s="1"/>
  <c r="P13" i="39"/>
  <c r="S15" i="39"/>
  <c r="U17" i="39"/>
  <c r="T20" i="39"/>
  <c r="V20" i="39" s="1"/>
  <c r="P21" i="39"/>
  <c r="S23" i="39"/>
  <c r="U25" i="39"/>
  <c r="T28" i="39"/>
  <c r="V28" i="39" s="1"/>
  <c r="P29" i="39"/>
  <c r="S31" i="39"/>
  <c r="U33" i="39"/>
  <c r="AC33" i="39"/>
  <c r="AG33" i="39" s="1"/>
  <c r="Q3" i="70"/>
  <c r="T5" i="70"/>
  <c r="V7" i="70"/>
  <c r="U10" i="70"/>
  <c r="W10" i="70" s="1"/>
  <c r="AG12" i="70"/>
  <c r="AK12" i="70" s="1"/>
  <c r="T13" i="70"/>
  <c r="V14" i="70"/>
  <c r="T17" i="70"/>
  <c r="Q17" i="70"/>
  <c r="O6" i="37"/>
  <c r="W6" i="37"/>
  <c r="Y6" i="37" s="1"/>
  <c r="AA6" i="37" s="1"/>
  <c r="AB6" i="37" s="1"/>
  <c r="O8" i="37"/>
  <c r="AM3" i="61"/>
  <c r="AN5" i="61"/>
  <c r="AU5" i="61" s="1"/>
  <c r="AI7" i="61"/>
  <c r="AP7" i="61" s="1"/>
  <c r="AI9" i="61"/>
  <c r="AP15" i="61"/>
  <c r="AJ17" i="61"/>
  <c r="AQ17" i="61" s="1"/>
  <c r="AM17" i="61"/>
  <c r="P22" i="61"/>
  <c r="AT22" i="61"/>
  <c r="O24" i="61"/>
  <c r="P26" i="61"/>
  <c r="AP33" i="61"/>
  <c r="AC38" i="61"/>
  <c r="AE38" i="61" s="1"/>
  <c r="AB38" i="61"/>
  <c r="AR49" i="61"/>
  <c r="W9" i="23"/>
  <c r="Y9" i="23" s="1"/>
  <c r="V9" i="23"/>
  <c r="W17" i="23"/>
  <c r="V17" i="23"/>
  <c r="AM7" i="38"/>
  <c r="S3" i="22"/>
  <c r="U3" i="22" s="1"/>
  <c r="S4" i="22"/>
  <c r="U4" i="22" s="1"/>
  <c r="S5" i="22"/>
  <c r="U5" i="22" s="1"/>
  <c r="S6" i="22"/>
  <c r="U6" i="22" s="1"/>
  <c r="S7" i="22"/>
  <c r="U7" i="22" s="1"/>
  <c r="S8" i="22"/>
  <c r="U8" i="22" s="1"/>
  <c r="S9" i="22"/>
  <c r="U9" i="22" s="1"/>
  <c r="O3" i="39"/>
  <c r="AD9" i="39"/>
  <c r="O11" i="39"/>
  <c r="AD17" i="39"/>
  <c r="AH17" i="39" s="1"/>
  <c r="O19" i="39"/>
  <c r="AD25" i="39"/>
  <c r="AD33" i="39"/>
  <c r="O35" i="39"/>
  <c r="AE7" i="70"/>
  <c r="AI7" i="70" s="1"/>
  <c r="P9" i="70"/>
  <c r="AD11" i="70"/>
  <c r="AH11" i="70" s="1"/>
  <c r="P12" i="70"/>
  <c r="AD12" i="70"/>
  <c r="AH12" i="70" s="1"/>
  <c r="V17" i="70"/>
  <c r="P19" i="70"/>
  <c r="AD20" i="70"/>
  <c r="P4" i="37"/>
  <c r="AC5" i="37"/>
  <c r="AG5" i="37" s="1"/>
  <c r="S5" i="37"/>
  <c r="AD13" i="37"/>
  <c r="AH13" i="37" s="1"/>
  <c r="AC26" i="61"/>
  <c r="AE26" i="61" s="1"/>
  <c r="AB26" i="61"/>
  <c r="AD26" i="61" s="1"/>
  <c r="AF26" i="61" s="1"/>
  <c r="AG26" i="61" s="1"/>
  <c r="AC30" i="61"/>
  <c r="AE30" i="61" s="1"/>
  <c r="AB30" i="61"/>
  <c r="AF40" i="61"/>
  <c r="W8" i="23"/>
  <c r="Y8" i="23" s="1"/>
  <c r="V8" i="23"/>
  <c r="W16" i="23"/>
  <c r="Y16" i="23" s="1"/>
  <c r="V16" i="23"/>
  <c r="T3" i="22"/>
  <c r="T4" i="22"/>
  <c r="T5" i="22"/>
  <c r="T6" i="22"/>
  <c r="T7" i="22"/>
  <c r="T8" i="22"/>
  <c r="T9" i="22"/>
  <c r="U7" i="39"/>
  <c r="AE9" i="39"/>
  <c r="AI9" i="39" s="1"/>
  <c r="U15" i="39"/>
  <c r="AE17" i="39"/>
  <c r="AI17" i="39" s="1"/>
  <c r="U23" i="39"/>
  <c r="U31" i="39"/>
  <c r="T11" i="70"/>
  <c r="U12" i="70"/>
  <c r="W12" i="70" s="1"/>
  <c r="AF13" i="70"/>
  <c r="AJ13" i="70" s="1"/>
  <c r="AF4" i="37"/>
  <c r="AJ4" i="37" s="1"/>
  <c r="AE12" i="37"/>
  <c r="AI12" i="37" s="1"/>
  <c r="AJ4" i="61"/>
  <c r="AQ4" i="61" s="1"/>
  <c r="O5" i="61"/>
  <c r="Y5" i="61"/>
  <c r="AA5" i="61" s="1"/>
  <c r="AJ9" i="61"/>
  <c r="AQ9" i="61" s="1"/>
  <c r="AM9" i="61"/>
  <c r="AT14" i="61"/>
  <c r="AI20" i="61"/>
  <c r="AP20" i="61" s="1"/>
  <c r="Y20" i="61"/>
  <c r="AA20" i="61" s="1"/>
  <c r="AC21" i="61"/>
  <c r="AE21" i="61" s="1"/>
  <c r="AB21" i="61"/>
  <c r="AD21" i="61" s="1"/>
  <c r="AF21" i="61" s="1"/>
  <c r="AC22" i="61"/>
  <c r="AE22" i="61" s="1"/>
  <c r="AB22" i="61"/>
  <c r="AD22" i="61" s="1"/>
  <c r="AB24" i="61"/>
  <c r="AD24" i="61" s="1"/>
  <c r="AF24" i="61" s="1"/>
  <c r="AG24" i="61" s="1"/>
  <c r="AC24" i="61"/>
  <c r="AE24" i="61" s="1"/>
  <c r="P30" i="61"/>
  <c r="O30" i="61"/>
  <c r="AJ30" i="61"/>
  <c r="AQ30" i="61" s="1"/>
  <c r="AR33" i="61"/>
  <c r="AP41" i="61"/>
  <c r="AR46" i="61"/>
  <c r="AC49" i="61"/>
  <c r="AB49" i="61"/>
  <c r="W7" i="23"/>
  <c r="V7" i="23"/>
  <c r="X7" i="23" s="1"/>
  <c r="Z7" i="23" s="1"/>
  <c r="AA7" i="23" s="1"/>
  <c r="W15" i="23"/>
  <c r="V15" i="23"/>
  <c r="X15" i="23" s="1"/>
  <c r="Z15" i="23" s="1"/>
  <c r="AA15" i="23" s="1"/>
  <c r="AE16" i="70"/>
  <c r="AI16" i="70" s="1"/>
  <c r="U16" i="70"/>
  <c r="W16" i="70" s="1"/>
  <c r="AD19" i="70"/>
  <c r="AH19" i="70" s="1"/>
  <c r="T19" i="70"/>
  <c r="AA14" i="70"/>
  <c r="S4" i="37"/>
  <c r="AC4" i="37"/>
  <c r="AG4" i="37" s="1"/>
  <c r="AG16" i="37" s="1"/>
  <c r="AE5" i="37"/>
  <c r="AI5" i="37" s="1"/>
  <c r="U5" i="37"/>
  <c r="AD8" i="37"/>
  <c r="AH8" i="37" s="1"/>
  <c r="T8" i="37"/>
  <c r="V8" i="37" s="1"/>
  <c r="AP6" i="61"/>
  <c r="AJ7" i="61"/>
  <c r="AQ7" i="61" s="1"/>
  <c r="P7" i="61"/>
  <c r="AO8" i="61"/>
  <c r="AP19" i="61"/>
  <c r="AC19" i="61"/>
  <c r="AE19" i="61" s="1"/>
  <c r="AB19" i="61"/>
  <c r="AD19" i="61" s="1"/>
  <c r="AF19" i="61" s="1"/>
  <c r="AB25" i="61"/>
  <c r="AD25" i="61" s="1"/>
  <c r="AF25" i="61" s="1"/>
  <c r="AG25" i="61" s="1"/>
  <c r="AC25" i="61"/>
  <c r="AE25" i="61" s="1"/>
  <c r="AB34" i="61"/>
  <c r="AC34" i="61"/>
  <c r="AE34" i="61" s="1"/>
  <c r="W6" i="23"/>
  <c r="V6" i="23"/>
  <c r="X6" i="23" s="1"/>
  <c r="Z6" i="23" s="1"/>
  <c r="AA6" i="23" s="1"/>
  <c r="W14" i="23"/>
  <c r="Y14" i="23" s="1"/>
  <c r="V14" i="23"/>
  <c r="Y6" i="34"/>
  <c r="AA6" i="34" s="1"/>
  <c r="X6" i="34"/>
  <c r="Z6" i="34" s="1"/>
  <c r="AB6" i="34" s="1"/>
  <c r="AC6" i="34" s="1"/>
  <c r="AM6" i="61"/>
  <c r="AM12" i="61"/>
  <c r="AM20" i="61"/>
  <c r="AR24" i="61"/>
  <c r="Z26" i="61"/>
  <c r="AM30" i="61"/>
  <c r="X31" i="61"/>
  <c r="AI32" i="61"/>
  <c r="AP32" i="61" s="1"/>
  <c r="X34" i="61"/>
  <c r="AR39" i="61"/>
  <c r="AL39" i="61"/>
  <c r="AS39" i="61" s="1"/>
  <c r="AT41" i="61"/>
  <c r="AT42" i="61"/>
  <c r="AB43" i="61"/>
  <c r="AP46" i="61"/>
  <c r="T6" i="34"/>
  <c r="P6" i="34"/>
  <c r="AD6" i="34"/>
  <c r="AH6" i="34" s="1"/>
  <c r="Q6" i="34"/>
  <c r="AI6" i="34"/>
  <c r="Z11" i="73"/>
  <c r="AB11" i="73" s="1"/>
  <c r="Y11" i="73"/>
  <c r="AA11" i="73" s="1"/>
  <c r="AC11" i="73" s="1"/>
  <c r="Y3" i="37"/>
  <c r="AC7" i="37"/>
  <c r="AG7" i="37" s="1"/>
  <c r="Y11" i="37"/>
  <c r="AA11" i="37" s="1"/>
  <c r="AB11" i="37" s="1"/>
  <c r="S13" i="37"/>
  <c r="Y3" i="61"/>
  <c r="AA3" i="61" s="1"/>
  <c r="X6" i="61"/>
  <c r="O8" i="61"/>
  <c r="Y9" i="61"/>
  <c r="AA9" i="61" s="1"/>
  <c r="O11" i="61"/>
  <c r="X12" i="61"/>
  <c r="Z14" i="61"/>
  <c r="AM15" i="61"/>
  <c r="AT15" i="61" s="1"/>
  <c r="P16" i="61"/>
  <c r="AB16" i="61"/>
  <c r="AD16" i="61" s="1"/>
  <c r="AF16" i="61" s="1"/>
  <c r="Y17" i="61"/>
  <c r="AA17" i="61" s="1"/>
  <c r="O19" i="61"/>
  <c r="X20" i="61"/>
  <c r="Z22" i="61"/>
  <c r="AM23" i="61"/>
  <c r="AT23" i="61" s="1"/>
  <c r="AH25" i="61"/>
  <c r="AO25" i="61" s="1"/>
  <c r="AK26" i="61"/>
  <c r="AR26" i="61" s="1"/>
  <c r="O27" i="61"/>
  <c r="AL31" i="61"/>
  <c r="AS31" i="61" s="1"/>
  <c r="AL33" i="61"/>
  <c r="AS33" i="61" s="1"/>
  <c r="AJ34" i="61"/>
  <c r="AQ34" i="61" s="1"/>
  <c r="AI37" i="61"/>
  <c r="Y37" i="61"/>
  <c r="AA37" i="61" s="1"/>
  <c r="AN37" i="61"/>
  <c r="AU37" i="61" s="1"/>
  <c r="AM37" i="61"/>
  <c r="AT49" i="61"/>
  <c r="AK4" i="34"/>
  <c r="AJ7" i="34"/>
  <c r="P8" i="54"/>
  <c r="O8" i="54"/>
  <c r="AH8" i="54"/>
  <c r="X8" i="54"/>
  <c r="AJ15" i="73"/>
  <c r="V23" i="52"/>
  <c r="X23" i="52" s="1"/>
  <c r="U23" i="52"/>
  <c r="W23" i="52" s="1"/>
  <c r="P8" i="61"/>
  <c r="AH9" i="61"/>
  <c r="AM10" i="61"/>
  <c r="AT10" i="61" s="1"/>
  <c r="P11" i="61"/>
  <c r="O14" i="61"/>
  <c r="AH17" i="61"/>
  <c r="AM18" i="61"/>
  <c r="AT18" i="61" s="1"/>
  <c r="P19" i="61"/>
  <c r="O22" i="61"/>
  <c r="AI23" i="61"/>
  <c r="X25" i="61"/>
  <c r="AI25" i="61"/>
  <c r="O26" i="61"/>
  <c r="AM26" i="61"/>
  <c r="AT27" i="61"/>
  <c r="AH27" i="61"/>
  <c r="AO27" i="61" s="1"/>
  <c r="X28" i="61"/>
  <c r="P28" i="61"/>
  <c r="O28" i="61"/>
  <c r="AN28" i="61"/>
  <c r="AU28" i="61" s="1"/>
  <c r="AK29" i="61"/>
  <c r="AR29" i="61" s="1"/>
  <c r="AH29" i="61"/>
  <c r="AL36" i="61"/>
  <c r="AS36" i="61" s="1"/>
  <c r="O39" i="61"/>
  <c r="AR40" i="61"/>
  <c r="P42" i="61"/>
  <c r="O42" i="61"/>
  <c r="AH42" i="61"/>
  <c r="P43" i="61"/>
  <c r="AC44" i="61"/>
  <c r="AE44" i="61" s="1"/>
  <c r="AB44" i="61"/>
  <c r="AD44" i="61" s="1"/>
  <c r="AF44" i="61" s="1"/>
  <c r="AG44" i="61" s="1"/>
  <c r="AK45" i="61"/>
  <c r="AR45" i="61" s="1"/>
  <c r="AR47" i="61"/>
  <c r="AR48" i="61"/>
  <c r="AQ50" i="61"/>
  <c r="AU50" i="61"/>
  <c r="AK3" i="34"/>
  <c r="AF20" i="73"/>
  <c r="AJ20" i="73" s="1"/>
  <c r="V20" i="73"/>
  <c r="X20" i="73" s="1"/>
  <c r="Z6" i="37"/>
  <c r="AC13" i="37"/>
  <c r="AG13" i="37" s="1"/>
  <c r="X4" i="61"/>
  <c r="Z6" i="61"/>
  <c r="AH6" i="61"/>
  <c r="AO6" i="61" s="1"/>
  <c r="O9" i="61"/>
  <c r="X10" i="61"/>
  <c r="Z12" i="61"/>
  <c r="AH12" i="61"/>
  <c r="Y15" i="61"/>
  <c r="AA15" i="61" s="1"/>
  <c r="O17" i="61"/>
  <c r="X18" i="61"/>
  <c r="Z20" i="61"/>
  <c r="AH20" i="61"/>
  <c r="AJ25" i="61"/>
  <c r="AQ25" i="61" s="1"/>
  <c r="X27" i="61"/>
  <c r="AI28" i="61"/>
  <c r="Y28" i="61"/>
  <c r="AA28" i="61" s="1"/>
  <c r="AI29" i="61"/>
  <c r="X36" i="61"/>
  <c r="P36" i="61"/>
  <c r="O36" i="61"/>
  <c r="AM36" i="61"/>
  <c r="AP39" i="61"/>
  <c r="AL40" i="61"/>
  <c r="AS40" i="61" s="1"/>
  <c r="X42" i="61"/>
  <c r="Z44" i="61"/>
  <c r="AL45" i="61"/>
  <c r="AS45" i="61" s="1"/>
  <c r="AS46" i="61"/>
  <c r="AU47" i="61"/>
  <c r="AU48" i="61"/>
  <c r="X47" i="61"/>
  <c r="AD42" i="61"/>
  <c r="AF42" i="61" s="1"/>
  <c r="AG42" i="61" s="1"/>
  <c r="AD34" i="61"/>
  <c r="AF34" i="61" s="1"/>
  <c r="AG34" i="61" s="1"/>
  <c r="X49" i="61"/>
  <c r="AH51" i="61"/>
  <c r="X46" i="61"/>
  <c r="X38" i="61"/>
  <c r="AD36" i="61"/>
  <c r="AF36" i="61" s="1"/>
  <c r="AG36" i="61" s="1"/>
  <c r="AD49" i="61"/>
  <c r="AF49" i="61" s="1"/>
  <c r="AG49" i="61" s="1"/>
  <c r="AD46" i="61"/>
  <c r="AD38" i="61"/>
  <c r="AF38" i="61" s="1"/>
  <c r="AG38" i="61" s="1"/>
  <c r="AD30" i="61"/>
  <c r="AD43" i="61"/>
  <c r="AF43" i="61" s="1"/>
  <c r="AD27" i="61"/>
  <c r="AF27" i="61" s="1"/>
  <c r="AG27" i="61" s="1"/>
  <c r="AC6" i="54"/>
  <c r="AE6" i="54" s="1"/>
  <c r="AB6" i="54"/>
  <c r="AD4" i="56"/>
  <c r="AD6" i="56"/>
  <c r="P6" i="73"/>
  <c r="AG6" i="73"/>
  <c r="AK6" i="73" s="1"/>
  <c r="Q7" i="73"/>
  <c r="P7" i="73"/>
  <c r="AE7" i="73"/>
  <c r="U7" i="73"/>
  <c r="O12" i="61"/>
  <c r="O20" i="61"/>
  <c r="P24" i="61"/>
  <c r="Z28" i="61"/>
  <c r="AM28" i="61"/>
  <c r="AT28" i="61" s="1"/>
  <c r="AH30" i="61"/>
  <c r="AK30" i="61"/>
  <c r="AR30" i="61" s="1"/>
  <c r="O35" i="61"/>
  <c r="AH35" i="61"/>
  <c r="AI36" i="61"/>
  <c r="AP36" i="61" s="1"/>
  <c r="AC39" i="61"/>
  <c r="AE39" i="61" s="1"/>
  <c r="AB39" i="61"/>
  <c r="AD39" i="61" s="1"/>
  <c r="P40" i="61"/>
  <c r="AH40" i="61"/>
  <c r="X40" i="61"/>
  <c r="AI42" i="61"/>
  <c r="AP42" i="61" s="1"/>
  <c r="Z42" i="61"/>
  <c r="O43" i="61"/>
  <c r="X43" i="61"/>
  <c r="AI45" i="61"/>
  <c r="AP45" i="61" s="1"/>
  <c r="Y45" i="61"/>
  <c r="AA45" i="61" s="1"/>
  <c r="O47" i="61"/>
  <c r="AI48" i="61"/>
  <c r="Y48" i="61"/>
  <c r="AA48" i="61" s="1"/>
  <c r="Q3" i="34"/>
  <c r="P3" i="34"/>
  <c r="AD3" i="34"/>
  <c r="AH3" i="34" s="1"/>
  <c r="T3" i="34"/>
  <c r="Z12" i="37"/>
  <c r="AH4" i="61"/>
  <c r="AM5" i="61"/>
  <c r="AH10" i="61"/>
  <c r="AO10" i="61" s="1"/>
  <c r="AH18" i="61"/>
  <c r="AO18" i="61" s="1"/>
  <c r="AL23" i="61"/>
  <c r="AS23" i="61" s="1"/>
  <c r="AL26" i="61"/>
  <c r="AS26" i="61" s="1"/>
  <c r="AL30" i="61"/>
  <c r="AS30" i="61" s="1"/>
  <c r="AI34" i="61"/>
  <c r="Z36" i="61"/>
  <c r="AP38" i="61"/>
  <c r="AJ39" i="61"/>
  <c r="AQ39" i="61" s="1"/>
  <c r="P39" i="61"/>
  <c r="AT43" i="61"/>
  <c r="AH45" i="61"/>
  <c r="Z45" i="61"/>
  <c r="Y47" i="61"/>
  <c r="AA47" i="61" s="1"/>
  <c r="AU49" i="61"/>
  <c r="AR50" i="61"/>
  <c r="AF7" i="23"/>
  <c r="AF8" i="23"/>
  <c r="AF9" i="23"/>
  <c r="AF10" i="23"/>
  <c r="AF11" i="23"/>
  <c r="AF12" i="23"/>
  <c r="AF13" i="23"/>
  <c r="AF14" i="23"/>
  <c r="AF15" i="23"/>
  <c r="AF16" i="23"/>
  <c r="AF17" i="23"/>
  <c r="AF18" i="23"/>
  <c r="AF19" i="23"/>
  <c r="AB9" i="34"/>
  <c r="AC9" i="34" s="1"/>
  <c r="AR3" i="54"/>
  <c r="Z18" i="73"/>
  <c r="AB18" i="73" s="1"/>
  <c r="Y18" i="73"/>
  <c r="AA18" i="73" s="1"/>
  <c r="AI30" i="61"/>
  <c r="AP30" i="61" s="1"/>
  <c r="O31" i="61"/>
  <c r="AH31" i="61"/>
  <c r="P34" i="61"/>
  <c r="AH34" i="61"/>
  <c r="AO34" i="61" s="1"/>
  <c r="AR34" i="61"/>
  <c r="AR41" i="61"/>
  <c r="AC50" i="61"/>
  <c r="AB50" i="61"/>
  <c r="AD50" i="61" s="1"/>
  <c r="AF50" i="61" s="1"/>
  <c r="AG50" i="61" s="1"/>
  <c r="AE22" i="23"/>
  <c r="AE21" i="23"/>
  <c r="AB3" i="34"/>
  <c r="AC3" i="34" s="1"/>
  <c r="AB5" i="34"/>
  <c r="AC5" i="34" s="1"/>
  <c r="AN5" i="54"/>
  <c r="AL5" i="54"/>
  <c r="AS5" i="54" s="1"/>
  <c r="AO12" i="54"/>
  <c r="Z3" i="73"/>
  <c r="AB3" i="73" s="1"/>
  <c r="Y3" i="73"/>
  <c r="AA3" i="73" s="1"/>
  <c r="AC3" i="73" s="1"/>
  <c r="AJ10" i="73"/>
  <c r="Z10" i="73"/>
  <c r="AB10" i="73" s="1"/>
  <c r="Y10" i="73"/>
  <c r="AA10" i="73" s="1"/>
  <c r="AC10" i="73" s="1"/>
  <c r="AE32" i="61"/>
  <c r="Z39" i="61"/>
  <c r="AH39" i="61"/>
  <c r="AO39" i="61" s="1"/>
  <c r="AE40" i="61"/>
  <c r="O44" i="61"/>
  <c r="AH47" i="61"/>
  <c r="AO47" i="61" s="1"/>
  <c r="AM51" i="61"/>
  <c r="AT33" i="61" s="1"/>
  <c r="P4" i="34"/>
  <c r="AA4" i="34"/>
  <c r="AB4" i="34" s="1"/>
  <c r="AC4" i="34" s="1"/>
  <c r="Q5" i="34"/>
  <c r="AA7" i="34"/>
  <c r="AB7" i="34" s="1"/>
  <c r="AC7" i="34" s="1"/>
  <c r="AE8" i="34"/>
  <c r="AI3" i="34" s="1"/>
  <c r="Q9" i="34"/>
  <c r="AI9" i="34"/>
  <c r="AB14" i="34"/>
  <c r="AC14" i="34" s="1"/>
  <c r="AR4" i="54"/>
  <c r="AP6" i="54"/>
  <c r="AR7" i="54"/>
  <c r="AC8" i="54"/>
  <c r="AE8" i="54" s="1"/>
  <c r="AK10" i="54"/>
  <c r="AR10" i="54" s="1"/>
  <c r="AP12" i="54"/>
  <c r="AT14" i="54"/>
  <c r="AJ15" i="54"/>
  <c r="AQ15" i="54" s="1"/>
  <c r="O15" i="54"/>
  <c r="AA7" i="56"/>
  <c r="AD5" i="56" s="1"/>
  <c r="AF12" i="73"/>
  <c r="V12" i="73"/>
  <c r="X12" i="73" s="1"/>
  <c r="AL18" i="73"/>
  <c r="X3" i="72"/>
  <c r="Z3" i="72" s="1"/>
  <c r="AB3" i="72" s="1"/>
  <c r="AC3" i="72" s="1"/>
  <c r="X5" i="72"/>
  <c r="Z5" i="72" s="1"/>
  <c r="AB5" i="72" s="1"/>
  <c r="AC5" i="72" s="1"/>
  <c r="Y5" i="72"/>
  <c r="AA5" i="72" s="1"/>
  <c r="Y6" i="72"/>
  <c r="AA6" i="72" s="1"/>
  <c r="AE35" i="61"/>
  <c r="AE43" i="61"/>
  <c r="P44" i="61"/>
  <c r="X48" i="61"/>
  <c r="Z50" i="61"/>
  <c r="AH50" i="61"/>
  <c r="AO50" i="61" s="1"/>
  <c r="Q4" i="34"/>
  <c r="AD5" i="34"/>
  <c r="AH5" i="34" s="1"/>
  <c r="AK9" i="34"/>
  <c r="AK10" i="34"/>
  <c r="AI14" i="34"/>
  <c r="AS4" i="54"/>
  <c r="AI5" i="54"/>
  <c r="AP5" i="54" s="1"/>
  <c r="Y5" i="54"/>
  <c r="AA5" i="54" s="1"/>
  <c r="AS7" i="54"/>
  <c r="AP8" i="54"/>
  <c r="AR8" i="54"/>
  <c r="AR9" i="54"/>
  <c r="AL10" i="54"/>
  <c r="AS10" i="54" s="1"/>
  <c r="AR13" i="54"/>
  <c r="AP15" i="54"/>
  <c r="V3" i="56"/>
  <c r="U3" i="56"/>
  <c r="W3" i="56" s="1"/>
  <c r="V4" i="56"/>
  <c r="X4" i="56" s="1"/>
  <c r="U4" i="56"/>
  <c r="W4" i="56" s="1"/>
  <c r="V5" i="56"/>
  <c r="U5" i="56"/>
  <c r="V6" i="56"/>
  <c r="X6" i="56" s="1"/>
  <c r="U6" i="56"/>
  <c r="W6" i="56" s="1"/>
  <c r="Y6" i="56" s="1"/>
  <c r="Z6" i="56" s="1"/>
  <c r="AB7" i="56"/>
  <c r="Y8" i="73"/>
  <c r="AA8" i="73" s="1"/>
  <c r="AC8" i="73" s="1"/>
  <c r="Y16" i="73"/>
  <c r="AA16" i="73" s="1"/>
  <c r="AC16" i="73" s="1"/>
  <c r="AD3" i="72"/>
  <c r="AH3" i="72" s="1"/>
  <c r="AG7" i="46"/>
  <c r="AK6" i="46" s="1"/>
  <c r="AF7" i="46"/>
  <c r="AJ5" i="46" s="1"/>
  <c r="W6" i="46"/>
  <c r="AB4" i="46"/>
  <c r="W3" i="46"/>
  <c r="AB6" i="46"/>
  <c r="W5" i="46"/>
  <c r="W4" i="46"/>
  <c r="AH7" i="46"/>
  <c r="AA39" i="52"/>
  <c r="P39" i="52"/>
  <c r="O39" i="52"/>
  <c r="Q39" i="52"/>
  <c r="AM38" i="61"/>
  <c r="AT38" i="61" s="1"/>
  <c r="AE46" i="61"/>
  <c r="AM46" i="61"/>
  <c r="P47" i="61"/>
  <c r="O50" i="61"/>
  <c r="P3" i="23"/>
  <c r="P4" i="23"/>
  <c r="X4" i="23"/>
  <c r="Z4" i="23" s="1"/>
  <c r="AA4" i="23" s="1"/>
  <c r="P5" i="23"/>
  <c r="X5" i="23"/>
  <c r="Z5" i="23" s="1"/>
  <c r="AA5" i="23" s="1"/>
  <c r="P6" i="23"/>
  <c r="P7" i="23"/>
  <c r="P8" i="23"/>
  <c r="X8" i="23"/>
  <c r="P9" i="23"/>
  <c r="X9" i="23"/>
  <c r="P10" i="23"/>
  <c r="X10" i="23"/>
  <c r="P11" i="23"/>
  <c r="P12" i="23"/>
  <c r="P13" i="23"/>
  <c r="X13" i="23"/>
  <c r="Z13" i="23" s="1"/>
  <c r="AA13" i="23" s="1"/>
  <c r="P14" i="23"/>
  <c r="X14" i="23"/>
  <c r="P15" i="23"/>
  <c r="P16" i="23"/>
  <c r="X16" i="23"/>
  <c r="P17" i="23"/>
  <c r="X17" i="23"/>
  <c r="Z17" i="23" s="1"/>
  <c r="AA17" i="23" s="1"/>
  <c r="P18" i="23"/>
  <c r="P19" i="23"/>
  <c r="AI11" i="34"/>
  <c r="AT7" i="54"/>
  <c r="AQ8" i="54"/>
  <c r="AS9" i="54"/>
  <c r="AQ11" i="54"/>
  <c r="AC14" i="54"/>
  <c r="AB14" i="54"/>
  <c r="AF3" i="56"/>
  <c r="AF4" i="56"/>
  <c r="AC7" i="56"/>
  <c r="AF5" i="56" s="1"/>
  <c r="X5" i="56"/>
  <c r="X3" i="56"/>
  <c r="AJ3" i="73"/>
  <c r="Z14" i="73"/>
  <c r="AB14" i="73" s="1"/>
  <c r="Y14" i="73"/>
  <c r="AA14" i="73" s="1"/>
  <c r="AC14" i="73" s="1"/>
  <c r="AG21" i="73"/>
  <c r="AK21" i="73" s="1"/>
  <c r="Q21" i="73"/>
  <c r="AD5" i="72"/>
  <c r="AH5" i="72" s="1"/>
  <c r="P5" i="72"/>
  <c r="T5" i="72"/>
  <c r="Q5" i="72"/>
  <c r="O5" i="71"/>
  <c r="AG5" i="71"/>
  <c r="AK5" i="71" s="1"/>
  <c r="P6" i="71"/>
  <c r="O6" i="71"/>
  <c r="AE6" i="71"/>
  <c r="AI6" i="71" s="1"/>
  <c r="AI12" i="71" s="1"/>
  <c r="U6" i="71"/>
  <c r="AA31" i="52"/>
  <c r="W28" i="52"/>
  <c r="Y28" i="52" s="1"/>
  <c r="W26" i="52"/>
  <c r="Q29" i="52"/>
  <c r="Q27" i="52"/>
  <c r="Q26" i="52"/>
  <c r="Z40" i="61"/>
  <c r="AE41" i="61"/>
  <c r="Z48" i="61"/>
  <c r="AH48" i="61"/>
  <c r="AE49" i="61"/>
  <c r="Q3" i="23"/>
  <c r="Y3" i="23"/>
  <c r="Q4" i="23"/>
  <c r="Y4" i="23"/>
  <c r="Q5" i="23"/>
  <c r="Y5" i="23"/>
  <c r="Q6" i="23"/>
  <c r="Y6" i="23"/>
  <c r="Q7" i="23"/>
  <c r="Y7" i="23"/>
  <c r="Q8" i="23"/>
  <c r="Q9" i="23"/>
  <c r="Q10" i="23"/>
  <c r="Q11" i="23"/>
  <c r="Y11" i="23"/>
  <c r="Q12" i="23"/>
  <c r="Q13" i="23"/>
  <c r="Y13" i="23"/>
  <c r="Q14" i="23"/>
  <c r="Q15" i="23"/>
  <c r="Y15" i="23"/>
  <c r="Q16" i="23"/>
  <c r="Q17" i="23"/>
  <c r="Y17" i="23"/>
  <c r="Q18" i="23"/>
  <c r="Y18" i="23"/>
  <c r="Q19" i="23"/>
  <c r="Y19" i="23"/>
  <c r="AE4" i="34"/>
  <c r="AI4" i="34" s="1"/>
  <c r="T4" i="34"/>
  <c r="V5" i="34"/>
  <c r="AG7" i="34"/>
  <c r="AK7" i="34" s="1"/>
  <c r="AE7" i="34"/>
  <c r="Q10" i="34"/>
  <c r="P10" i="34"/>
  <c r="Y13" i="34"/>
  <c r="AA13" i="34" s="1"/>
  <c r="X13" i="34"/>
  <c r="Z13" i="34" s="1"/>
  <c r="Y15" i="34"/>
  <c r="AA15" i="34" s="1"/>
  <c r="X15" i="34"/>
  <c r="Z15" i="34" s="1"/>
  <c r="AB15" i="34" s="1"/>
  <c r="AC15" i="34" s="1"/>
  <c r="AC4" i="54"/>
  <c r="AE4" i="54" s="1"/>
  <c r="AB4" i="54"/>
  <c r="AQ5" i="54"/>
  <c r="AR6" i="54"/>
  <c r="AC7" i="54"/>
  <c r="AE7" i="54" s="1"/>
  <c r="AB7" i="54"/>
  <c r="AD7" i="54" s="1"/>
  <c r="AF7" i="54" s="1"/>
  <c r="AG7" i="54" s="1"/>
  <c r="AI10" i="54"/>
  <c r="AP10" i="54" s="1"/>
  <c r="AR12" i="54"/>
  <c r="AP14" i="54"/>
  <c r="AR15" i="54"/>
  <c r="X12" i="54"/>
  <c r="X4" i="54"/>
  <c r="AH16" i="54"/>
  <c r="AO4" i="54" s="1"/>
  <c r="AD4" i="54"/>
  <c r="AD14" i="54"/>
  <c r="AF14" i="54" s="1"/>
  <c r="AG14" i="54" s="1"/>
  <c r="AD6" i="54"/>
  <c r="AF6" i="54" s="1"/>
  <c r="AG6" i="54" s="1"/>
  <c r="X13" i="54"/>
  <c r="X5" i="54"/>
  <c r="AD8" i="54"/>
  <c r="AF8" i="54" s="1"/>
  <c r="Z6" i="73"/>
  <c r="AB6" i="73" s="1"/>
  <c r="Y6" i="73"/>
  <c r="AA6" i="73" s="1"/>
  <c r="AC6" i="73" s="1"/>
  <c r="AD6" i="73" s="1"/>
  <c r="Z9" i="73"/>
  <c r="AB9" i="73" s="1"/>
  <c r="Y9" i="73"/>
  <c r="AA9" i="73" s="1"/>
  <c r="AJ16" i="73"/>
  <c r="Z17" i="73"/>
  <c r="AB17" i="73" s="1"/>
  <c r="Y17" i="73"/>
  <c r="AA17" i="73" s="1"/>
  <c r="AC17" i="73" s="1"/>
  <c r="V3" i="72"/>
  <c r="AE3" i="72"/>
  <c r="AI3" i="72" s="1"/>
  <c r="X4" i="72"/>
  <c r="Z4" i="72" s="1"/>
  <c r="AB4" i="72" s="1"/>
  <c r="AC4" i="72" s="1"/>
  <c r="Y4" i="72"/>
  <c r="AA4" i="72" s="1"/>
  <c r="X7" i="72"/>
  <c r="Y7" i="72"/>
  <c r="AA7" i="72" s="1"/>
  <c r="AD18" i="52"/>
  <c r="AB20" i="52"/>
  <c r="AE20" i="52" s="1"/>
  <c r="R20" i="52"/>
  <c r="T20" i="52" s="1"/>
  <c r="Q30" i="52"/>
  <c r="AC13" i="50"/>
  <c r="AF13" i="50" s="1"/>
  <c r="S13" i="50"/>
  <c r="AA13" i="50"/>
  <c r="AD13" i="50" s="1"/>
  <c r="AI51" i="61"/>
  <c r="AP3" i="61" s="1"/>
  <c r="R3" i="23"/>
  <c r="R4" i="23"/>
  <c r="R5" i="23"/>
  <c r="R6" i="23"/>
  <c r="R7" i="23"/>
  <c r="R8" i="23"/>
  <c r="R9" i="23"/>
  <c r="R10" i="23"/>
  <c r="R11" i="23"/>
  <c r="R12" i="23"/>
  <c r="R13" i="23"/>
  <c r="R14" i="23"/>
  <c r="R15" i="23"/>
  <c r="R16" i="23"/>
  <c r="R17" i="23"/>
  <c r="R18" i="23"/>
  <c r="R19" i="23"/>
  <c r="AF4" i="34"/>
  <c r="AJ4" i="34" s="1"/>
  <c r="P7" i="34"/>
  <c r="AD7" i="34"/>
  <c r="AH7" i="34" s="1"/>
  <c r="T7" i="34"/>
  <c r="AE10" i="34"/>
  <c r="AI10" i="34" s="1"/>
  <c r="U10" i="34"/>
  <c r="W10" i="34" s="1"/>
  <c r="AK11" i="34"/>
  <c r="Q13" i="34"/>
  <c r="P13" i="34"/>
  <c r="AD13" i="34"/>
  <c r="AH13" i="34" s="1"/>
  <c r="T13" i="34"/>
  <c r="AC9" i="54"/>
  <c r="AE9" i="54" s="1"/>
  <c r="AB9" i="54"/>
  <c r="AD9" i="54" s="1"/>
  <c r="AF9" i="54" s="1"/>
  <c r="AG9" i="54" s="1"/>
  <c r="AJ10" i="54"/>
  <c r="AQ10" i="54" s="1"/>
  <c r="AH10" i="54"/>
  <c r="Z10" i="54"/>
  <c r="AM10" i="54"/>
  <c r="AI13" i="54"/>
  <c r="AP13" i="54" s="1"/>
  <c r="Y13" i="54"/>
  <c r="AA13" i="54" s="1"/>
  <c r="AS15" i="54"/>
  <c r="AN16" i="54"/>
  <c r="AU10" i="54" s="1"/>
  <c r="AM16" i="54"/>
  <c r="AT9" i="54" s="1"/>
  <c r="AJ14" i="73"/>
  <c r="AJ19" i="73"/>
  <c r="AL20" i="73"/>
  <c r="AF3" i="72"/>
  <c r="AJ3" i="72" s="1"/>
  <c r="AI4" i="46"/>
  <c r="AL5" i="46"/>
  <c r="V30" i="52"/>
  <c r="X30" i="52" s="1"/>
  <c r="U30" i="52"/>
  <c r="W30" i="52" s="1"/>
  <c r="Y30" i="52" s="1"/>
  <c r="Z30" i="52" s="1"/>
  <c r="Y9" i="34"/>
  <c r="AF15" i="34"/>
  <c r="AJ15" i="34" s="1"/>
  <c r="V15" i="34"/>
  <c r="AU3" i="54"/>
  <c r="AP4" i="54"/>
  <c r="AJ7" i="54"/>
  <c r="AQ7" i="54" s="1"/>
  <c r="O7" i="54"/>
  <c r="AL13" i="54"/>
  <c r="AS13" i="54" s="1"/>
  <c r="P15" i="54"/>
  <c r="AT15" i="54"/>
  <c r="AF4" i="73"/>
  <c r="V4" i="73"/>
  <c r="X4" i="73" s="1"/>
  <c r="AJ6" i="73"/>
  <c r="AG9" i="73"/>
  <c r="AK9" i="73" s="1"/>
  <c r="AF9" i="73"/>
  <c r="W9" i="73"/>
  <c r="AJ11" i="73"/>
  <c r="AL12" i="73"/>
  <c r="AL14" i="73"/>
  <c r="Z15" i="73"/>
  <c r="AB15" i="73" s="1"/>
  <c r="Y15" i="73"/>
  <c r="AA15" i="73" s="1"/>
  <c r="AG17" i="73"/>
  <c r="AK17" i="73" s="1"/>
  <c r="AF17" i="73"/>
  <c r="AJ17" i="73" s="1"/>
  <c r="W17" i="73"/>
  <c r="AL19" i="73"/>
  <c r="Z4" i="46"/>
  <c r="Y4" i="46"/>
  <c r="Q28" i="52"/>
  <c r="V8" i="50"/>
  <c r="X8" i="50" s="1"/>
  <c r="U8" i="50"/>
  <c r="W8" i="50" s="1"/>
  <c r="Y8" i="50" s="1"/>
  <c r="Z8" i="50" s="1"/>
  <c r="Z49" i="61"/>
  <c r="AE50" i="61"/>
  <c r="AR5" i="54"/>
  <c r="AO9" i="54"/>
  <c r="AC12" i="54"/>
  <c r="AE12" i="54" s="1"/>
  <c r="AB12" i="54"/>
  <c r="AD12" i="54" s="1"/>
  <c r="AF12" i="54" s="1"/>
  <c r="AG12" i="54" s="1"/>
  <c r="AR14" i="54"/>
  <c r="AC15" i="54"/>
  <c r="AE15" i="54" s="1"/>
  <c r="AB15" i="54"/>
  <c r="AD15" i="54" s="1"/>
  <c r="Z7" i="73"/>
  <c r="AB7" i="73" s="1"/>
  <c r="Y7" i="73"/>
  <c r="AA7" i="73" s="1"/>
  <c r="AC7" i="73" s="1"/>
  <c r="P14" i="73"/>
  <c r="AG14" i="73"/>
  <c r="AK14" i="73" s="1"/>
  <c r="Q15" i="73"/>
  <c r="P15" i="73"/>
  <c r="AE15" i="73"/>
  <c r="U15" i="73"/>
  <c r="AF8" i="72"/>
  <c r="AJ8" i="72" s="1"/>
  <c r="Q8" i="72"/>
  <c r="X10" i="72"/>
  <c r="Y10" i="72"/>
  <c r="AA10" i="72" s="1"/>
  <c r="X11" i="72"/>
  <c r="Y11" i="72"/>
  <c r="AA11" i="72" s="1"/>
  <c r="AK3" i="46"/>
  <c r="V5" i="50"/>
  <c r="X5" i="50" s="1"/>
  <c r="U5" i="50"/>
  <c r="W5" i="50" s="1"/>
  <c r="Y5" i="50" s="1"/>
  <c r="Z5" i="50" s="1"/>
  <c r="Q11" i="34"/>
  <c r="P14" i="34"/>
  <c r="AD15" i="34"/>
  <c r="AH15" i="34" s="1"/>
  <c r="P6" i="54"/>
  <c r="O9" i="54"/>
  <c r="X10" i="54"/>
  <c r="P14" i="54"/>
  <c r="AB3" i="56"/>
  <c r="AE3" i="56" s="1"/>
  <c r="AB4" i="56"/>
  <c r="AE4" i="56" s="1"/>
  <c r="AB5" i="56"/>
  <c r="AE5" i="56" s="1"/>
  <c r="AB6" i="56"/>
  <c r="AE6" i="56" s="1"/>
  <c r="Q5" i="73"/>
  <c r="P8" i="73"/>
  <c r="AE9" i="73"/>
  <c r="AE13" i="73"/>
  <c r="P16" i="73"/>
  <c r="AE17" i="73"/>
  <c r="AA21" i="73"/>
  <c r="AC21" i="73" s="1"/>
  <c r="AE22" i="73"/>
  <c r="AI19" i="73" s="1"/>
  <c r="AD4" i="72"/>
  <c r="AH4" i="72" s="1"/>
  <c r="P4" i="72"/>
  <c r="Y13" i="72"/>
  <c r="AA13" i="72" s="1"/>
  <c r="AG8" i="71"/>
  <c r="AK8" i="71" s="1"/>
  <c r="AF8" i="71"/>
  <c r="AJ8" i="71" s="1"/>
  <c r="W8" i="71"/>
  <c r="AL4" i="46"/>
  <c r="Z5" i="46"/>
  <c r="AB5" i="46" s="1"/>
  <c r="Y5" i="46"/>
  <c r="AA5" i="46" s="1"/>
  <c r="O3" i="52"/>
  <c r="AF6" i="52"/>
  <c r="V10" i="52"/>
  <c r="X10" i="52" s="1"/>
  <c r="U10" i="52"/>
  <c r="W10" i="52" s="1"/>
  <c r="V11" i="52"/>
  <c r="U11" i="52"/>
  <c r="W11" i="52" s="1"/>
  <c r="V12" i="52"/>
  <c r="X12" i="52" s="1"/>
  <c r="U12" i="52"/>
  <c r="W12" i="52" s="1"/>
  <c r="V13" i="52"/>
  <c r="U13" i="52"/>
  <c r="W13" i="52" s="1"/>
  <c r="AA19" i="52"/>
  <c r="AD15" i="52" s="1"/>
  <c r="AE21" i="52"/>
  <c r="R24" i="52"/>
  <c r="T24" i="52" s="1"/>
  <c r="AF29" i="52"/>
  <c r="Y18" i="50"/>
  <c r="Z18" i="50" s="1"/>
  <c r="AF25" i="50"/>
  <c r="Q14" i="34"/>
  <c r="AH7" i="54"/>
  <c r="AM8" i="54"/>
  <c r="P9" i="54"/>
  <c r="Y10" i="54"/>
  <c r="AA10" i="54" s="1"/>
  <c r="T3" i="79"/>
  <c r="V3" i="79" s="1"/>
  <c r="T4" i="79"/>
  <c r="V4" i="79" s="1"/>
  <c r="T5" i="79"/>
  <c r="V5" i="79" s="1"/>
  <c r="T6" i="79"/>
  <c r="V6" i="79" s="1"/>
  <c r="T7" i="79"/>
  <c r="V7" i="79" s="1"/>
  <c r="T8" i="79"/>
  <c r="V8" i="79" s="1"/>
  <c r="T9" i="79"/>
  <c r="V9" i="79" s="1"/>
  <c r="T10" i="79"/>
  <c r="V10" i="79" s="1"/>
  <c r="Q8" i="73"/>
  <c r="AF13" i="73"/>
  <c r="AJ8" i="73" s="1"/>
  <c r="Q16" i="73"/>
  <c r="AF22" i="73"/>
  <c r="AJ21" i="73" s="1"/>
  <c r="O4" i="46"/>
  <c r="AG4" i="46"/>
  <c r="P5" i="46"/>
  <c r="O5" i="46"/>
  <c r="AE5" i="46"/>
  <c r="U5" i="46"/>
  <c r="AL6" i="46"/>
  <c r="O4" i="52"/>
  <c r="V15" i="52"/>
  <c r="U15" i="52"/>
  <c r="V16" i="52"/>
  <c r="X16" i="52" s="1"/>
  <c r="U16" i="52"/>
  <c r="V17" i="52"/>
  <c r="U17" i="52"/>
  <c r="W17" i="52" s="1"/>
  <c r="Y17" i="52" s="1"/>
  <c r="Z17" i="52" s="1"/>
  <c r="V18" i="52"/>
  <c r="X18" i="52" s="1"/>
  <c r="U18" i="52"/>
  <c r="AE22" i="52"/>
  <c r="AF30" i="52"/>
  <c r="AF36" i="52"/>
  <c r="V6" i="50"/>
  <c r="X6" i="50" s="1"/>
  <c r="U6" i="50"/>
  <c r="W6" i="50" s="1"/>
  <c r="Y6" i="50" s="1"/>
  <c r="Z6" i="50" s="1"/>
  <c r="P14" i="50"/>
  <c r="O14" i="50"/>
  <c r="V25" i="50"/>
  <c r="U25" i="50"/>
  <c r="W25" i="50" s="1"/>
  <c r="T11" i="34"/>
  <c r="U16" i="34"/>
  <c r="W16" i="34" s="1"/>
  <c r="AM3" i="54"/>
  <c r="AL6" i="54"/>
  <c r="AS6" i="54" s="1"/>
  <c r="AM11" i="54"/>
  <c r="AL14" i="54"/>
  <c r="AS14" i="54" s="1"/>
  <c r="U3" i="79"/>
  <c r="AC3" i="79"/>
  <c r="AF3" i="79" s="1"/>
  <c r="U4" i="79"/>
  <c r="AC4" i="79"/>
  <c r="AF4" i="79" s="1"/>
  <c r="U5" i="79"/>
  <c r="AC5" i="79"/>
  <c r="AF5" i="79" s="1"/>
  <c r="U6" i="79"/>
  <c r="AC6" i="79"/>
  <c r="AF6" i="79" s="1"/>
  <c r="U7" i="79"/>
  <c r="AC7" i="79"/>
  <c r="AF7" i="79" s="1"/>
  <c r="U8" i="79"/>
  <c r="AC8" i="79"/>
  <c r="AF8" i="79" s="1"/>
  <c r="U9" i="79"/>
  <c r="AC9" i="79"/>
  <c r="AF9" i="79" s="1"/>
  <c r="U10" i="79"/>
  <c r="AC10" i="79"/>
  <c r="AF10" i="79" s="1"/>
  <c r="AF15" i="52"/>
  <c r="AF16" i="52"/>
  <c r="AF17" i="52"/>
  <c r="AF18" i="52"/>
  <c r="AC19" i="52"/>
  <c r="X17" i="52"/>
  <c r="X15" i="52"/>
  <c r="AE23" i="52"/>
  <c r="P26" i="52"/>
  <c r="O26" i="52"/>
  <c r="AA26" i="52"/>
  <c r="AC37" i="52"/>
  <c r="AF41" i="52"/>
  <c r="AF40" i="52"/>
  <c r="V7" i="50"/>
  <c r="X7" i="50" s="1"/>
  <c r="U7" i="50"/>
  <c r="W7" i="50" s="1"/>
  <c r="Y7" i="50" s="1"/>
  <c r="Z7" i="50" s="1"/>
  <c r="AC36" i="50"/>
  <c r="AF36" i="50" s="1"/>
  <c r="P36" i="50"/>
  <c r="O36" i="50"/>
  <c r="AA9" i="34"/>
  <c r="U11" i="34"/>
  <c r="W11" i="34" s="1"/>
  <c r="T14" i="34"/>
  <c r="P15" i="34"/>
  <c r="V16" i="34"/>
  <c r="AH5" i="54"/>
  <c r="AO5" i="54" s="1"/>
  <c r="O10" i="54"/>
  <c r="AH13" i="54"/>
  <c r="AE14" i="54"/>
  <c r="O3" i="56"/>
  <c r="O4" i="56"/>
  <c r="O5" i="56"/>
  <c r="W5" i="56"/>
  <c r="Y5" i="56" s="1"/>
  <c r="Z5" i="56" s="1"/>
  <c r="O6" i="56"/>
  <c r="V5" i="73"/>
  <c r="X5" i="73" s="1"/>
  <c r="Q6" i="73"/>
  <c r="U8" i="73"/>
  <c r="W10" i="73"/>
  <c r="Q14" i="73"/>
  <c r="U16" i="73"/>
  <c r="W18" i="73"/>
  <c r="AH21" i="73"/>
  <c r="AL21" i="73" s="1"/>
  <c r="Q3" i="72"/>
  <c r="AF4" i="72"/>
  <c r="AJ4" i="72" s="1"/>
  <c r="AD9" i="72"/>
  <c r="AH9" i="72" s="1"/>
  <c r="T9" i="72"/>
  <c r="Q9" i="72"/>
  <c r="P9" i="72"/>
  <c r="AL3" i="71"/>
  <c r="AL4" i="71"/>
  <c r="AC7" i="71"/>
  <c r="AD7" i="71" s="1"/>
  <c r="Y6" i="46"/>
  <c r="AA6" i="46" s="1"/>
  <c r="AC6" i="46" s="1"/>
  <c r="AD6" i="46" s="1"/>
  <c r="O6" i="52"/>
  <c r="AE24" i="52"/>
  <c r="V26" i="52"/>
  <c r="X26" i="52" s="1"/>
  <c r="U26" i="52"/>
  <c r="P27" i="52"/>
  <c r="O27" i="52"/>
  <c r="AA27" i="52"/>
  <c r="AA43" i="52"/>
  <c r="AD40" i="52" s="1"/>
  <c r="V4" i="50"/>
  <c r="X4" i="50" s="1"/>
  <c r="U4" i="50"/>
  <c r="W4" i="50" s="1"/>
  <c r="Y4" i="50" s="1"/>
  <c r="Z4" i="50" s="1"/>
  <c r="V9" i="50"/>
  <c r="X9" i="50" s="1"/>
  <c r="U9" i="50"/>
  <c r="W9" i="50" s="1"/>
  <c r="Y9" i="50" s="1"/>
  <c r="Z9" i="50" s="1"/>
  <c r="Y20" i="50"/>
  <c r="Z20" i="50" s="1"/>
  <c r="V11" i="34"/>
  <c r="Y3" i="54"/>
  <c r="AA3" i="54" s="1"/>
  <c r="O5" i="54"/>
  <c r="X6" i="54"/>
  <c r="Z8" i="54"/>
  <c r="Y11" i="54"/>
  <c r="AA11" i="54" s="1"/>
  <c r="O13" i="54"/>
  <c r="X14" i="54"/>
  <c r="P3" i="56"/>
  <c r="P4" i="56"/>
  <c r="P5" i="56"/>
  <c r="P6" i="56"/>
  <c r="P4" i="73"/>
  <c r="U11" i="73"/>
  <c r="P12" i="73"/>
  <c r="U21" i="73"/>
  <c r="P21" i="73"/>
  <c r="AE4" i="72"/>
  <c r="AI4" i="72" s="1"/>
  <c r="Q6" i="72"/>
  <c r="AD8" i="72"/>
  <c r="AH8" i="72" s="1"/>
  <c r="P8" i="72"/>
  <c r="P5" i="71"/>
  <c r="AI3" i="46"/>
  <c r="AK5" i="46"/>
  <c r="X13" i="52"/>
  <c r="V27" i="52"/>
  <c r="X27" i="52" s="1"/>
  <c r="U27" i="52"/>
  <c r="W27" i="52" s="1"/>
  <c r="Y27" i="52" s="1"/>
  <c r="Z27" i="52" s="1"/>
  <c r="P28" i="52"/>
  <c r="O28" i="52"/>
  <c r="AA28" i="52"/>
  <c r="AD28" i="52" s="1"/>
  <c r="U3" i="50"/>
  <c r="W3" i="50" s="1"/>
  <c r="Y3" i="50" s="1"/>
  <c r="Z3" i="50" s="1"/>
  <c r="V3" i="50"/>
  <c r="X3" i="50" s="1"/>
  <c r="V34" i="50"/>
  <c r="X34" i="50" s="1"/>
  <c r="U34" i="50"/>
  <c r="W34" i="50" s="1"/>
  <c r="Y34" i="50" s="1"/>
  <c r="Z34" i="50" s="1"/>
  <c r="AF16" i="34"/>
  <c r="AJ16" i="34" s="1"/>
  <c r="Z3" i="54"/>
  <c r="Z11" i="54"/>
  <c r="W8" i="73"/>
  <c r="AG10" i="73"/>
  <c r="AK10" i="73" s="1"/>
  <c r="W16" i="73"/>
  <c r="AG18" i="73"/>
  <c r="AK18" i="73" s="1"/>
  <c r="P3" i="72"/>
  <c r="AD7" i="72"/>
  <c r="AH7" i="72" s="1"/>
  <c r="P7" i="72"/>
  <c r="Y8" i="72"/>
  <c r="AA8" i="72" s="1"/>
  <c r="Z5" i="71"/>
  <c r="AB5" i="71" s="1"/>
  <c r="Y5" i="71"/>
  <c r="AA5" i="71" s="1"/>
  <c r="AL6" i="71"/>
  <c r="AK7" i="71"/>
  <c r="Z8" i="71"/>
  <c r="AB8" i="71" s="1"/>
  <c r="Y8" i="71"/>
  <c r="AA8" i="71" s="1"/>
  <c r="AJ3" i="46"/>
  <c r="AL3" i="46"/>
  <c r="AJ6" i="46"/>
  <c r="AE7" i="46"/>
  <c r="AI6" i="46" s="1"/>
  <c r="AF3" i="52"/>
  <c r="O8" i="52"/>
  <c r="O10" i="52"/>
  <c r="AC10" i="52"/>
  <c r="AF10" i="52" s="1"/>
  <c r="O11" i="52"/>
  <c r="AC11" i="52"/>
  <c r="AF11" i="52" s="1"/>
  <c r="O12" i="52"/>
  <c r="AC12" i="52"/>
  <c r="AF12" i="52" s="1"/>
  <c r="R21" i="52"/>
  <c r="T21" i="52" s="1"/>
  <c r="AF26" i="52"/>
  <c r="V28" i="52"/>
  <c r="X28" i="52" s="1"/>
  <c r="U28" i="52"/>
  <c r="P29" i="52"/>
  <c r="O29" i="52"/>
  <c r="AA29" i="52"/>
  <c r="AD29" i="52" s="1"/>
  <c r="U20" i="73"/>
  <c r="AE20" i="73"/>
  <c r="AD6" i="72"/>
  <c r="AH6" i="72" s="1"/>
  <c r="P6" i="72"/>
  <c r="AF3" i="71"/>
  <c r="AJ3" i="71" s="1"/>
  <c r="V3" i="71"/>
  <c r="X3" i="71" s="1"/>
  <c r="AL5" i="71"/>
  <c r="Z6" i="71"/>
  <c r="AB6" i="71" s="1"/>
  <c r="Y6" i="71"/>
  <c r="AA6" i="71" s="1"/>
  <c r="AC6" i="71" s="1"/>
  <c r="AD6" i="71" s="1"/>
  <c r="P4" i="46"/>
  <c r="V22" i="52"/>
  <c r="X22" i="52" s="1"/>
  <c r="U22" i="52"/>
  <c r="W22" i="52" s="1"/>
  <c r="Y22" i="52" s="1"/>
  <c r="Z22" i="52" s="1"/>
  <c r="V29" i="52"/>
  <c r="X29" i="52" s="1"/>
  <c r="U29" i="52"/>
  <c r="W29" i="52" s="1"/>
  <c r="Y29" i="52" s="1"/>
  <c r="Z29" i="52" s="1"/>
  <c r="P30" i="52"/>
  <c r="O30" i="52"/>
  <c r="AA30" i="52"/>
  <c r="Z6" i="72"/>
  <c r="Z7" i="72"/>
  <c r="Z8" i="72"/>
  <c r="AB8" i="72" s="1"/>
  <c r="AC8" i="72" s="1"/>
  <c r="Z9" i="72"/>
  <c r="AB9" i="72" s="1"/>
  <c r="AC9" i="72" s="1"/>
  <c r="P10" i="72"/>
  <c r="Z10" i="72"/>
  <c r="P11" i="72"/>
  <c r="Z11" i="72"/>
  <c r="P12" i="72"/>
  <c r="Z12" i="72"/>
  <c r="AB12" i="72" s="1"/>
  <c r="AC12" i="72" s="1"/>
  <c r="P13" i="72"/>
  <c r="Z13" i="72"/>
  <c r="AB13" i="72" s="1"/>
  <c r="AC13" i="72" s="1"/>
  <c r="P14" i="72"/>
  <c r="Z14" i="72"/>
  <c r="AB14" i="72" s="1"/>
  <c r="AC14" i="72" s="1"/>
  <c r="P15" i="72"/>
  <c r="Z15" i="72"/>
  <c r="AB15" i="72" s="1"/>
  <c r="AC15" i="72" s="1"/>
  <c r="P4" i="71"/>
  <c r="AF5" i="71"/>
  <c r="AJ5" i="71" s="1"/>
  <c r="O7" i="71"/>
  <c r="AE8" i="71"/>
  <c r="AI8" i="71" s="1"/>
  <c r="AK10" i="71" s="1"/>
  <c r="P3" i="46"/>
  <c r="AF4" i="46"/>
  <c r="AJ4" i="46" s="1"/>
  <c r="O6" i="46"/>
  <c r="AB15" i="52"/>
  <c r="AE15" i="52" s="1"/>
  <c r="AB16" i="52"/>
  <c r="AE16" i="52" s="1"/>
  <c r="AB17" i="52"/>
  <c r="AE17" i="52" s="1"/>
  <c r="AB18" i="52"/>
  <c r="AE18" i="52" s="1"/>
  <c r="AA20" i="52"/>
  <c r="AD20" i="52" s="1"/>
  <c r="AA21" i="52"/>
  <c r="AD21" i="52" s="1"/>
  <c r="AA22" i="52"/>
  <c r="AD22" i="52" s="1"/>
  <c r="AA23" i="52"/>
  <c r="AD23" i="52" s="1"/>
  <c r="AA24" i="52"/>
  <c r="AD24" i="52" s="1"/>
  <c r="O36" i="52"/>
  <c r="R36" i="52"/>
  <c r="T36" i="52" s="1"/>
  <c r="AA36" i="52"/>
  <c r="R39" i="52"/>
  <c r="T39" i="52" s="1"/>
  <c r="P40" i="52"/>
  <c r="AD3" i="50"/>
  <c r="P7" i="50"/>
  <c r="AB15" i="50"/>
  <c r="O19" i="50"/>
  <c r="O21" i="50"/>
  <c r="AF26" i="50"/>
  <c r="AE27" i="50"/>
  <c r="U28" i="50"/>
  <c r="W28" i="50" s="1"/>
  <c r="AF31" i="50"/>
  <c r="U40" i="50"/>
  <c r="W40" i="50" s="1"/>
  <c r="AC70" i="50"/>
  <c r="AF70" i="50" s="1"/>
  <c r="P70" i="50"/>
  <c r="O70" i="50"/>
  <c r="Q10" i="72"/>
  <c r="Q11" i="72"/>
  <c r="Q12" i="72"/>
  <c r="Q13" i="72"/>
  <c r="Q14" i="72"/>
  <c r="Q15" i="72"/>
  <c r="P7" i="71"/>
  <c r="P6" i="46"/>
  <c r="R32" i="52"/>
  <c r="T32" i="52" s="1"/>
  <c r="R33" i="52"/>
  <c r="T33" i="52" s="1"/>
  <c r="R34" i="52"/>
  <c r="T34" i="52" s="1"/>
  <c r="R35" i="52"/>
  <c r="T35" i="52" s="1"/>
  <c r="S36" i="52"/>
  <c r="Q40" i="52"/>
  <c r="AE5" i="50"/>
  <c r="O6" i="50"/>
  <c r="AB12" i="50"/>
  <c r="AE12" i="50" s="1"/>
  <c r="S14" i="50"/>
  <c r="AA15" i="50"/>
  <c r="AD15" i="50" s="1"/>
  <c r="U29" i="50"/>
  <c r="W29" i="50" s="1"/>
  <c r="X30" i="50"/>
  <c r="Y30" i="50" s="1"/>
  <c r="Z30" i="50" s="1"/>
  <c r="AC38" i="50"/>
  <c r="AF38" i="50" s="1"/>
  <c r="S38" i="50"/>
  <c r="AA38" i="50"/>
  <c r="AD38" i="50" s="1"/>
  <c r="V43" i="50"/>
  <c r="U43" i="50"/>
  <c r="W43" i="50" s="1"/>
  <c r="V50" i="50"/>
  <c r="X50" i="50" s="1"/>
  <c r="U50" i="50"/>
  <c r="W50" i="50" s="1"/>
  <c r="T10" i="72"/>
  <c r="T11" i="72"/>
  <c r="T12" i="72"/>
  <c r="T13" i="72"/>
  <c r="T14" i="72"/>
  <c r="T15" i="72"/>
  <c r="U4" i="71"/>
  <c r="V9" i="71"/>
  <c r="X9" i="71" s="1"/>
  <c r="U3" i="46"/>
  <c r="O13" i="52"/>
  <c r="S32" i="52"/>
  <c r="S33" i="52"/>
  <c r="S34" i="52"/>
  <c r="S35" i="52"/>
  <c r="R40" i="52"/>
  <c r="T40" i="52" s="1"/>
  <c r="AA12" i="50"/>
  <c r="AD12" i="50" s="1"/>
  <c r="AF18" i="50"/>
  <c r="AF20" i="50"/>
  <c r="AF22" i="50"/>
  <c r="U24" i="50"/>
  <c r="W24" i="50" s="1"/>
  <c r="Y24" i="50" s="1"/>
  <c r="Z24" i="50" s="1"/>
  <c r="AD35" i="50"/>
  <c r="AF39" i="50"/>
  <c r="R41" i="50"/>
  <c r="T41" i="50" s="1"/>
  <c r="AB41" i="50"/>
  <c r="AE41" i="50" s="1"/>
  <c r="V45" i="50"/>
  <c r="X45" i="50" s="1"/>
  <c r="U45" i="50"/>
  <c r="W45" i="50" s="1"/>
  <c r="V47" i="50"/>
  <c r="X47" i="50" s="1"/>
  <c r="U47" i="50"/>
  <c r="W47" i="50" s="1"/>
  <c r="O63" i="50"/>
  <c r="Q63" i="50"/>
  <c r="P63" i="50"/>
  <c r="AA63" i="50"/>
  <c r="AD63" i="50" s="1"/>
  <c r="V64" i="50"/>
  <c r="X64" i="50" s="1"/>
  <c r="U64" i="50"/>
  <c r="W64" i="50" s="1"/>
  <c r="AG3" i="71"/>
  <c r="AK3" i="71" s="1"/>
  <c r="V4" i="71"/>
  <c r="X4" i="71" s="1"/>
  <c r="U7" i="71"/>
  <c r="O8" i="71"/>
  <c r="W9" i="71"/>
  <c r="V3" i="46"/>
  <c r="X3" i="46" s="1"/>
  <c r="AA4" i="46"/>
  <c r="AC4" i="46" s="1"/>
  <c r="AD4" i="46" s="1"/>
  <c r="U6" i="46"/>
  <c r="P10" i="52"/>
  <c r="P11" i="52"/>
  <c r="X11" i="52"/>
  <c r="P12" i="52"/>
  <c r="P13" i="52"/>
  <c r="O15" i="52"/>
  <c r="W15" i="52"/>
  <c r="Y15" i="52" s="1"/>
  <c r="O16" i="52"/>
  <c r="W16" i="52"/>
  <c r="O17" i="52"/>
  <c r="O18" i="52"/>
  <c r="W18" i="52"/>
  <c r="O38" i="52"/>
  <c r="Q41" i="52"/>
  <c r="O42" i="52"/>
  <c r="O5" i="50"/>
  <c r="AD6" i="50"/>
  <c r="O9" i="50"/>
  <c r="O13" i="50"/>
  <c r="AB14" i="50"/>
  <c r="S16" i="50"/>
  <c r="AC17" i="50"/>
  <c r="AF12" i="50" s="1"/>
  <c r="AB17" i="50"/>
  <c r="AE11" i="50" s="1"/>
  <c r="P18" i="50"/>
  <c r="P20" i="50"/>
  <c r="P22" i="50"/>
  <c r="AA24" i="50"/>
  <c r="AD24" i="50" s="1"/>
  <c r="P24" i="50"/>
  <c r="O24" i="50"/>
  <c r="AB35" i="50"/>
  <c r="AE35" i="50" s="1"/>
  <c r="S40" i="50"/>
  <c r="AB40" i="50"/>
  <c r="AE40" i="50" s="1"/>
  <c r="AA40" i="50"/>
  <c r="S47" i="50"/>
  <c r="AA47" i="50"/>
  <c r="AD47" i="50" s="1"/>
  <c r="V49" i="50"/>
  <c r="X49" i="50" s="1"/>
  <c r="U49" i="50"/>
  <c r="W49" i="50" s="1"/>
  <c r="Y49" i="50" s="1"/>
  <c r="Z49" i="50" s="1"/>
  <c r="P8" i="71"/>
  <c r="R3" i="52"/>
  <c r="T3" i="52" s="1"/>
  <c r="R4" i="52"/>
  <c r="T4" i="52" s="1"/>
  <c r="R5" i="52"/>
  <c r="T5" i="52" s="1"/>
  <c r="R6" i="52"/>
  <c r="T6" i="52" s="1"/>
  <c r="R7" i="52"/>
  <c r="T7" i="52" s="1"/>
  <c r="R8" i="52"/>
  <c r="T8" i="52" s="1"/>
  <c r="Q10" i="52"/>
  <c r="Q11" i="52"/>
  <c r="Q12" i="52"/>
  <c r="Q13" i="52"/>
  <c r="O20" i="52"/>
  <c r="O21" i="52"/>
  <c r="O22" i="52"/>
  <c r="O23" i="52"/>
  <c r="O24" i="52"/>
  <c r="R41" i="52"/>
  <c r="T41" i="52" s="1"/>
  <c r="AF14" i="50"/>
  <c r="AA14" i="50"/>
  <c r="AD14" i="50" s="1"/>
  <c r="AF30" i="50"/>
  <c r="V35" i="50"/>
  <c r="X35" i="50" s="1"/>
  <c r="U35" i="50"/>
  <c r="W35" i="50" s="1"/>
  <c r="AD42" i="50"/>
  <c r="AE65" i="50"/>
  <c r="P73" i="50"/>
  <c r="O73" i="50"/>
  <c r="AC73" i="50"/>
  <c r="AF73" i="50" s="1"/>
  <c r="AG9" i="71"/>
  <c r="AK9" i="71" s="1"/>
  <c r="S3" i="52"/>
  <c r="S4" i="52"/>
  <c r="S5" i="52"/>
  <c r="S6" i="52"/>
  <c r="S7" i="52"/>
  <c r="S8" i="52"/>
  <c r="P20" i="52"/>
  <c r="P21" i="52"/>
  <c r="P22" i="52"/>
  <c r="P23" i="52"/>
  <c r="P24" i="52"/>
  <c r="AA37" i="52"/>
  <c r="AD33" i="52" s="1"/>
  <c r="Q38" i="52"/>
  <c r="Q42" i="52"/>
  <c r="O4" i="50"/>
  <c r="O8" i="50"/>
  <c r="AF11" i="50"/>
  <c r="AA11" i="50"/>
  <c r="AD11" i="50" s="1"/>
  <c r="O15" i="50"/>
  <c r="AB16" i="50"/>
  <c r="AF35" i="50"/>
  <c r="S43" i="50"/>
  <c r="AA43" i="50"/>
  <c r="AD43" i="50" s="1"/>
  <c r="AC65" i="50"/>
  <c r="AF65" i="50" s="1"/>
  <c r="P65" i="50"/>
  <c r="O65" i="50"/>
  <c r="AE10" i="51"/>
  <c r="R38" i="52"/>
  <c r="T38" i="52" s="1"/>
  <c r="R42" i="52"/>
  <c r="T42" i="52" s="1"/>
  <c r="P4" i="50"/>
  <c r="P8" i="50"/>
  <c r="AB13" i="50"/>
  <c r="AE13" i="50" s="1"/>
  <c r="AA16" i="50"/>
  <c r="AD16" i="50" s="1"/>
  <c r="AF19" i="50"/>
  <c r="AF21" i="50"/>
  <c r="AA25" i="50"/>
  <c r="AD25" i="50" s="1"/>
  <c r="P25" i="50"/>
  <c r="O25" i="50"/>
  <c r="AE25" i="50"/>
  <c r="AF37" i="50"/>
  <c r="AF44" i="50"/>
  <c r="P72" i="50"/>
  <c r="O72" i="50"/>
  <c r="AC72" i="50"/>
  <c r="AF72" i="50" s="1"/>
  <c r="Q3" i="50"/>
  <c r="Q4" i="50"/>
  <c r="Q5" i="50"/>
  <c r="Q6" i="50"/>
  <c r="Q7" i="50"/>
  <c r="Q8" i="50"/>
  <c r="Q9" i="50"/>
  <c r="AB32" i="50"/>
  <c r="AE28" i="50" s="1"/>
  <c r="AA37" i="50"/>
  <c r="AD37" i="50" s="1"/>
  <c r="AA39" i="50"/>
  <c r="P43" i="50"/>
  <c r="O43" i="50"/>
  <c r="S45" i="50"/>
  <c r="AC47" i="50"/>
  <c r="AF47" i="50" s="1"/>
  <c r="AD60" i="50"/>
  <c r="AD56" i="50"/>
  <c r="AD52" i="50"/>
  <c r="V66" i="50"/>
  <c r="X66" i="50" s="1"/>
  <c r="U66" i="50"/>
  <c r="W66" i="50" s="1"/>
  <c r="Y66" i="50" s="1"/>
  <c r="Z66" i="50" s="1"/>
  <c r="AE77" i="50"/>
  <c r="R3" i="51"/>
  <c r="T3" i="51" s="1"/>
  <c r="AB3" i="51"/>
  <c r="AE3" i="51" s="1"/>
  <c r="U4" i="51"/>
  <c r="W4" i="51" s="1"/>
  <c r="V4" i="51"/>
  <c r="X4" i="51" s="1"/>
  <c r="U11" i="51"/>
  <c r="W11" i="51" s="1"/>
  <c r="Y11" i="51" s="1"/>
  <c r="Z11" i="51" s="1"/>
  <c r="V11" i="51"/>
  <c r="X11" i="51" s="1"/>
  <c r="O26" i="50"/>
  <c r="O27" i="50"/>
  <c r="O28" i="50"/>
  <c r="O29" i="50"/>
  <c r="O30" i="50"/>
  <c r="O31" i="50"/>
  <c r="X31" i="50"/>
  <c r="Y31" i="50" s="1"/>
  <c r="Z31" i="50" s="1"/>
  <c r="AC32" i="50"/>
  <c r="AF27" i="50" s="1"/>
  <c r="P33" i="50"/>
  <c r="AB37" i="50"/>
  <c r="AE37" i="50" s="1"/>
  <c r="R39" i="50"/>
  <c r="T39" i="50" s="1"/>
  <c r="R44" i="50"/>
  <c r="T44" i="50" s="1"/>
  <c r="X43" i="50"/>
  <c r="X40" i="50"/>
  <c r="AA46" i="50"/>
  <c r="AC49" i="50"/>
  <c r="AF49" i="50" s="1"/>
  <c r="R54" i="50"/>
  <c r="T54" i="50" s="1"/>
  <c r="S3" i="51"/>
  <c r="AA3" i="51"/>
  <c r="AD3" i="51" s="1"/>
  <c r="U6" i="51"/>
  <c r="W6" i="51" s="1"/>
  <c r="V6" i="51"/>
  <c r="R11" i="50"/>
  <c r="T11" i="50" s="1"/>
  <c r="R12" i="50"/>
  <c r="T12" i="50" s="1"/>
  <c r="R13" i="50"/>
  <c r="T13" i="50" s="1"/>
  <c r="R14" i="50"/>
  <c r="T14" i="50" s="1"/>
  <c r="R15" i="50"/>
  <c r="T15" i="50" s="1"/>
  <c r="R16" i="50"/>
  <c r="T16" i="50" s="1"/>
  <c r="Q18" i="50"/>
  <c r="Q19" i="50"/>
  <c r="Q20" i="50"/>
  <c r="Q21" i="50"/>
  <c r="Q22" i="50"/>
  <c r="X24" i="50"/>
  <c r="X25" i="50"/>
  <c r="P26" i="50"/>
  <c r="X26" i="50"/>
  <c r="Y26" i="50" s="1"/>
  <c r="Z26" i="50" s="1"/>
  <c r="P27" i="50"/>
  <c r="X27" i="50"/>
  <c r="Y27" i="50" s="1"/>
  <c r="Z27" i="50" s="1"/>
  <c r="P28" i="50"/>
  <c r="X28" i="50"/>
  <c r="P29" i="50"/>
  <c r="X29" i="50"/>
  <c r="P30" i="50"/>
  <c r="P31" i="50"/>
  <c r="R33" i="50"/>
  <c r="T33" i="50" s="1"/>
  <c r="AC34" i="50"/>
  <c r="AF34" i="50" s="1"/>
  <c r="S37" i="50"/>
  <c r="S39" i="50"/>
  <c r="P42" i="50"/>
  <c r="O42" i="50"/>
  <c r="AC43" i="50"/>
  <c r="AF43" i="50" s="1"/>
  <c r="AC46" i="50"/>
  <c r="AF33" i="50" s="1"/>
  <c r="AB47" i="50"/>
  <c r="AE47" i="50" s="1"/>
  <c r="AA54" i="50"/>
  <c r="AD54" i="50" s="1"/>
  <c r="P54" i="50"/>
  <c r="O54" i="50"/>
  <c r="AE64" i="50"/>
  <c r="AE66" i="50"/>
  <c r="P4" i="51"/>
  <c r="O4" i="51"/>
  <c r="AC4" i="51"/>
  <c r="AF4" i="51" s="1"/>
  <c r="U10" i="51"/>
  <c r="V10" i="51"/>
  <c r="X10" i="51" s="1"/>
  <c r="AE13" i="51"/>
  <c r="Q26" i="50"/>
  <c r="Q27" i="50"/>
  <c r="Q28" i="50"/>
  <c r="Q29" i="50"/>
  <c r="Q30" i="50"/>
  <c r="Q31" i="50"/>
  <c r="AD41" i="50"/>
  <c r="V48" i="50"/>
  <c r="X48" i="50" s="1"/>
  <c r="U48" i="50"/>
  <c r="W48" i="50" s="1"/>
  <c r="V58" i="50"/>
  <c r="X58" i="50" s="1"/>
  <c r="U58" i="50"/>
  <c r="W58" i="50" s="1"/>
  <c r="Y58" i="50" s="1"/>
  <c r="Z58" i="50" s="1"/>
  <c r="V69" i="50"/>
  <c r="X69" i="50" s="1"/>
  <c r="U69" i="50"/>
  <c r="W69" i="50" s="1"/>
  <c r="Y69" i="50" s="1"/>
  <c r="Z69" i="50" s="1"/>
  <c r="AE69" i="50"/>
  <c r="Y71" i="50"/>
  <c r="Z71" i="50" s="1"/>
  <c r="AE73" i="50"/>
  <c r="R7" i="51"/>
  <c r="T7" i="51" s="1"/>
  <c r="AB7" i="51"/>
  <c r="AE7" i="51" s="1"/>
  <c r="S31" i="50"/>
  <c r="O35" i="50"/>
  <c r="R36" i="50"/>
  <c r="T36" i="50" s="1"/>
  <c r="AA36" i="50"/>
  <c r="AD36" i="50" s="1"/>
  <c r="U37" i="50"/>
  <c r="W37" i="50" s="1"/>
  <c r="Y37" i="50" s="1"/>
  <c r="Z37" i="50" s="1"/>
  <c r="AC40" i="50"/>
  <c r="AF40" i="50" s="1"/>
  <c r="O41" i="50"/>
  <c r="AC42" i="50"/>
  <c r="AF42" i="50" s="1"/>
  <c r="P45" i="50"/>
  <c r="O45" i="50"/>
  <c r="AA45" i="50"/>
  <c r="AD45" i="50" s="1"/>
  <c r="AA48" i="50"/>
  <c r="AD48" i="50" s="1"/>
  <c r="AA58" i="50"/>
  <c r="AD58" i="50" s="1"/>
  <c r="P58" i="50"/>
  <c r="O58" i="50"/>
  <c r="V62" i="50"/>
  <c r="X62" i="50" s="1"/>
  <c r="U62" i="50"/>
  <c r="W62" i="50" s="1"/>
  <c r="AE74" i="50"/>
  <c r="V76" i="50"/>
  <c r="U76" i="50"/>
  <c r="W76" i="50" s="1"/>
  <c r="Y76" i="50" s="1"/>
  <c r="Z76" i="50" s="1"/>
  <c r="S7" i="51"/>
  <c r="AA7" i="51"/>
  <c r="R38" i="50"/>
  <c r="T38" i="50" s="1"/>
  <c r="AC41" i="50"/>
  <c r="AF41" i="50" s="1"/>
  <c r="P47" i="50"/>
  <c r="O47" i="50"/>
  <c r="AD55" i="50"/>
  <c r="V70" i="50"/>
  <c r="X70" i="50" s="1"/>
  <c r="U70" i="50"/>
  <c r="W70" i="50" s="1"/>
  <c r="Y70" i="50" s="1"/>
  <c r="Z70" i="50" s="1"/>
  <c r="V72" i="50"/>
  <c r="U72" i="50"/>
  <c r="W72" i="50" s="1"/>
  <c r="V73" i="50"/>
  <c r="X73" i="50" s="1"/>
  <c r="U73" i="50"/>
  <c r="W73" i="50" s="1"/>
  <c r="U5" i="51"/>
  <c r="W5" i="51" s="1"/>
  <c r="V5" i="51"/>
  <c r="P44" i="50"/>
  <c r="O44" i="50"/>
  <c r="AD44" i="50"/>
  <c r="S67" i="50"/>
  <c r="AB67" i="50"/>
  <c r="V68" i="50"/>
  <c r="U68" i="50"/>
  <c r="W68" i="50" s="1"/>
  <c r="S71" i="50"/>
  <c r="AB71" i="50"/>
  <c r="AE71" i="50" s="1"/>
  <c r="AA71" i="50"/>
  <c r="AD71" i="50" s="1"/>
  <c r="S72" i="50"/>
  <c r="AB72" i="50"/>
  <c r="AE72" i="50" s="1"/>
  <c r="V77" i="50"/>
  <c r="U77" i="50"/>
  <c r="W77" i="50" s="1"/>
  <c r="V9" i="51"/>
  <c r="X9" i="51" s="1"/>
  <c r="U9" i="51"/>
  <c r="W9" i="51" s="1"/>
  <c r="Y9" i="51" s="1"/>
  <c r="Z9" i="51" s="1"/>
  <c r="O52" i="50"/>
  <c r="Q53" i="50"/>
  <c r="O56" i="50"/>
  <c r="Q57" i="50"/>
  <c r="O60" i="50"/>
  <c r="P62" i="50"/>
  <c r="S63" i="50"/>
  <c r="AB63" i="50"/>
  <c r="AE63" i="50" s="1"/>
  <c r="P69" i="50"/>
  <c r="AA70" i="50"/>
  <c r="AD70" i="50" s="1"/>
  <c r="O74" i="50"/>
  <c r="AB78" i="50"/>
  <c r="X77" i="50"/>
  <c r="X76" i="50"/>
  <c r="X75" i="50"/>
  <c r="X74" i="50"/>
  <c r="X72" i="50"/>
  <c r="X71" i="50"/>
  <c r="P3" i="51"/>
  <c r="O3" i="51"/>
  <c r="AC3" i="51"/>
  <c r="AF3" i="51" s="1"/>
  <c r="P7" i="51"/>
  <c r="O7" i="51"/>
  <c r="AC7" i="51"/>
  <c r="AF7" i="51" s="1"/>
  <c r="AA11" i="51"/>
  <c r="O11" i="51"/>
  <c r="Q11" i="51"/>
  <c r="U49" i="51"/>
  <c r="W49" i="51" s="1"/>
  <c r="Y49" i="51" s="1"/>
  <c r="Z49" i="51" s="1"/>
  <c r="V49" i="51"/>
  <c r="X49" i="51" s="1"/>
  <c r="V73" i="51"/>
  <c r="X73" i="51" s="1"/>
  <c r="U73" i="51"/>
  <c r="W73" i="51" s="1"/>
  <c r="Y73" i="51" s="1"/>
  <c r="Z73" i="51" s="1"/>
  <c r="U125" i="51"/>
  <c r="V125" i="51"/>
  <c r="X125" i="51" s="1"/>
  <c r="P52" i="50"/>
  <c r="R53" i="50"/>
  <c r="T53" i="50" s="1"/>
  <c r="P56" i="50"/>
  <c r="R57" i="50"/>
  <c r="T57" i="50" s="1"/>
  <c r="P60" i="50"/>
  <c r="Q62" i="50"/>
  <c r="AB70" i="50"/>
  <c r="AE70" i="50" s="1"/>
  <c r="AE11" i="51"/>
  <c r="AF13" i="51"/>
  <c r="U47" i="51"/>
  <c r="W47" i="51" s="1"/>
  <c r="V47" i="51"/>
  <c r="X47" i="51" s="1"/>
  <c r="O48" i="50"/>
  <c r="O49" i="50"/>
  <c r="O50" i="50"/>
  <c r="O51" i="50"/>
  <c r="Q52" i="50"/>
  <c r="O55" i="50"/>
  <c r="Q56" i="50"/>
  <c r="O59" i="50"/>
  <c r="Q60" i="50"/>
  <c r="U63" i="50"/>
  <c r="W63" i="50" s="1"/>
  <c r="Y63" i="50" s="1"/>
  <c r="Z63" i="50" s="1"/>
  <c r="O67" i="50"/>
  <c r="AA67" i="50"/>
  <c r="AD67" i="50" s="1"/>
  <c r="AC71" i="50"/>
  <c r="AF71" i="50" s="1"/>
  <c r="U75" i="50"/>
  <c r="W75" i="50" s="1"/>
  <c r="AA77" i="50"/>
  <c r="AD77" i="50" s="1"/>
  <c r="P6" i="51"/>
  <c r="O6" i="51"/>
  <c r="AC6" i="51"/>
  <c r="AF6" i="51" s="1"/>
  <c r="AE9" i="51"/>
  <c r="AB15" i="51"/>
  <c r="R13" i="51"/>
  <c r="T13" i="51" s="1"/>
  <c r="P48" i="50"/>
  <c r="P49" i="50"/>
  <c r="P50" i="50"/>
  <c r="R52" i="50"/>
  <c r="T52" i="50" s="1"/>
  <c r="P55" i="50"/>
  <c r="R56" i="50"/>
  <c r="T56" i="50" s="1"/>
  <c r="P59" i="50"/>
  <c r="R60" i="50"/>
  <c r="T60" i="50" s="1"/>
  <c r="O64" i="50"/>
  <c r="Q65" i="50"/>
  <c r="P67" i="50"/>
  <c r="X68" i="50"/>
  <c r="O71" i="50"/>
  <c r="U74" i="50"/>
  <c r="W74" i="50" s="1"/>
  <c r="AC14" i="51"/>
  <c r="AF14" i="51" s="1"/>
  <c r="P14" i="51"/>
  <c r="AA51" i="50"/>
  <c r="AD51" i="50" s="1"/>
  <c r="Q51" i="50"/>
  <c r="Q55" i="50"/>
  <c r="Q59" i="50"/>
  <c r="P64" i="50"/>
  <c r="S65" i="50"/>
  <c r="P5" i="51"/>
  <c r="O5" i="51"/>
  <c r="AC5" i="51"/>
  <c r="AF5" i="51" s="1"/>
  <c r="AB8" i="51"/>
  <c r="AE6" i="51" s="1"/>
  <c r="U12" i="51"/>
  <c r="W12" i="51" s="1"/>
  <c r="Y12" i="51" s="1"/>
  <c r="Z12" i="51" s="1"/>
  <c r="V12" i="51"/>
  <c r="X12" i="51" s="1"/>
  <c r="R51" i="50"/>
  <c r="T51" i="50" s="1"/>
  <c r="R55" i="50"/>
  <c r="T55" i="50" s="1"/>
  <c r="R59" i="50"/>
  <c r="T59" i="50" s="1"/>
  <c r="Q64" i="50"/>
  <c r="AE5" i="51"/>
  <c r="X6" i="51"/>
  <c r="X5" i="51"/>
  <c r="AA8" i="51"/>
  <c r="AD5" i="51" s="1"/>
  <c r="Q9" i="51"/>
  <c r="AA10" i="51"/>
  <c r="Q10" i="51"/>
  <c r="AA15" i="51"/>
  <c r="AD9" i="51" s="1"/>
  <c r="W14" i="51"/>
  <c r="Y14" i="51" s="1"/>
  <c r="Z14" i="51" s="1"/>
  <c r="Q16" i="51"/>
  <c r="Q17" i="51"/>
  <c r="Q18" i="51"/>
  <c r="AA19" i="51"/>
  <c r="AD19" i="51" s="1"/>
  <c r="P19" i="51"/>
  <c r="P29" i="51"/>
  <c r="O29" i="51"/>
  <c r="P30" i="51"/>
  <c r="O30" i="51"/>
  <c r="P31" i="51"/>
  <c r="O31" i="51"/>
  <c r="P32" i="51"/>
  <c r="O32" i="51"/>
  <c r="P33" i="51"/>
  <c r="O33" i="51"/>
  <c r="V75" i="51"/>
  <c r="U75" i="51"/>
  <c r="W75" i="51" s="1"/>
  <c r="AD27" i="51"/>
  <c r="V29" i="51"/>
  <c r="X29" i="51" s="1"/>
  <c r="Y29" i="51" s="1"/>
  <c r="Z29" i="51" s="1"/>
  <c r="V30" i="51"/>
  <c r="X30" i="51" s="1"/>
  <c r="Y30" i="51" s="1"/>
  <c r="Z30" i="51" s="1"/>
  <c r="V31" i="51"/>
  <c r="X31" i="51" s="1"/>
  <c r="Y31" i="51" s="1"/>
  <c r="Z31" i="51" s="1"/>
  <c r="V32" i="51"/>
  <c r="X32" i="51" s="1"/>
  <c r="V33" i="51"/>
  <c r="X33" i="51" s="1"/>
  <c r="V34" i="51"/>
  <c r="X34" i="51" s="1"/>
  <c r="Y34" i="51" s="1"/>
  <c r="Z34" i="51" s="1"/>
  <c r="V35" i="51"/>
  <c r="X35" i="51" s="1"/>
  <c r="V36" i="51"/>
  <c r="X36" i="51" s="1"/>
  <c r="V37" i="51"/>
  <c r="X37" i="51" s="1"/>
  <c r="Y37" i="51" s="1"/>
  <c r="Z37" i="51" s="1"/>
  <c r="V38" i="51"/>
  <c r="X38" i="51" s="1"/>
  <c r="Y38" i="51" s="1"/>
  <c r="Z38" i="51" s="1"/>
  <c r="V39" i="51"/>
  <c r="X39" i="51" s="1"/>
  <c r="Y39" i="51" s="1"/>
  <c r="Z39" i="51" s="1"/>
  <c r="V74" i="51"/>
  <c r="U74" i="51"/>
  <c r="W74" i="51" s="1"/>
  <c r="Y74" i="51" s="1"/>
  <c r="Z74" i="51" s="1"/>
  <c r="AC10" i="51"/>
  <c r="AF10" i="51" s="1"/>
  <c r="P12" i="51"/>
  <c r="AE12" i="51"/>
  <c r="AD21" i="51"/>
  <c r="V72" i="51"/>
  <c r="X72" i="51" s="1"/>
  <c r="U72" i="51"/>
  <c r="W72" i="51" s="1"/>
  <c r="Y72" i="51" s="1"/>
  <c r="Z72" i="51" s="1"/>
  <c r="Y32" i="51"/>
  <c r="Z32" i="51" s="1"/>
  <c r="Y33" i="51"/>
  <c r="Z33" i="51" s="1"/>
  <c r="Y35" i="51"/>
  <c r="Z35" i="51" s="1"/>
  <c r="Y36" i="51"/>
  <c r="Z36" i="51" s="1"/>
  <c r="V71" i="51"/>
  <c r="X71" i="51" s="1"/>
  <c r="U71" i="51"/>
  <c r="W71" i="51" s="1"/>
  <c r="Y71" i="51" s="1"/>
  <c r="Z71" i="51" s="1"/>
  <c r="W10" i="51"/>
  <c r="AA12" i="51"/>
  <c r="AD12" i="51" s="1"/>
  <c r="O12" i="51"/>
  <c r="AB14" i="51"/>
  <c r="AE14" i="51" s="1"/>
  <c r="AA16" i="51"/>
  <c r="AD16" i="51" s="1"/>
  <c r="AA17" i="51"/>
  <c r="AD17" i="51" s="1"/>
  <c r="AA18" i="51"/>
  <c r="AD18" i="51" s="1"/>
  <c r="AD23" i="51"/>
  <c r="O9" i="51"/>
  <c r="O10" i="51"/>
  <c r="AA13" i="51"/>
  <c r="O13" i="51"/>
  <c r="Q14" i="51"/>
  <c r="O16" i="51"/>
  <c r="O17" i="51"/>
  <c r="O18" i="51"/>
  <c r="O19" i="51"/>
  <c r="AD24" i="51"/>
  <c r="O34" i="51"/>
  <c r="O35" i="51"/>
  <c r="O36" i="51"/>
  <c r="O37" i="51"/>
  <c r="P38" i="51"/>
  <c r="P39" i="51"/>
  <c r="P10" i="51"/>
  <c r="AA14" i="51"/>
  <c r="AD14" i="51" s="1"/>
  <c r="O14" i="51"/>
  <c r="Q19" i="51"/>
  <c r="AD25" i="51"/>
  <c r="AC19" i="51"/>
  <c r="AF19" i="51" s="1"/>
  <c r="AC20" i="51"/>
  <c r="AF20" i="51" s="1"/>
  <c r="AC21" i="51"/>
  <c r="AF21" i="51" s="1"/>
  <c r="AC22" i="51"/>
  <c r="AF22" i="51" s="1"/>
  <c r="AC23" i="51"/>
  <c r="AF23" i="51" s="1"/>
  <c r="AC24" i="51"/>
  <c r="AF24" i="51" s="1"/>
  <c r="AC25" i="51"/>
  <c r="AF25" i="51" s="1"/>
  <c r="AC26" i="51"/>
  <c r="AF26" i="51" s="1"/>
  <c r="AC27" i="51"/>
  <c r="AF27" i="51" s="1"/>
  <c r="AB29" i="51"/>
  <c r="AE29" i="51" s="1"/>
  <c r="AB30" i="51"/>
  <c r="AE30" i="51" s="1"/>
  <c r="AB31" i="51"/>
  <c r="AE31" i="51" s="1"/>
  <c r="AB32" i="51"/>
  <c r="AE32" i="51" s="1"/>
  <c r="AB33" i="51"/>
  <c r="AE33" i="51" s="1"/>
  <c r="AB34" i="51"/>
  <c r="AE34" i="51" s="1"/>
  <c r="AB35" i="51"/>
  <c r="AE35" i="51" s="1"/>
  <c r="AB36" i="51"/>
  <c r="AE36" i="51" s="1"/>
  <c r="AB37" i="51"/>
  <c r="AE37" i="51" s="1"/>
  <c r="AB38" i="51"/>
  <c r="AE38" i="51" s="1"/>
  <c r="AB39" i="51"/>
  <c r="AE39" i="51" s="1"/>
  <c r="AA41" i="51"/>
  <c r="AD41" i="51" s="1"/>
  <c r="AA42" i="51"/>
  <c r="AD42" i="51" s="1"/>
  <c r="AA43" i="51"/>
  <c r="AD43" i="51" s="1"/>
  <c r="AA44" i="51"/>
  <c r="AD44" i="51" s="1"/>
  <c r="AA45" i="51"/>
  <c r="AD45" i="51" s="1"/>
  <c r="S46" i="51"/>
  <c r="AD80" i="51"/>
  <c r="AD97" i="51"/>
  <c r="AC34" i="51"/>
  <c r="AF34" i="51" s="1"/>
  <c r="AC35" i="51"/>
  <c r="AF35" i="51" s="1"/>
  <c r="AC36" i="51"/>
  <c r="AF36" i="51" s="1"/>
  <c r="AC37" i="51"/>
  <c r="AF37" i="51" s="1"/>
  <c r="AC38" i="51"/>
  <c r="AF38" i="51" s="1"/>
  <c r="AC39" i="51"/>
  <c r="AF39" i="51" s="1"/>
  <c r="AB41" i="51"/>
  <c r="AE41" i="51" s="1"/>
  <c r="AB42" i="51"/>
  <c r="AE42" i="51" s="1"/>
  <c r="AB43" i="51"/>
  <c r="AE43" i="51" s="1"/>
  <c r="AB44" i="51"/>
  <c r="AE44" i="51" s="1"/>
  <c r="AB45" i="51"/>
  <c r="AE45" i="51" s="1"/>
  <c r="AF48" i="51"/>
  <c r="O49" i="51"/>
  <c r="Y76" i="51"/>
  <c r="Z76" i="51" s="1"/>
  <c r="U124" i="51"/>
  <c r="W124" i="51" s="1"/>
  <c r="V124" i="51"/>
  <c r="X124" i="51" s="1"/>
  <c r="P20" i="51"/>
  <c r="P21" i="51"/>
  <c r="P22" i="51"/>
  <c r="P23" i="51"/>
  <c r="P24" i="51"/>
  <c r="P25" i="51"/>
  <c r="P26" i="51"/>
  <c r="P27" i="51"/>
  <c r="O38" i="51"/>
  <c r="O39" i="51"/>
  <c r="AF50" i="51"/>
  <c r="AB106" i="51"/>
  <c r="AE106" i="51" s="1"/>
  <c r="R106" i="51"/>
  <c r="T106" i="51" s="1"/>
  <c r="Q20" i="51"/>
  <c r="Q21" i="51"/>
  <c r="Q22" i="51"/>
  <c r="Q23" i="51"/>
  <c r="Q24" i="51"/>
  <c r="Q25" i="51"/>
  <c r="Q26" i="51"/>
  <c r="Q27" i="51"/>
  <c r="O41" i="51"/>
  <c r="O42" i="51"/>
  <c r="O43" i="51"/>
  <c r="O44" i="51"/>
  <c r="O45" i="51"/>
  <c r="O46" i="51"/>
  <c r="U77" i="51"/>
  <c r="W77" i="51" s="1"/>
  <c r="V77" i="51"/>
  <c r="X77" i="51" s="1"/>
  <c r="Z83" i="51"/>
  <c r="Z84" i="51"/>
  <c r="Y87" i="51"/>
  <c r="R16" i="51"/>
  <c r="T16" i="51" s="1"/>
  <c r="R17" i="51"/>
  <c r="T17" i="51" s="1"/>
  <c r="R18" i="51"/>
  <c r="T18" i="51" s="1"/>
  <c r="R19" i="51"/>
  <c r="T19" i="51" s="1"/>
  <c r="R20" i="51"/>
  <c r="T20" i="51" s="1"/>
  <c r="R21" i="51"/>
  <c r="T21" i="51" s="1"/>
  <c r="R22" i="51"/>
  <c r="T22" i="51" s="1"/>
  <c r="R23" i="51"/>
  <c r="T23" i="51" s="1"/>
  <c r="R24" i="51"/>
  <c r="T24" i="51" s="1"/>
  <c r="R25" i="51"/>
  <c r="T25" i="51" s="1"/>
  <c r="R26" i="51"/>
  <c r="T26" i="51" s="1"/>
  <c r="R27" i="51"/>
  <c r="T27" i="51" s="1"/>
  <c r="Q29" i="51"/>
  <c r="Q30" i="51"/>
  <c r="Q31" i="51"/>
  <c r="Q32" i="51"/>
  <c r="Q33" i="51"/>
  <c r="Q34" i="51"/>
  <c r="Q35" i="51"/>
  <c r="Q36" i="51"/>
  <c r="Q37" i="51"/>
  <c r="Q38" i="51"/>
  <c r="Q39" i="51"/>
  <c r="P41" i="51"/>
  <c r="P42" i="51"/>
  <c r="P43" i="51"/>
  <c r="P44" i="51"/>
  <c r="P45" i="51"/>
  <c r="P46" i="51"/>
  <c r="AB46" i="51"/>
  <c r="AE46" i="51" s="1"/>
  <c r="AB52" i="51"/>
  <c r="U78" i="51"/>
  <c r="W78" i="51" s="1"/>
  <c r="Y78" i="51" s="1"/>
  <c r="Z78" i="51" s="1"/>
  <c r="V78" i="51"/>
  <c r="X78" i="51" s="1"/>
  <c r="Z81" i="51"/>
  <c r="Q46" i="51"/>
  <c r="O50" i="51"/>
  <c r="AC52" i="51"/>
  <c r="AF52" i="51" s="1"/>
  <c r="AA52" i="51"/>
  <c r="AD52" i="51" s="1"/>
  <c r="AD101" i="51"/>
  <c r="O47" i="51"/>
  <c r="AE53" i="51"/>
  <c r="AE54" i="51"/>
  <c r="AE57" i="51"/>
  <c r="P98" i="51"/>
  <c r="Q98" i="51"/>
  <c r="AA98" i="51"/>
  <c r="O98" i="51"/>
  <c r="W98" i="51"/>
  <c r="Y98" i="51" s="1"/>
  <c r="Z98" i="51" s="1"/>
  <c r="AA112" i="51"/>
  <c r="P112" i="51"/>
  <c r="O112" i="51"/>
  <c r="Q112" i="51"/>
  <c r="U120" i="51"/>
  <c r="W120" i="51" s="1"/>
  <c r="Y120" i="51" s="1"/>
  <c r="V120" i="51"/>
  <c r="X120" i="51" s="1"/>
  <c r="P47" i="51"/>
  <c r="P48" i="51"/>
  <c r="P49" i="51"/>
  <c r="P50" i="51"/>
  <c r="O52" i="51"/>
  <c r="O53" i="51"/>
  <c r="O54" i="51"/>
  <c r="O55" i="51"/>
  <c r="O56" i="51"/>
  <c r="O57" i="51"/>
  <c r="O58" i="51"/>
  <c r="W58" i="51"/>
  <c r="Y58" i="51" s="1"/>
  <c r="Z58" i="51" s="1"/>
  <c r="O59" i="51"/>
  <c r="W59" i="51"/>
  <c r="O60" i="51"/>
  <c r="W60" i="51"/>
  <c r="Y60" i="51" s="1"/>
  <c r="Z60" i="51" s="1"/>
  <c r="P78" i="51"/>
  <c r="V92" i="51"/>
  <c r="U92" i="51"/>
  <c r="W92" i="51" s="1"/>
  <c r="U103" i="51"/>
  <c r="W103" i="51" s="1"/>
  <c r="Y103" i="51" s="1"/>
  <c r="Z103" i="51" s="1"/>
  <c r="V103" i="51"/>
  <c r="X103" i="51" s="1"/>
  <c r="AD106" i="51"/>
  <c r="AE110" i="51"/>
  <c r="W125" i="51"/>
  <c r="Y125" i="51" s="1"/>
  <c r="Q47" i="51"/>
  <c r="Q48" i="51"/>
  <c r="Q49" i="51"/>
  <c r="Q50" i="51"/>
  <c r="P52" i="51"/>
  <c r="P53" i="51"/>
  <c r="P54" i="51"/>
  <c r="P55" i="51"/>
  <c r="P56" i="51"/>
  <c r="P57" i="51"/>
  <c r="P58" i="51"/>
  <c r="X58" i="51"/>
  <c r="P59" i="51"/>
  <c r="X59" i="51"/>
  <c r="P60" i="51"/>
  <c r="X60" i="51"/>
  <c r="AB61" i="51"/>
  <c r="AE55" i="51" s="1"/>
  <c r="O62" i="51"/>
  <c r="O63" i="51"/>
  <c r="O64" i="51"/>
  <c r="O65" i="51"/>
  <c r="O66" i="51"/>
  <c r="O67" i="51"/>
  <c r="O68" i="51"/>
  <c r="O69" i="51"/>
  <c r="U102" i="51"/>
  <c r="W102" i="51" s="1"/>
  <c r="Y102" i="51" s="1"/>
  <c r="Z102" i="51" s="1"/>
  <c r="V102" i="51"/>
  <c r="X102" i="51" s="1"/>
  <c r="AF114" i="51"/>
  <c r="AF110" i="51"/>
  <c r="AF112" i="51"/>
  <c r="AF108" i="51"/>
  <c r="U121" i="51"/>
  <c r="W121" i="51" s="1"/>
  <c r="Y121" i="51" s="1"/>
  <c r="V121" i="51"/>
  <c r="X121" i="51" s="1"/>
  <c r="U126" i="51"/>
  <c r="W126" i="51" s="1"/>
  <c r="Y126" i="51" s="1"/>
  <c r="Z126" i="51" s="1"/>
  <c r="V126" i="51"/>
  <c r="X126" i="51" s="1"/>
  <c r="O71" i="51"/>
  <c r="O72" i="51"/>
  <c r="O73" i="51"/>
  <c r="O74" i="51"/>
  <c r="O75" i="51"/>
  <c r="O76" i="51"/>
  <c r="AA76" i="51"/>
  <c r="AD76" i="51" s="1"/>
  <c r="AC77" i="51"/>
  <c r="AF77" i="51" s="1"/>
  <c r="AA81" i="51"/>
  <c r="S81" i="51"/>
  <c r="AF97" i="51"/>
  <c r="AF115" i="51"/>
  <c r="R52" i="51"/>
  <c r="T52" i="51" s="1"/>
  <c r="R53" i="51"/>
  <c r="T53" i="51" s="1"/>
  <c r="R54" i="51"/>
  <c r="T54" i="51" s="1"/>
  <c r="R55" i="51"/>
  <c r="T55" i="51" s="1"/>
  <c r="R56" i="51"/>
  <c r="T56" i="51" s="1"/>
  <c r="R57" i="51"/>
  <c r="T57" i="51" s="1"/>
  <c r="P71" i="51"/>
  <c r="P72" i="51"/>
  <c r="P73" i="51"/>
  <c r="P74" i="51"/>
  <c r="X74" i="51"/>
  <c r="P75" i="51"/>
  <c r="X75" i="51"/>
  <c r="P76" i="51"/>
  <c r="AB76" i="51"/>
  <c r="AE76" i="51" s="1"/>
  <c r="U80" i="51"/>
  <c r="W80" i="51" s="1"/>
  <c r="Y80" i="51" s="1"/>
  <c r="AD82" i="51"/>
  <c r="AD83" i="51"/>
  <c r="X89" i="51"/>
  <c r="Y89" i="51" s="1"/>
  <c r="Z89" i="51" s="1"/>
  <c r="S92" i="51"/>
  <c r="AB92" i="51"/>
  <c r="AE92" i="51" s="1"/>
  <c r="AE114" i="51"/>
  <c r="AA116" i="51"/>
  <c r="AD115" i="51" s="1"/>
  <c r="U117" i="51"/>
  <c r="W117" i="51" s="1"/>
  <c r="Y117" i="51" s="1"/>
  <c r="V117" i="51"/>
  <c r="X117" i="51" s="1"/>
  <c r="U122" i="51"/>
  <c r="W122" i="51" s="1"/>
  <c r="Y122" i="51" s="1"/>
  <c r="V122" i="51"/>
  <c r="X122" i="51" s="1"/>
  <c r="U123" i="51"/>
  <c r="W123" i="51" s="1"/>
  <c r="V123" i="51"/>
  <c r="X123" i="51" s="1"/>
  <c r="AF125" i="51"/>
  <c r="AF121" i="51"/>
  <c r="AF117" i="51"/>
  <c r="S53" i="51"/>
  <c r="AA53" i="51"/>
  <c r="AD53" i="51" s="1"/>
  <c r="S54" i="51"/>
  <c r="AA54" i="51"/>
  <c r="AD54" i="51" s="1"/>
  <c r="S55" i="51"/>
  <c r="AA55" i="51"/>
  <c r="AD55" i="51" s="1"/>
  <c r="S56" i="51"/>
  <c r="AA56" i="51"/>
  <c r="AD56" i="51" s="1"/>
  <c r="S57" i="51"/>
  <c r="AA57" i="51"/>
  <c r="AD57" i="51" s="1"/>
  <c r="S58" i="51"/>
  <c r="AA58" i="51"/>
  <c r="AD58" i="51" s="1"/>
  <c r="S59" i="51"/>
  <c r="AA59" i="51"/>
  <c r="AD59" i="51" s="1"/>
  <c r="S60" i="51"/>
  <c r="AA60" i="51"/>
  <c r="AD60" i="51" s="1"/>
  <c r="R62" i="51"/>
  <c r="T62" i="51" s="1"/>
  <c r="R63" i="51"/>
  <c r="T63" i="51" s="1"/>
  <c r="R64" i="51"/>
  <c r="T64" i="51" s="1"/>
  <c r="R65" i="51"/>
  <c r="T65" i="51" s="1"/>
  <c r="R66" i="51"/>
  <c r="T66" i="51" s="1"/>
  <c r="R67" i="51"/>
  <c r="T67" i="51" s="1"/>
  <c r="R68" i="51"/>
  <c r="T68" i="51" s="1"/>
  <c r="R69" i="51"/>
  <c r="T69" i="51" s="1"/>
  <c r="Q71" i="51"/>
  <c r="Q72" i="51"/>
  <c r="Q73" i="51"/>
  <c r="Q74" i="51"/>
  <c r="Q75" i="51"/>
  <c r="AB95" i="51"/>
  <c r="AE95" i="51" s="1"/>
  <c r="R95" i="51"/>
  <c r="T95" i="51" s="1"/>
  <c r="V96" i="51"/>
  <c r="X96" i="51" s="1"/>
  <c r="U96" i="51"/>
  <c r="W96" i="51" s="1"/>
  <c r="AA108" i="51"/>
  <c r="AD108" i="51" s="1"/>
  <c r="P108" i="51"/>
  <c r="O108" i="51"/>
  <c r="AE113" i="51"/>
  <c r="AE109" i="51"/>
  <c r="AE115" i="51"/>
  <c r="AE111" i="51"/>
  <c r="AB58" i="51"/>
  <c r="AE58" i="51" s="1"/>
  <c r="AB59" i="51"/>
  <c r="AE59" i="51" s="1"/>
  <c r="AB60" i="51"/>
  <c r="AE60" i="51" s="1"/>
  <c r="S62" i="51"/>
  <c r="S63" i="51"/>
  <c r="S64" i="51"/>
  <c r="S65" i="51"/>
  <c r="S66" i="51"/>
  <c r="S67" i="51"/>
  <c r="S68" i="51"/>
  <c r="S69" i="51"/>
  <c r="O77" i="51"/>
  <c r="V98" i="51"/>
  <c r="U98" i="51"/>
  <c r="U118" i="51"/>
  <c r="W118" i="51" s="1"/>
  <c r="Y118" i="51" s="1"/>
  <c r="V118" i="51"/>
  <c r="X118" i="51" s="1"/>
  <c r="U119" i="51"/>
  <c r="W119" i="51" s="1"/>
  <c r="Y119" i="51" s="1"/>
  <c r="V119" i="51"/>
  <c r="X119" i="51" s="1"/>
  <c r="AF123" i="51"/>
  <c r="AF124" i="51"/>
  <c r="AA107" i="51"/>
  <c r="AD100" i="51" s="1"/>
  <c r="W105" i="51"/>
  <c r="Y105" i="51" s="1"/>
  <c r="Z105" i="51" s="1"/>
  <c r="W101" i="51"/>
  <c r="Y101" i="51" s="1"/>
  <c r="Z101" i="51" s="1"/>
  <c r="Q102" i="51"/>
  <c r="Q101" i="51"/>
  <c r="Q106" i="51"/>
  <c r="S82" i="51"/>
  <c r="S83" i="51"/>
  <c r="S84" i="51"/>
  <c r="S85" i="51"/>
  <c r="S86" i="51"/>
  <c r="S87" i="51"/>
  <c r="S88" i="51"/>
  <c r="S89" i="51"/>
  <c r="AB89" i="51"/>
  <c r="AE89" i="51" s="1"/>
  <c r="AE104" i="51"/>
  <c r="AD111" i="51"/>
  <c r="Q111" i="51"/>
  <c r="Q115" i="51"/>
  <c r="AB80" i="51"/>
  <c r="AE80" i="51" s="1"/>
  <c r="AB81" i="51"/>
  <c r="AE81" i="51" s="1"/>
  <c r="AB82" i="51"/>
  <c r="AE82" i="51" s="1"/>
  <c r="AB83" i="51"/>
  <c r="AE83" i="51" s="1"/>
  <c r="AB84" i="51"/>
  <c r="AE84" i="51" s="1"/>
  <c r="AB85" i="51"/>
  <c r="AE85" i="51" s="1"/>
  <c r="AB86" i="51"/>
  <c r="AE86" i="51" s="1"/>
  <c r="AB87" i="51"/>
  <c r="AE87" i="51" s="1"/>
  <c r="AB88" i="51"/>
  <c r="AE88" i="51" s="1"/>
  <c r="O93" i="51"/>
  <c r="P95" i="51"/>
  <c r="AA99" i="51"/>
  <c r="AD91" i="51" s="1"/>
  <c r="P100" i="51"/>
  <c r="AC103" i="51"/>
  <c r="AF103" i="51" s="1"/>
  <c r="AB105" i="51"/>
  <c r="AE105" i="51" s="1"/>
  <c r="O106" i="51"/>
  <c r="R111" i="51"/>
  <c r="T111" i="51" s="1"/>
  <c r="R115" i="51"/>
  <c r="T115" i="51" s="1"/>
  <c r="O117" i="51"/>
  <c r="Q120" i="51"/>
  <c r="O121" i="51"/>
  <c r="Q124" i="51"/>
  <c r="O125" i="51"/>
  <c r="AA90" i="51"/>
  <c r="AD89" i="51" s="1"/>
  <c r="O91" i="51"/>
  <c r="R93" i="51"/>
  <c r="T93" i="51" s="1"/>
  <c r="Q96" i="51"/>
  <c r="AA96" i="51"/>
  <c r="AD96" i="51" s="1"/>
  <c r="O100" i="51"/>
  <c r="R100" i="51"/>
  <c r="T100" i="51" s="1"/>
  <c r="AA102" i="51"/>
  <c r="AD102" i="51" s="1"/>
  <c r="AC105" i="51"/>
  <c r="AF105" i="51" s="1"/>
  <c r="R108" i="51"/>
  <c r="T108" i="51" s="1"/>
  <c r="R112" i="51"/>
  <c r="T112" i="51" s="1"/>
  <c r="Q117" i="51"/>
  <c r="O118" i="51"/>
  <c r="Q121" i="51"/>
  <c r="O122" i="51"/>
  <c r="Q125" i="51"/>
  <c r="O126" i="51"/>
  <c r="AF93" i="51"/>
  <c r="AE100" i="51"/>
  <c r="AA103" i="51"/>
  <c r="AD103" i="51" s="1"/>
  <c r="AC106" i="51"/>
  <c r="AF106" i="51" s="1"/>
  <c r="Q109" i="51"/>
  <c r="AD113" i="51"/>
  <c r="Q113" i="51"/>
  <c r="P118" i="51"/>
  <c r="P122" i="51"/>
  <c r="P126" i="51"/>
  <c r="P80" i="51"/>
  <c r="P81" i="51"/>
  <c r="P82" i="51"/>
  <c r="P83" i="51"/>
  <c r="P84" i="51"/>
  <c r="P85" i="51"/>
  <c r="P86" i="51"/>
  <c r="X86" i="51"/>
  <c r="Y86" i="51" s="1"/>
  <c r="Z86" i="51" s="1"/>
  <c r="P87" i="51"/>
  <c r="X87" i="51"/>
  <c r="P88" i="51"/>
  <c r="X88" i="51"/>
  <c r="Y88" i="51" s="1"/>
  <c r="Z88" i="51" s="1"/>
  <c r="P89" i="51"/>
  <c r="P91" i="51"/>
  <c r="R91" i="51"/>
  <c r="T91" i="51" s="1"/>
  <c r="Q94" i="51"/>
  <c r="AA94" i="51"/>
  <c r="AD94" i="51" s="1"/>
  <c r="O97" i="51"/>
  <c r="AC98" i="51"/>
  <c r="AF98" i="51" s="1"/>
  <c r="X98" i="51"/>
  <c r="X92" i="51"/>
  <c r="AB101" i="51"/>
  <c r="AE101" i="51" s="1"/>
  <c r="O102" i="51"/>
  <c r="P104" i="51"/>
  <c r="AA104" i="51"/>
  <c r="AD104" i="51" s="1"/>
  <c r="R109" i="51"/>
  <c r="T109" i="51" s="1"/>
  <c r="P110" i="51"/>
  <c r="R113" i="51"/>
  <c r="T113" i="51" s="1"/>
  <c r="Q118" i="51"/>
  <c r="O119" i="51"/>
  <c r="Q122" i="51"/>
  <c r="O123" i="51"/>
  <c r="Q126" i="51"/>
  <c r="AA127" i="51"/>
  <c r="O92" i="51"/>
  <c r="R94" i="51"/>
  <c r="T94" i="51" s="1"/>
  <c r="Q97" i="51"/>
  <c r="V101" i="51"/>
  <c r="X101" i="51" s="1"/>
  <c r="AB102" i="51"/>
  <c r="AE102" i="51" s="1"/>
  <c r="O103" i="51"/>
  <c r="Q104" i="51"/>
  <c r="P105" i="51"/>
  <c r="AA105" i="51"/>
  <c r="AD105" i="51" s="1"/>
  <c r="AD110" i="51"/>
  <c r="Q110" i="51"/>
  <c r="O111" i="51"/>
  <c r="AD114" i="51"/>
  <c r="Q114" i="51"/>
  <c r="O115" i="51"/>
  <c r="P119" i="51"/>
  <c r="P123" i="51"/>
  <c r="Q92" i="51"/>
  <c r="AA92" i="51"/>
  <c r="S94" i="51"/>
  <c r="P97" i="51"/>
  <c r="R97" i="51"/>
  <c r="T97" i="51" s="1"/>
  <c r="AB103" i="51"/>
  <c r="AE103" i="51" s="1"/>
  <c r="R104" i="51"/>
  <c r="T104" i="51" s="1"/>
  <c r="Q105" i="51"/>
  <c r="R110" i="51"/>
  <c r="T110" i="51" s="1"/>
  <c r="P111" i="51"/>
  <c r="R114" i="51"/>
  <c r="T114" i="51" s="1"/>
  <c r="P115" i="51"/>
  <c r="Q119" i="51"/>
  <c r="Q123" i="51"/>
  <c r="AF15" i="54" l="1"/>
  <c r="AG15" i="54" s="1"/>
  <c r="AB7" i="59"/>
  <c r="AC7" i="59" s="1"/>
  <c r="Z125" i="51"/>
  <c r="V52" i="51"/>
  <c r="X52" i="51" s="1"/>
  <c r="U52" i="51"/>
  <c r="W52" i="51" s="1"/>
  <c r="Y52" i="51" s="1"/>
  <c r="Z52" i="51" s="1"/>
  <c r="U15" i="50"/>
  <c r="W15" i="50" s="1"/>
  <c r="Y15" i="50" s="1"/>
  <c r="Z15" i="50" s="1"/>
  <c r="V15" i="50"/>
  <c r="X15" i="50" s="1"/>
  <c r="X9" i="79"/>
  <c r="Z9" i="79" s="1"/>
  <c r="W9" i="79"/>
  <c r="Y9" i="79" s="1"/>
  <c r="AA9" i="79" s="1"/>
  <c r="AB9" i="79" s="1"/>
  <c r="AH18" i="34"/>
  <c r="AH19" i="34"/>
  <c r="AB6" i="70"/>
  <c r="AC6" i="70" s="1"/>
  <c r="X6" i="39"/>
  <c r="Z6" i="39" s="1"/>
  <c r="W6" i="39"/>
  <c r="Y6" i="39" s="1"/>
  <c r="AA6" i="39" s="1"/>
  <c r="AB6" i="39" s="1"/>
  <c r="U56" i="51"/>
  <c r="W56" i="51" s="1"/>
  <c r="Y56" i="51" s="1"/>
  <c r="Z56" i="51" s="1"/>
  <c r="V56" i="51"/>
  <c r="X56" i="51" s="1"/>
  <c r="AI20" i="73"/>
  <c r="X5" i="79"/>
  <c r="Z5" i="79" s="1"/>
  <c r="W5" i="79"/>
  <c r="Y5" i="79" s="1"/>
  <c r="AA5" i="79" s="1"/>
  <c r="AB5" i="79" s="1"/>
  <c r="AI11" i="73"/>
  <c r="AI3" i="73"/>
  <c r="AD7" i="73"/>
  <c r="AI14" i="73"/>
  <c r="AT10" i="54"/>
  <c r="Z28" i="52"/>
  <c r="AD14" i="73"/>
  <c r="AU13" i="54"/>
  <c r="AD39" i="52"/>
  <c r="AD8" i="73"/>
  <c r="AI5" i="73"/>
  <c r="AI10" i="73"/>
  <c r="AI18" i="73"/>
  <c r="AC48" i="61"/>
  <c r="AE48" i="61" s="1"/>
  <c r="AB48" i="61"/>
  <c r="AD48" i="61" s="1"/>
  <c r="AO28" i="61"/>
  <c r="AO46" i="61"/>
  <c r="AO38" i="61"/>
  <c r="AO11" i="61"/>
  <c r="AO7" i="61"/>
  <c r="AO5" i="61"/>
  <c r="AG4" i="61"/>
  <c r="AO19" i="61"/>
  <c r="AO49" i="61"/>
  <c r="AU8" i="54"/>
  <c r="AC17" i="61"/>
  <c r="AE17" i="61" s="1"/>
  <c r="AB17" i="61"/>
  <c r="AD17" i="61" s="1"/>
  <c r="AF17" i="61" s="1"/>
  <c r="AG17" i="61" s="1"/>
  <c r="AD11" i="73"/>
  <c r="W8" i="37"/>
  <c r="Y8" i="37" s="1"/>
  <c r="X8" i="37"/>
  <c r="Z8" i="37" s="1"/>
  <c r="AG21" i="61"/>
  <c r="AO16" i="61"/>
  <c r="W9" i="22"/>
  <c r="Y9" i="22" s="1"/>
  <c r="V9" i="22"/>
  <c r="X9" i="22" s="1"/>
  <c r="Z9" i="22" s="1"/>
  <c r="AA9" i="22" s="1"/>
  <c r="X10" i="70"/>
  <c r="Z10" i="70" s="1"/>
  <c r="AB10" i="70" s="1"/>
  <c r="AC10" i="70" s="1"/>
  <c r="Y10" i="70"/>
  <c r="AA10" i="70" s="1"/>
  <c r="AO33" i="61"/>
  <c r="AG10" i="61"/>
  <c r="W9" i="37"/>
  <c r="Y9" i="37" s="1"/>
  <c r="X9" i="37"/>
  <c r="Z9" i="37" s="1"/>
  <c r="Y18" i="70"/>
  <c r="AA18" i="70" s="1"/>
  <c r="X18" i="70"/>
  <c r="Z18" i="70" s="1"/>
  <c r="AB18" i="70" s="1"/>
  <c r="AC18" i="70" s="1"/>
  <c r="AO44" i="61"/>
  <c r="X18" i="39"/>
  <c r="Z18" i="39" s="1"/>
  <c r="W18" i="39"/>
  <c r="Y18" i="39" s="1"/>
  <c r="AJ35" i="39"/>
  <c r="AJ11" i="39"/>
  <c r="AJ5" i="39"/>
  <c r="AH24" i="39"/>
  <c r="AJ18" i="39"/>
  <c r="AB7" i="38"/>
  <c r="AD7" i="38" s="1"/>
  <c r="AF7" i="38" s="1"/>
  <c r="AG7" i="38" s="1"/>
  <c r="AC7" i="38"/>
  <c r="AE7" i="38" s="1"/>
  <c r="AJ32" i="39"/>
  <c r="AB6" i="75"/>
  <c r="AC6" i="75" s="1"/>
  <c r="X16" i="39"/>
  <c r="Z16" i="39" s="1"/>
  <c r="W16" i="39"/>
  <c r="Y16" i="39" s="1"/>
  <c r="AA16" i="39" s="1"/>
  <c r="AB16" i="39" s="1"/>
  <c r="X9" i="39"/>
  <c r="Z9" i="39" s="1"/>
  <c r="W9" i="39"/>
  <c r="Y9" i="39" s="1"/>
  <c r="AA9" i="39" s="1"/>
  <c r="AB9" i="39" s="1"/>
  <c r="X5" i="39"/>
  <c r="Z5" i="39" s="1"/>
  <c r="W5" i="39"/>
  <c r="Y5" i="39" s="1"/>
  <c r="AH7" i="39"/>
  <c r="AH61" i="5"/>
  <c r="AH57" i="5"/>
  <c r="X6" i="5"/>
  <c r="Z6" i="5" s="1"/>
  <c r="AB6" i="5" s="1"/>
  <c r="AC6" i="5" s="1"/>
  <c r="Y6" i="5"/>
  <c r="AA6" i="5" s="1"/>
  <c r="AB9" i="9"/>
  <c r="AD9" i="9" s="1"/>
  <c r="AA9" i="9"/>
  <c r="AC9" i="9" s="1"/>
  <c r="AE9" i="9" s="1"/>
  <c r="AF9" i="9" s="1"/>
  <c r="AH39" i="5"/>
  <c r="AH11" i="5"/>
  <c r="AH60" i="5"/>
  <c r="AH19" i="5"/>
  <c r="AL3" i="9"/>
  <c r="AH13" i="39"/>
  <c r="AH23" i="5"/>
  <c r="AH8" i="5"/>
  <c r="AC36" i="5"/>
  <c r="AC28" i="5"/>
  <c r="AH45" i="5"/>
  <c r="AC45" i="5"/>
  <c r="AC11" i="5"/>
  <c r="Y4" i="3"/>
  <c r="AA4" i="3" s="1"/>
  <c r="X4" i="3"/>
  <c r="Z4" i="3" s="1"/>
  <c r="AB4" i="3" s="1"/>
  <c r="AC4" i="3" s="1"/>
  <c r="AG26" i="8"/>
  <c r="AI26" i="8" s="1"/>
  <c r="AK26" i="8" s="1"/>
  <c r="AL26" i="8" s="1"/>
  <c r="AH26" i="8"/>
  <c r="AJ26" i="8" s="1"/>
  <c r="AT9" i="27"/>
  <c r="Y16" i="5"/>
  <c r="AA16" i="5" s="1"/>
  <c r="X16" i="5"/>
  <c r="Z16" i="5" s="1"/>
  <c r="AR15" i="27"/>
  <c r="AC50" i="5"/>
  <c r="AL5" i="9"/>
  <c r="X11" i="3"/>
  <c r="Z11" i="3" s="1"/>
  <c r="AB11" i="3" s="1"/>
  <c r="AC11" i="3" s="1"/>
  <c r="Y11" i="3"/>
  <c r="AA11" i="3" s="1"/>
  <c r="AC8" i="27"/>
  <c r="AE8" i="27" s="1"/>
  <c r="AB8" i="27"/>
  <c r="AD8" i="27" s="1"/>
  <c r="AF8" i="27" s="1"/>
  <c r="AG8" i="27" s="1"/>
  <c r="AT13" i="8"/>
  <c r="AR5" i="27"/>
  <c r="AR16" i="27"/>
  <c r="AQ9" i="25"/>
  <c r="AQ6" i="25"/>
  <c r="AQ15" i="25"/>
  <c r="AT5" i="27"/>
  <c r="AH6" i="3"/>
  <c r="AG22" i="12"/>
  <c r="AH22" i="12" s="1"/>
  <c r="AH52" i="5"/>
  <c r="AQ6" i="27"/>
  <c r="U104" i="51"/>
  <c r="W104" i="51" s="1"/>
  <c r="V104" i="51"/>
  <c r="X104" i="51" s="1"/>
  <c r="V26" i="51"/>
  <c r="X26" i="51" s="1"/>
  <c r="U26" i="51"/>
  <c r="W26" i="51" s="1"/>
  <c r="U16" i="50"/>
  <c r="W16" i="50" s="1"/>
  <c r="Y16" i="50" s="1"/>
  <c r="Z16" i="50" s="1"/>
  <c r="V16" i="50"/>
  <c r="X16" i="50" s="1"/>
  <c r="V65" i="51"/>
  <c r="X65" i="51" s="1"/>
  <c r="U65" i="51"/>
  <c r="W65" i="51" s="1"/>
  <c r="Y65" i="51" s="1"/>
  <c r="Z65" i="51" s="1"/>
  <c r="V25" i="51"/>
  <c r="X25" i="51" s="1"/>
  <c r="U25" i="51"/>
  <c r="W25" i="51" s="1"/>
  <c r="Y25" i="51" s="1"/>
  <c r="Z25" i="51" s="1"/>
  <c r="V3" i="52"/>
  <c r="X3" i="52" s="1"/>
  <c r="U3" i="52"/>
  <c r="W3" i="52" s="1"/>
  <c r="AC37" i="61"/>
  <c r="AE37" i="61" s="1"/>
  <c r="AB37" i="61"/>
  <c r="AD37" i="61" s="1"/>
  <c r="Z118" i="51"/>
  <c r="Z117" i="51"/>
  <c r="AD86" i="51"/>
  <c r="AD93" i="51"/>
  <c r="V21" i="51"/>
  <c r="X21" i="51" s="1"/>
  <c r="U21" i="51"/>
  <c r="W21" i="51" s="1"/>
  <c r="V59" i="50"/>
  <c r="X59" i="50" s="1"/>
  <c r="U59" i="50"/>
  <c r="W59" i="50" s="1"/>
  <c r="U60" i="50"/>
  <c r="W60" i="50" s="1"/>
  <c r="V60" i="50"/>
  <c r="X60" i="50" s="1"/>
  <c r="V7" i="52"/>
  <c r="X7" i="52" s="1"/>
  <c r="U7" i="52"/>
  <c r="W7" i="52" s="1"/>
  <c r="Y7" i="52" s="1"/>
  <c r="Z7" i="52" s="1"/>
  <c r="Y40" i="50"/>
  <c r="Z40" i="50" s="1"/>
  <c r="AF35" i="52"/>
  <c r="AF34" i="52"/>
  <c r="AF33" i="52"/>
  <c r="AF32" i="52"/>
  <c r="V94" i="51"/>
  <c r="X94" i="51" s="1"/>
  <c r="U94" i="51"/>
  <c r="W94" i="51" s="1"/>
  <c r="Y94" i="51" s="1"/>
  <c r="Z94" i="51" s="1"/>
  <c r="V95" i="51"/>
  <c r="X95" i="51" s="1"/>
  <c r="U95" i="51"/>
  <c r="W95" i="51" s="1"/>
  <c r="U55" i="51"/>
  <c r="W55" i="51" s="1"/>
  <c r="V55" i="51"/>
  <c r="X55" i="51" s="1"/>
  <c r="Y92" i="51"/>
  <c r="Z92" i="51" s="1"/>
  <c r="Y74" i="50"/>
  <c r="Z74" i="50" s="1"/>
  <c r="V38" i="50"/>
  <c r="X38" i="50" s="1"/>
  <c r="U38" i="50"/>
  <c r="W38" i="50" s="1"/>
  <c r="Y38" i="50" s="1"/>
  <c r="Z38" i="50" s="1"/>
  <c r="U7" i="51"/>
  <c r="W7" i="51" s="1"/>
  <c r="Y7" i="51" s="1"/>
  <c r="Z7" i="51" s="1"/>
  <c r="V7" i="51"/>
  <c r="X7" i="51" s="1"/>
  <c r="AD38" i="52"/>
  <c r="AE24" i="50"/>
  <c r="V6" i="52"/>
  <c r="X6" i="52" s="1"/>
  <c r="U6" i="52"/>
  <c r="W6" i="52" s="1"/>
  <c r="Y6" i="52" s="1"/>
  <c r="Z6" i="52" s="1"/>
  <c r="Y3" i="46"/>
  <c r="AA3" i="46" s="1"/>
  <c r="Z3" i="46"/>
  <c r="AB3" i="46" s="1"/>
  <c r="AF15" i="50"/>
  <c r="V35" i="52"/>
  <c r="X35" i="52" s="1"/>
  <c r="U35" i="52"/>
  <c r="W35" i="52" s="1"/>
  <c r="AD30" i="52"/>
  <c r="V21" i="52"/>
  <c r="X21" i="52" s="1"/>
  <c r="U21" i="52"/>
  <c r="W21" i="52" s="1"/>
  <c r="Y21" i="52" s="1"/>
  <c r="Z21" i="52" s="1"/>
  <c r="AC3" i="54"/>
  <c r="AE3" i="54" s="1"/>
  <c r="AB3" i="54"/>
  <c r="AD3" i="54" s="1"/>
  <c r="AF3" i="54" s="1"/>
  <c r="AG3" i="54" s="1"/>
  <c r="Y5" i="73"/>
  <c r="AA5" i="73" s="1"/>
  <c r="AC5" i="73" s="1"/>
  <c r="AD5" i="73" s="1"/>
  <c r="Z5" i="73"/>
  <c r="AB5" i="73" s="1"/>
  <c r="AO13" i="54"/>
  <c r="X4" i="79"/>
  <c r="Z4" i="79" s="1"/>
  <c r="W4" i="79"/>
  <c r="Y4" i="79" s="1"/>
  <c r="Y13" i="52"/>
  <c r="Z13" i="52" s="1"/>
  <c r="AI9" i="73"/>
  <c r="AU7" i="54"/>
  <c r="Z4" i="73"/>
  <c r="AB4" i="73" s="1"/>
  <c r="Y4" i="73"/>
  <c r="AA4" i="73" s="1"/>
  <c r="AI11" i="71"/>
  <c r="AF6" i="56"/>
  <c r="Z14" i="23"/>
  <c r="AA14" i="23" s="1"/>
  <c r="Z10" i="23"/>
  <c r="AA10" i="23" s="1"/>
  <c r="AJ5" i="73"/>
  <c r="Y3" i="56"/>
  <c r="Z3" i="56" s="1"/>
  <c r="AU9" i="54"/>
  <c r="AD3" i="73"/>
  <c r="AU14" i="54"/>
  <c r="AO41" i="61"/>
  <c r="AJ7" i="73"/>
  <c r="AP48" i="61"/>
  <c r="AI7" i="73"/>
  <c r="AD3" i="56"/>
  <c r="AF46" i="61"/>
  <c r="AG46" i="61" s="1"/>
  <c r="AT36" i="61"/>
  <c r="AP23" i="61"/>
  <c r="AO9" i="61"/>
  <c r="AP40" i="61"/>
  <c r="AG16" i="61"/>
  <c r="AT45" i="61"/>
  <c r="AT31" i="61"/>
  <c r="AP14" i="61"/>
  <c r="AP26" i="61"/>
  <c r="AG40" i="61"/>
  <c r="AT13" i="61"/>
  <c r="AH33" i="39"/>
  <c r="W8" i="22"/>
  <c r="Y8" i="22" s="1"/>
  <c r="V8" i="22"/>
  <c r="X8" i="22" s="1"/>
  <c r="Z8" i="22" s="1"/>
  <c r="AA8" i="22" s="1"/>
  <c r="AO32" i="61"/>
  <c r="AP10" i="61"/>
  <c r="AG8" i="61"/>
  <c r="AP13" i="61"/>
  <c r="AP11" i="61"/>
  <c r="AG34" i="39"/>
  <c r="AG26" i="39"/>
  <c r="AG18" i="39"/>
  <c r="AG10" i="39"/>
  <c r="AG17" i="39"/>
  <c r="AG25" i="39"/>
  <c r="AJ15" i="39"/>
  <c r="AT34" i="61"/>
  <c r="AB7" i="70"/>
  <c r="AC7" i="70" s="1"/>
  <c r="AT39" i="61"/>
  <c r="AH34" i="39"/>
  <c r="AH10" i="39"/>
  <c r="AJ25" i="39"/>
  <c r="AJ31" i="39"/>
  <c r="AH5" i="39"/>
  <c r="AT16" i="61"/>
  <c r="AH23" i="39"/>
  <c r="AO14" i="61"/>
  <c r="AH12" i="39"/>
  <c r="AB3" i="38"/>
  <c r="AD3" i="38" s="1"/>
  <c r="AC3" i="38"/>
  <c r="AE3" i="38" s="1"/>
  <c r="AG23" i="39"/>
  <c r="AH63" i="5"/>
  <c r="X34" i="39"/>
  <c r="Z34" i="39" s="1"/>
  <c r="W34" i="39"/>
  <c r="Y34" i="39" s="1"/>
  <c r="AA34" i="39" s="1"/>
  <c r="AB34" i="39" s="1"/>
  <c r="AB7" i="75"/>
  <c r="AC7" i="75" s="1"/>
  <c r="X32" i="39"/>
  <c r="Z32" i="39" s="1"/>
  <c r="W32" i="39"/>
  <c r="Y32" i="39" s="1"/>
  <c r="X17" i="39"/>
  <c r="Z17" i="39" s="1"/>
  <c r="W17" i="39"/>
  <c r="Y17" i="39" s="1"/>
  <c r="X13" i="39"/>
  <c r="Z13" i="39" s="1"/>
  <c r="W13" i="39"/>
  <c r="Y13" i="39" s="1"/>
  <c r="AA13" i="39" s="1"/>
  <c r="AB13" i="39" s="1"/>
  <c r="AH4" i="39"/>
  <c r="AT5" i="38"/>
  <c r="AH58" i="5"/>
  <c r="AH17" i="5"/>
  <c r="AG4" i="39"/>
  <c r="AG38" i="39" s="1"/>
  <c r="AB5" i="9"/>
  <c r="AD5" i="9" s="1"/>
  <c r="AA5" i="9"/>
  <c r="AC5" i="9" s="1"/>
  <c r="AG17" i="37"/>
  <c r="AC57" i="5"/>
  <c r="AH29" i="5"/>
  <c r="AH13" i="5"/>
  <c r="AG45" i="8"/>
  <c r="AI45" i="8" s="1"/>
  <c r="AH45" i="8"/>
  <c r="AJ45" i="8" s="1"/>
  <c r="AH44" i="5"/>
  <c r="AY46" i="8"/>
  <c r="AY37" i="8"/>
  <c r="AY25" i="8"/>
  <c r="AY13" i="8"/>
  <c r="AY45" i="8"/>
  <c r="AY5" i="8"/>
  <c r="AP4" i="38"/>
  <c r="AH47" i="5"/>
  <c r="AE4" i="67"/>
  <c r="AF4" i="67" s="1"/>
  <c r="AH39" i="8"/>
  <c r="AJ39" i="8" s="1"/>
  <c r="AG39" i="8"/>
  <c r="AI39" i="8" s="1"/>
  <c r="AK39" i="8" s="1"/>
  <c r="AL39" i="8" s="1"/>
  <c r="AC38" i="5"/>
  <c r="AT24" i="8"/>
  <c r="AH5" i="5"/>
  <c r="AL8" i="9"/>
  <c r="AT50" i="8"/>
  <c r="AT40" i="8"/>
  <c r="AY35" i="8"/>
  <c r="AC33" i="5"/>
  <c r="AC23" i="5"/>
  <c r="AH41" i="8"/>
  <c r="AJ41" i="8" s="1"/>
  <c r="AG41" i="8"/>
  <c r="AI41" i="8" s="1"/>
  <c r="AH12" i="8"/>
  <c r="AJ12" i="8" s="1"/>
  <c r="AG12" i="8"/>
  <c r="AI12" i="8" s="1"/>
  <c r="AT8" i="8"/>
  <c r="AM4" i="9"/>
  <c r="AT15" i="27"/>
  <c r="AG7" i="27"/>
  <c r="AC6" i="7"/>
  <c r="AE6" i="7" s="1"/>
  <c r="AB6" i="7"/>
  <c r="AD6" i="7" s="1"/>
  <c r="AG15" i="8"/>
  <c r="AI15" i="8" s="1"/>
  <c r="AK15" i="8" s="1"/>
  <c r="AL15" i="8" s="1"/>
  <c r="AH15" i="8"/>
  <c r="AJ15" i="8" s="1"/>
  <c r="AT3" i="8"/>
  <c r="AL35" i="8"/>
  <c r="AY4" i="8"/>
  <c r="AK43" i="8"/>
  <c r="AL43" i="8" s="1"/>
  <c r="AT5" i="8"/>
  <c r="AQ11" i="27"/>
  <c r="W7" i="76"/>
  <c r="Y7" i="76" s="1"/>
  <c r="V7" i="76"/>
  <c r="X7" i="76" s="1"/>
  <c r="AR14" i="27"/>
  <c r="AQ10" i="25"/>
  <c r="AT13" i="27"/>
  <c r="AT3" i="27"/>
  <c r="Y5" i="3"/>
  <c r="AA5" i="3" s="1"/>
  <c r="X5" i="3"/>
  <c r="Z5" i="3" s="1"/>
  <c r="AY33" i="8"/>
  <c r="W6" i="76"/>
  <c r="Y6" i="76" s="1"/>
  <c r="V6" i="76"/>
  <c r="X6" i="76" s="1"/>
  <c r="AH5" i="3"/>
  <c r="AD8" i="12"/>
  <c r="AF8" i="12" s="1"/>
  <c r="AC8" i="12"/>
  <c r="AE8" i="12" s="1"/>
  <c r="AG8" i="12" s="1"/>
  <c r="AH8" i="12" s="1"/>
  <c r="AQ11" i="25"/>
  <c r="AP6" i="27"/>
  <c r="AP9" i="27"/>
  <c r="AT18" i="8"/>
  <c r="AT4" i="27"/>
  <c r="AO16" i="27"/>
  <c r="AT15" i="12"/>
  <c r="AU16" i="12"/>
  <c r="AH40" i="5"/>
  <c r="AH49" i="5"/>
  <c r="AU5" i="27"/>
  <c r="W13" i="76"/>
  <c r="Y13" i="76" s="1"/>
  <c r="V13" i="76"/>
  <c r="X13" i="76" s="1"/>
  <c r="Z13" i="76" s="1"/>
  <c r="AA13" i="76" s="1"/>
  <c r="AU12" i="12"/>
  <c r="AU20" i="12"/>
  <c r="AV8" i="25"/>
  <c r="AI9" i="46"/>
  <c r="AK7" i="46"/>
  <c r="AC47" i="61"/>
  <c r="AE47" i="61" s="1"/>
  <c r="AB47" i="61"/>
  <c r="AD47" i="61" s="1"/>
  <c r="AF47" i="61" s="1"/>
  <c r="AG47" i="61" s="1"/>
  <c r="X3" i="39"/>
  <c r="Z3" i="39" s="1"/>
  <c r="W3" i="39"/>
  <c r="Y3" i="39" s="1"/>
  <c r="AA3" i="39" s="1"/>
  <c r="AB3" i="39" s="1"/>
  <c r="Y43" i="5"/>
  <c r="AA43" i="5" s="1"/>
  <c r="X43" i="5"/>
  <c r="Z43" i="5" s="1"/>
  <c r="AB43" i="5" s="1"/>
  <c r="AC43" i="5" s="1"/>
  <c r="AD92" i="51"/>
  <c r="V69" i="51"/>
  <c r="X69" i="51" s="1"/>
  <c r="U69" i="51"/>
  <c r="W69" i="51" s="1"/>
  <c r="Z87" i="51"/>
  <c r="Y75" i="50"/>
  <c r="Z75" i="50" s="1"/>
  <c r="U11" i="50"/>
  <c r="W11" i="50" s="1"/>
  <c r="V11" i="50"/>
  <c r="X11" i="50" s="1"/>
  <c r="AE16" i="50"/>
  <c r="Y18" i="52"/>
  <c r="Z18" i="52" s="1"/>
  <c r="AB11" i="72"/>
  <c r="AC11" i="72" s="1"/>
  <c r="AE31" i="50"/>
  <c r="AT11" i="54"/>
  <c r="V110" i="51"/>
  <c r="X110" i="51" s="1"/>
  <c r="U110" i="51"/>
  <c r="W110" i="51" s="1"/>
  <c r="Y110" i="51" s="1"/>
  <c r="Z110" i="51" s="1"/>
  <c r="V113" i="51"/>
  <c r="X113" i="51" s="1"/>
  <c r="U113" i="51"/>
  <c r="W113" i="51" s="1"/>
  <c r="Y113" i="51" s="1"/>
  <c r="Z113" i="51" s="1"/>
  <c r="V68" i="51"/>
  <c r="X68" i="51" s="1"/>
  <c r="U68" i="51"/>
  <c r="W68" i="51" s="1"/>
  <c r="Y68" i="51" s="1"/>
  <c r="Z68" i="51" s="1"/>
  <c r="AD85" i="51"/>
  <c r="AE56" i="51"/>
  <c r="V20" i="51"/>
  <c r="X20" i="51" s="1"/>
  <c r="U20" i="51"/>
  <c r="W20" i="51" s="1"/>
  <c r="Y20" i="51" s="1"/>
  <c r="Z20" i="51" s="1"/>
  <c r="V55" i="50"/>
  <c r="X55" i="50" s="1"/>
  <c r="U55" i="50"/>
  <c r="W55" i="50" s="1"/>
  <c r="Y55" i="50" s="1"/>
  <c r="Z55" i="50" s="1"/>
  <c r="U13" i="51"/>
  <c r="W13" i="51" s="1"/>
  <c r="V13" i="51"/>
  <c r="X13" i="51" s="1"/>
  <c r="AD11" i="51"/>
  <c r="Y72" i="50"/>
  <c r="Z72" i="50" s="1"/>
  <c r="V33" i="50"/>
  <c r="X33" i="50" s="1"/>
  <c r="U33" i="50"/>
  <c r="W33" i="50" s="1"/>
  <c r="Y33" i="50" s="1"/>
  <c r="Z33" i="50" s="1"/>
  <c r="AD109" i="51"/>
  <c r="U100" i="51"/>
  <c r="W100" i="51" s="1"/>
  <c r="Y100" i="51" s="1"/>
  <c r="Z100" i="51" s="1"/>
  <c r="V100" i="51"/>
  <c r="X100" i="51" s="1"/>
  <c r="V67" i="51"/>
  <c r="X67" i="51" s="1"/>
  <c r="U67" i="51"/>
  <c r="W67" i="51" s="1"/>
  <c r="AD84" i="51"/>
  <c r="U54" i="51"/>
  <c r="W54" i="51" s="1"/>
  <c r="V54" i="51"/>
  <c r="X54" i="51" s="1"/>
  <c r="AD81" i="51"/>
  <c r="AD112" i="51"/>
  <c r="V27" i="51"/>
  <c r="X27" i="51" s="1"/>
  <c r="U27" i="51"/>
  <c r="W27" i="51" s="1"/>
  <c r="Y27" i="51" s="1"/>
  <c r="Z27" i="51" s="1"/>
  <c r="V19" i="51"/>
  <c r="X19" i="51" s="1"/>
  <c r="U19" i="51"/>
  <c r="W19" i="51" s="1"/>
  <c r="Y19" i="51" s="1"/>
  <c r="Z19" i="51" s="1"/>
  <c r="Z85" i="51"/>
  <c r="AD13" i="51"/>
  <c r="V51" i="50"/>
  <c r="X51" i="50" s="1"/>
  <c r="U51" i="50"/>
  <c r="W51" i="50" s="1"/>
  <c r="Y51" i="50" s="1"/>
  <c r="Z51" i="50" s="1"/>
  <c r="U56" i="50"/>
  <c r="W56" i="50" s="1"/>
  <c r="V56" i="50"/>
  <c r="X56" i="50" s="1"/>
  <c r="AD7" i="51"/>
  <c r="AD6" i="51"/>
  <c r="Y48" i="50"/>
  <c r="Z48" i="50" s="1"/>
  <c r="Y6" i="51"/>
  <c r="Z6" i="51" s="1"/>
  <c r="AD39" i="50"/>
  <c r="AF16" i="50"/>
  <c r="V5" i="52"/>
  <c r="X5" i="52" s="1"/>
  <c r="U5" i="52"/>
  <c r="W5" i="52" s="1"/>
  <c r="Y5" i="52" s="1"/>
  <c r="Z5" i="52" s="1"/>
  <c r="AD40" i="50"/>
  <c r="V41" i="50"/>
  <c r="X41" i="50" s="1"/>
  <c r="U41" i="50"/>
  <c r="W41" i="50" s="1"/>
  <c r="Y41" i="50" s="1"/>
  <c r="Z41" i="50" s="1"/>
  <c r="V34" i="52"/>
  <c r="X34" i="52" s="1"/>
  <c r="U34" i="52"/>
  <c r="W34" i="52" s="1"/>
  <c r="Y34" i="52" s="1"/>
  <c r="Z34" i="52" s="1"/>
  <c r="Y28" i="50"/>
  <c r="Z28" i="50" s="1"/>
  <c r="AB10" i="72"/>
  <c r="AC10" i="72" s="1"/>
  <c r="AD34" i="52"/>
  <c r="AD26" i="52"/>
  <c r="AT3" i="54"/>
  <c r="AI5" i="46"/>
  <c r="AI8" i="46" s="1"/>
  <c r="X3" i="79"/>
  <c r="Z3" i="79" s="1"/>
  <c r="W3" i="79"/>
  <c r="Y3" i="79" s="1"/>
  <c r="AA3" i="79" s="1"/>
  <c r="AB3" i="79" s="1"/>
  <c r="AE26" i="50"/>
  <c r="AI4" i="73"/>
  <c r="AJ4" i="73"/>
  <c r="AT6" i="54"/>
  <c r="AO10" i="54"/>
  <c r="V20" i="52"/>
  <c r="X20" i="52" s="1"/>
  <c r="U20" i="52"/>
  <c r="W20" i="52" s="1"/>
  <c r="Y20" i="52" s="1"/>
  <c r="Z20" i="52" s="1"/>
  <c r="AC9" i="73"/>
  <c r="AD9" i="73" s="1"/>
  <c r="AI8" i="73"/>
  <c r="AT46" i="61"/>
  <c r="AO31" i="61"/>
  <c r="AO14" i="54"/>
  <c r="AO15" i="54"/>
  <c r="AO40" i="61"/>
  <c r="AO30" i="61"/>
  <c r="AO20" i="61"/>
  <c r="AO8" i="54"/>
  <c r="AT37" i="61"/>
  <c r="AC3" i="61"/>
  <c r="AE3" i="61" s="1"/>
  <c r="AB3" i="61"/>
  <c r="AD3" i="61" s="1"/>
  <c r="AT30" i="61"/>
  <c r="AG29" i="61"/>
  <c r="AT11" i="61"/>
  <c r="Y16" i="70"/>
  <c r="AA16" i="70" s="1"/>
  <c r="X16" i="70"/>
  <c r="Z16" i="70" s="1"/>
  <c r="AB16" i="70" s="1"/>
  <c r="AC16" i="70" s="1"/>
  <c r="AT47" i="61"/>
  <c r="AO26" i="61"/>
  <c r="AC20" i="61"/>
  <c r="AE20" i="61" s="1"/>
  <c r="AB20" i="61"/>
  <c r="AD20" i="61" s="1"/>
  <c r="AF20" i="61" s="1"/>
  <c r="AG20" i="61" s="1"/>
  <c r="AT7" i="61"/>
  <c r="AH25" i="39"/>
  <c r="W7" i="22"/>
  <c r="Y7" i="22" s="1"/>
  <c r="V7" i="22"/>
  <c r="X7" i="22" s="1"/>
  <c r="Z7" i="22" s="1"/>
  <c r="AA7" i="22" s="1"/>
  <c r="AP9" i="61"/>
  <c r="W28" i="39"/>
  <c r="Y28" i="39" s="1"/>
  <c r="AA28" i="39" s="1"/>
  <c r="AB28" i="39" s="1"/>
  <c r="X28" i="39"/>
  <c r="Z28" i="39" s="1"/>
  <c r="W12" i="39"/>
  <c r="Y12" i="39" s="1"/>
  <c r="X12" i="39"/>
  <c r="Z12" i="39" s="1"/>
  <c r="AF32" i="61"/>
  <c r="AG32" i="61" s="1"/>
  <c r="AC19" i="73"/>
  <c r="AD19" i="73" s="1"/>
  <c r="AB4" i="70"/>
  <c r="AC4" i="70" s="1"/>
  <c r="X35" i="39"/>
  <c r="Z35" i="39" s="1"/>
  <c r="W35" i="39"/>
  <c r="Y35" i="39" s="1"/>
  <c r="AA35" i="39" s="1"/>
  <c r="AB35" i="39" s="1"/>
  <c r="AJ4" i="39"/>
  <c r="AC12" i="61"/>
  <c r="AE12" i="61" s="1"/>
  <c r="AB12" i="61"/>
  <c r="AD12" i="61" s="1"/>
  <c r="AF12" i="61" s="1"/>
  <c r="AG12" i="61" s="1"/>
  <c r="AJ21" i="39"/>
  <c r="AA14" i="37"/>
  <c r="AB14" i="37" s="1"/>
  <c r="AJ20" i="39"/>
  <c r="AF7" i="61"/>
  <c r="AG7" i="61" s="1"/>
  <c r="Y9" i="70"/>
  <c r="AA9" i="70" s="1"/>
  <c r="X9" i="70"/>
  <c r="Z9" i="70" s="1"/>
  <c r="AG20" i="39"/>
  <c r="AF13" i="61"/>
  <c r="AG13" i="61" s="1"/>
  <c r="AG7" i="39"/>
  <c r="Y63" i="5"/>
  <c r="AA63" i="5" s="1"/>
  <c r="X63" i="5"/>
  <c r="Z63" i="5" s="1"/>
  <c r="AB63" i="5" s="1"/>
  <c r="AC63" i="5" s="1"/>
  <c r="AJ17" i="39"/>
  <c r="AT8" i="38"/>
  <c r="X24" i="39"/>
  <c r="Z24" i="39" s="1"/>
  <c r="W24" i="39"/>
  <c r="Y24" i="39" s="1"/>
  <c r="AA24" i="39" s="1"/>
  <c r="AB24" i="39" s="1"/>
  <c r="AP5" i="38"/>
  <c r="X8" i="39"/>
  <c r="Z8" i="39" s="1"/>
  <c r="W8" i="39"/>
  <c r="Y8" i="39" s="1"/>
  <c r="AA8" i="39" s="1"/>
  <c r="AB8" i="39" s="1"/>
  <c r="X25" i="39"/>
  <c r="Z25" i="39" s="1"/>
  <c r="W25" i="39"/>
  <c r="Y25" i="39" s="1"/>
  <c r="X21" i="39"/>
  <c r="Z21" i="39" s="1"/>
  <c r="W21" i="39"/>
  <c r="Y21" i="39" s="1"/>
  <c r="AB8" i="70"/>
  <c r="AC8" i="70" s="1"/>
  <c r="AU4" i="38"/>
  <c r="Y61" i="5"/>
  <c r="AA61" i="5" s="1"/>
  <c r="X61" i="5"/>
  <c r="Z61" i="5" s="1"/>
  <c r="AB61" i="5" s="1"/>
  <c r="AC61" i="5" s="1"/>
  <c r="AH48" i="5"/>
  <c r="AB32" i="5"/>
  <c r="AC32" i="5" s="1"/>
  <c r="AB24" i="5"/>
  <c r="AC24" i="5" s="1"/>
  <c r="W8" i="10"/>
  <c r="Y8" i="10" s="1"/>
  <c r="V8" i="10"/>
  <c r="X8" i="10" s="1"/>
  <c r="Z8" i="10" s="1"/>
  <c r="AA8" i="10" s="1"/>
  <c r="AH5" i="59"/>
  <c r="AP9" i="38"/>
  <c r="AH42" i="5"/>
  <c r="AB4" i="38"/>
  <c r="AD4" i="38" s="1"/>
  <c r="AF4" i="38" s="1"/>
  <c r="AG4" i="38" s="1"/>
  <c r="AC4" i="38"/>
  <c r="AE4" i="38" s="1"/>
  <c r="AC44" i="5"/>
  <c r="X14" i="5"/>
  <c r="Z14" i="5" s="1"/>
  <c r="Y14" i="5"/>
  <c r="AA14" i="5" s="1"/>
  <c r="AK10" i="67"/>
  <c r="AK11" i="67"/>
  <c r="X54" i="5"/>
  <c r="Z54" i="5" s="1"/>
  <c r="Y54" i="5"/>
  <c r="AA54" i="5" s="1"/>
  <c r="AB37" i="5"/>
  <c r="AC37" i="5" s="1"/>
  <c r="AC9" i="5"/>
  <c r="AL33" i="8"/>
  <c r="AH10" i="5"/>
  <c r="AB42" i="5"/>
  <c r="AC42" i="5" s="1"/>
  <c r="AB7" i="9"/>
  <c r="AD7" i="9" s="1"/>
  <c r="AA7" i="9"/>
  <c r="AC7" i="9" s="1"/>
  <c r="AE7" i="9" s="1"/>
  <c r="AF7" i="9" s="1"/>
  <c r="AC31" i="5"/>
  <c r="AH14" i="5"/>
  <c r="AT53" i="8"/>
  <c r="AT25" i="8"/>
  <c r="AB13" i="5"/>
  <c r="AC13" i="5" s="1"/>
  <c r="AY23" i="8"/>
  <c r="AY6" i="8"/>
  <c r="AC3" i="27"/>
  <c r="AE3" i="27" s="1"/>
  <c r="AB3" i="27"/>
  <c r="AD3" i="27" s="1"/>
  <c r="AF3" i="27" s="1"/>
  <c r="AG3" i="27" s="1"/>
  <c r="AY53" i="8"/>
  <c r="AY36" i="8"/>
  <c r="AG6" i="27"/>
  <c r="AE8" i="9"/>
  <c r="AF8" i="9" s="1"/>
  <c r="AP4" i="7"/>
  <c r="AP9" i="7"/>
  <c r="AC8" i="5"/>
  <c r="AO9" i="27"/>
  <c r="X3" i="3"/>
  <c r="Z3" i="3" s="1"/>
  <c r="Y3" i="3"/>
  <c r="AA3" i="3" s="1"/>
  <c r="AD12" i="12"/>
  <c r="AF12" i="12" s="1"/>
  <c r="AC12" i="12"/>
  <c r="AE12" i="12" s="1"/>
  <c r="AG12" i="12" s="1"/>
  <c r="AH12" i="12" s="1"/>
  <c r="AP17" i="7"/>
  <c r="AO20" i="7"/>
  <c r="AO19" i="7"/>
  <c r="AE4" i="76"/>
  <c r="AE18" i="76" s="1"/>
  <c r="AB7" i="3"/>
  <c r="AC7" i="3" s="1"/>
  <c r="AT23" i="12"/>
  <c r="AT3" i="12"/>
  <c r="AH17" i="8"/>
  <c r="AJ17" i="8" s="1"/>
  <c r="AG17" i="8"/>
  <c r="AI17" i="8" s="1"/>
  <c r="AR13" i="27"/>
  <c r="AS21" i="12"/>
  <c r="AS20" i="12"/>
  <c r="AY38" i="8"/>
  <c r="AY11" i="8"/>
  <c r="AE14" i="76"/>
  <c r="AY31" i="8"/>
  <c r="AR4" i="27"/>
  <c r="AH15" i="3"/>
  <c r="AE3" i="67"/>
  <c r="AF3" i="67" s="1"/>
  <c r="AL6" i="8"/>
  <c r="AQ14" i="27"/>
  <c r="AU4" i="27"/>
  <c r="AU3" i="25"/>
  <c r="AU10" i="25"/>
  <c r="AT22" i="8"/>
  <c r="AH4" i="3"/>
  <c r="AV5" i="25"/>
  <c r="AB15" i="3"/>
  <c r="AC15" i="3" s="1"/>
  <c r="AS12" i="12"/>
  <c r="AQ13" i="27"/>
  <c r="AH4" i="5"/>
  <c r="AT19" i="8"/>
  <c r="AE10" i="76"/>
  <c r="AY21" i="8"/>
  <c r="AG5" i="25"/>
  <c r="AH5" i="25" s="1"/>
  <c r="AS19" i="12"/>
  <c r="AG12" i="25"/>
  <c r="AH12" i="25" s="1"/>
  <c r="AP12" i="7"/>
  <c r="AU4" i="25"/>
  <c r="AD122" i="51"/>
  <c r="AD118" i="51"/>
  <c r="AD124" i="51"/>
  <c r="AD120" i="51"/>
  <c r="AD125" i="51"/>
  <c r="AD117" i="51"/>
  <c r="AD121" i="51"/>
  <c r="V4" i="52"/>
  <c r="X4" i="52" s="1"/>
  <c r="U4" i="52"/>
  <c r="W4" i="52" s="1"/>
  <c r="Y4" i="52" s="1"/>
  <c r="Z4" i="52" s="1"/>
  <c r="V33" i="52"/>
  <c r="X33" i="52" s="1"/>
  <c r="U33" i="52"/>
  <c r="W33" i="52" s="1"/>
  <c r="V39" i="52"/>
  <c r="X39" i="52" s="1"/>
  <c r="U39" i="52"/>
  <c r="W39" i="52" s="1"/>
  <c r="Y39" i="52" s="1"/>
  <c r="Z39" i="52" s="1"/>
  <c r="AC5" i="71"/>
  <c r="AD5" i="71" s="1"/>
  <c r="Y16" i="34"/>
  <c r="AA16" i="34" s="1"/>
  <c r="X16" i="34"/>
  <c r="Z16" i="34" s="1"/>
  <c r="X10" i="79"/>
  <c r="Z10" i="79" s="1"/>
  <c r="W10" i="79"/>
  <c r="Y10" i="79" s="1"/>
  <c r="AC10" i="54"/>
  <c r="AE10" i="54" s="1"/>
  <c r="AB10" i="54"/>
  <c r="AD10" i="54" s="1"/>
  <c r="AF10" i="54" s="1"/>
  <c r="AG10" i="54" s="1"/>
  <c r="Y12" i="52"/>
  <c r="Z12" i="52" s="1"/>
  <c r="AC5" i="46"/>
  <c r="AD5" i="46" s="1"/>
  <c r="AI15" i="73"/>
  <c r="AU4" i="54"/>
  <c r="AT13" i="54"/>
  <c r="AT5" i="54"/>
  <c r="AB13" i="34"/>
  <c r="AC13" i="34" s="1"/>
  <c r="Z9" i="23"/>
  <c r="AA9" i="23" s="1"/>
  <c r="AC5" i="54"/>
  <c r="AE5" i="54" s="1"/>
  <c r="AB5" i="54"/>
  <c r="AD5" i="54" s="1"/>
  <c r="AC45" i="61"/>
  <c r="AE45" i="61" s="1"/>
  <c r="AB45" i="61"/>
  <c r="AD45" i="61" s="1"/>
  <c r="Z20" i="73"/>
  <c r="AB20" i="73" s="1"/>
  <c r="Y20" i="73"/>
  <c r="AA20" i="73" s="1"/>
  <c r="Y23" i="52"/>
  <c r="Z23" i="52" s="1"/>
  <c r="W6" i="22"/>
  <c r="Y6" i="22" s="1"/>
  <c r="V6" i="22"/>
  <c r="X6" i="22" s="1"/>
  <c r="Z6" i="22" s="1"/>
  <c r="AA6" i="22" s="1"/>
  <c r="X15" i="70"/>
  <c r="Z15" i="70" s="1"/>
  <c r="Y15" i="70"/>
  <c r="AA15" i="70" s="1"/>
  <c r="AF33" i="61"/>
  <c r="AG33" i="61" s="1"/>
  <c r="X19" i="39"/>
  <c r="Z19" i="39" s="1"/>
  <c r="W19" i="39"/>
  <c r="Y19" i="39" s="1"/>
  <c r="AB19" i="70"/>
  <c r="AC19" i="70" s="1"/>
  <c r="AB5" i="38"/>
  <c r="AD5" i="38" s="1"/>
  <c r="AC5" i="38"/>
  <c r="AE5" i="38" s="1"/>
  <c r="Y42" i="50"/>
  <c r="Z42" i="50" s="1"/>
  <c r="X33" i="39"/>
  <c r="Z33" i="39" s="1"/>
  <c r="W33" i="39"/>
  <c r="Y33" i="39" s="1"/>
  <c r="X29" i="39"/>
  <c r="Z29" i="39" s="1"/>
  <c r="W29" i="39"/>
  <c r="Y29" i="39" s="1"/>
  <c r="AT4" i="38"/>
  <c r="AF6" i="61"/>
  <c r="AG6" i="61" s="1"/>
  <c r="W7" i="10"/>
  <c r="Y7" i="10" s="1"/>
  <c r="V7" i="10"/>
  <c r="X7" i="10" s="1"/>
  <c r="AF9" i="38"/>
  <c r="AG9" i="38" s="1"/>
  <c r="Y27" i="5"/>
  <c r="AA27" i="5" s="1"/>
  <c r="X27" i="5"/>
  <c r="Z27" i="5" s="1"/>
  <c r="AB27" i="5" s="1"/>
  <c r="AC27" i="5" s="1"/>
  <c r="AB62" i="5"/>
  <c r="AC62" i="5" s="1"/>
  <c r="AB3" i="5"/>
  <c r="AC3" i="5" s="1"/>
  <c r="AG37" i="8"/>
  <c r="AI37" i="8" s="1"/>
  <c r="AH37" i="8"/>
  <c r="AJ37" i="8" s="1"/>
  <c r="AB20" i="5"/>
  <c r="AC20" i="5" s="1"/>
  <c r="AH31" i="8"/>
  <c r="AJ31" i="8" s="1"/>
  <c r="AG31" i="8"/>
  <c r="AI31" i="8" s="1"/>
  <c r="AB39" i="5"/>
  <c r="AC39" i="5" s="1"/>
  <c r="AF12" i="27"/>
  <c r="AG12" i="27" s="1"/>
  <c r="AB7" i="5"/>
  <c r="AC7" i="5" s="1"/>
  <c r="AR11" i="27"/>
  <c r="AR6" i="27"/>
  <c r="AK51" i="8"/>
  <c r="AL51" i="8" s="1"/>
  <c r="AB14" i="3"/>
  <c r="AC14" i="3" s="1"/>
  <c r="W4" i="76"/>
  <c r="Y4" i="76" s="1"/>
  <c r="V4" i="76"/>
  <c r="X4" i="76" s="1"/>
  <c r="Z4" i="76" s="1"/>
  <c r="AA4" i="76" s="1"/>
  <c r="AD9" i="12"/>
  <c r="AF9" i="12" s="1"/>
  <c r="AC9" i="12"/>
  <c r="AE9" i="12" s="1"/>
  <c r="AT4" i="8"/>
  <c r="AB8" i="7"/>
  <c r="AD8" i="7" s="1"/>
  <c r="AF8" i="7" s="1"/>
  <c r="AG8" i="7" s="1"/>
  <c r="AC8" i="7"/>
  <c r="AE8" i="7" s="1"/>
  <c r="AL3" i="8"/>
  <c r="AO8" i="27"/>
  <c r="AB4" i="27"/>
  <c r="AD4" i="27" s="1"/>
  <c r="AF4" i="27" s="1"/>
  <c r="AG4" i="27" s="1"/>
  <c r="AC4" i="27"/>
  <c r="AE4" i="27" s="1"/>
  <c r="AL13" i="8"/>
  <c r="AQ12" i="27"/>
  <c r="AD14" i="12"/>
  <c r="AF14" i="12" s="1"/>
  <c r="AC14" i="12"/>
  <c r="AE14" i="12" s="1"/>
  <c r="AD4" i="25"/>
  <c r="AF4" i="25" s="1"/>
  <c r="AC4" i="25"/>
  <c r="AE4" i="25" s="1"/>
  <c r="AO9" i="9"/>
  <c r="AF11" i="27"/>
  <c r="AG11" i="27" s="1"/>
  <c r="AP17" i="25"/>
  <c r="AT14" i="12"/>
  <c r="AQ8" i="25"/>
  <c r="AK28" i="8"/>
  <c r="AL28" i="8" s="1"/>
  <c r="AL24" i="8"/>
  <c r="AY29" i="8"/>
  <c r="AY7" i="8"/>
  <c r="AH10" i="3"/>
  <c r="AC13" i="7"/>
  <c r="AE13" i="7" s="1"/>
  <c r="AB13" i="7"/>
  <c r="AD13" i="7" s="1"/>
  <c r="AF13" i="7" s="1"/>
  <c r="AG13" i="7" s="1"/>
  <c r="W15" i="76"/>
  <c r="Y15" i="76" s="1"/>
  <c r="V15" i="76"/>
  <c r="X15" i="76" s="1"/>
  <c r="AD11" i="25"/>
  <c r="AF11" i="25" s="1"/>
  <c r="AC11" i="25"/>
  <c r="AE11" i="25" s="1"/>
  <c r="Y13" i="3"/>
  <c r="AA13" i="3" s="1"/>
  <c r="X13" i="3"/>
  <c r="Z13" i="3" s="1"/>
  <c r="AY55" i="8"/>
  <c r="AL14" i="8"/>
  <c r="AB13" i="27"/>
  <c r="AD13" i="27" s="1"/>
  <c r="AF13" i="27" s="1"/>
  <c r="AG13" i="27" s="1"/>
  <c r="AC13" i="27"/>
  <c r="AE13" i="27" s="1"/>
  <c r="AT21" i="12"/>
  <c r="AT9" i="8"/>
  <c r="AP7" i="7"/>
  <c r="AG16" i="12"/>
  <c r="AH16" i="12" s="1"/>
  <c r="AP8" i="7"/>
  <c r="AC12" i="3"/>
  <c r="AV10" i="25"/>
  <c r="AF4" i="7"/>
  <c r="AG4" i="7" s="1"/>
  <c r="AT8" i="12"/>
  <c r="AY30" i="8"/>
  <c r="AS14" i="12"/>
  <c r="AY20" i="8"/>
  <c r="AP4" i="27"/>
  <c r="AV6" i="25"/>
  <c r="AT10" i="8"/>
  <c r="AQ3" i="25"/>
  <c r="AC3" i="28"/>
  <c r="AE15" i="76"/>
  <c r="AN8" i="9"/>
  <c r="AT15" i="8"/>
  <c r="AB16" i="7"/>
  <c r="AD16" i="7" s="1"/>
  <c r="AC16" i="7"/>
  <c r="AE16" i="7" s="1"/>
  <c r="AS13" i="12"/>
  <c r="AE4" i="28"/>
  <c r="AS4" i="12"/>
  <c r="AO4" i="27"/>
  <c r="AD12" i="43"/>
  <c r="V66" i="51"/>
  <c r="X66" i="51" s="1"/>
  <c r="U66" i="51"/>
  <c r="W66" i="51" s="1"/>
  <c r="Y123" i="51"/>
  <c r="Z123" i="51" s="1"/>
  <c r="V17" i="51"/>
  <c r="X17" i="51" s="1"/>
  <c r="U17" i="51"/>
  <c r="W17" i="51" s="1"/>
  <c r="V41" i="52"/>
  <c r="X41" i="52" s="1"/>
  <c r="U41" i="52"/>
  <c r="W41" i="52" s="1"/>
  <c r="AD35" i="52"/>
  <c r="AH18" i="72"/>
  <c r="AH17" i="72"/>
  <c r="AC31" i="61"/>
  <c r="AE31" i="61" s="1"/>
  <c r="AB31" i="61"/>
  <c r="AD31" i="61" s="1"/>
  <c r="AF31" i="61" s="1"/>
  <c r="AG31" i="61" s="1"/>
  <c r="X7" i="39"/>
  <c r="Z7" i="39" s="1"/>
  <c r="W7" i="39"/>
  <c r="Y7" i="39" s="1"/>
  <c r="AA7" i="39" s="1"/>
  <c r="AB7" i="39" s="1"/>
  <c r="AT6" i="38"/>
  <c r="AG53" i="8"/>
  <c r="AI53" i="8" s="1"/>
  <c r="AK53" i="8" s="1"/>
  <c r="AL53" i="8" s="1"/>
  <c r="AH53" i="8"/>
  <c r="AJ53" i="8" s="1"/>
  <c r="AH29" i="8"/>
  <c r="AJ29" i="8" s="1"/>
  <c r="AG29" i="8"/>
  <c r="AI29" i="8" s="1"/>
  <c r="AK29" i="8" s="1"/>
  <c r="AL29" i="8" s="1"/>
  <c r="V97" i="51"/>
  <c r="X97" i="51" s="1"/>
  <c r="U97" i="51"/>
  <c r="W97" i="51" s="1"/>
  <c r="V91" i="51"/>
  <c r="X91" i="51" s="1"/>
  <c r="U91" i="51"/>
  <c r="W91" i="51" s="1"/>
  <c r="V64" i="51"/>
  <c r="X64" i="51" s="1"/>
  <c r="U64" i="51"/>
  <c r="W64" i="51" s="1"/>
  <c r="Z80" i="51"/>
  <c r="AD123" i="51"/>
  <c r="AD98" i="51"/>
  <c r="V24" i="51"/>
  <c r="X24" i="51" s="1"/>
  <c r="U24" i="51"/>
  <c r="W24" i="51" s="1"/>
  <c r="Y24" i="51" s="1"/>
  <c r="Z24" i="51" s="1"/>
  <c r="V16" i="51"/>
  <c r="X16" i="51" s="1"/>
  <c r="U16" i="51"/>
  <c r="W16" i="51" s="1"/>
  <c r="Y16" i="51" s="1"/>
  <c r="Z16" i="51" s="1"/>
  <c r="Z82" i="51"/>
  <c r="Y10" i="51"/>
  <c r="Z10" i="51" s="1"/>
  <c r="U52" i="50"/>
  <c r="W52" i="50" s="1"/>
  <c r="V52" i="50"/>
  <c r="X52" i="50" s="1"/>
  <c r="V57" i="50"/>
  <c r="X57" i="50" s="1"/>
  <c r="U57" i="50"/>
  <c r="W57" i="50" s="1"/>
  <c r="Y57" i="50" s="1"/>
  <c r="Z57" i="50" s="1"/>
  <c r="AE4" i="51"/>
  <c r="Y68" i="50"/>
  <c r="Z68" i="50" s="1"/>
  <c r="Y5" i="51"/>
  <c r="Z5" i="51" s="1"/>
  <c r="V36" i="50"/>
  <c r="X36" i="50" s="1"/>
  <c r="U36" i="50"/>
  <c r="W36" i="50" s="1"/>
  <c r="Y36" i="50" s="1"/>
  <c r="Z36" i="50" s="1"/>
  <c r="U14" i="50"/>
  <c r="W14" i="50" s="1"/>
  <c r="Y14" i="50" s="1"/>
  <c r="Z14" i="50" s="1"/>
  <c r="V14" i="50"/>
  <c r="X14" i="50" s="1"/>
  <c r="V54" i="50"/>
  <c r="X54" i="50" s="1"/>
  <c r="U54" i="50"/>
  <c r="W54" i="50" s="1"/>
  <c r="Y4" i="51"/>
  <c r="Z4" i="51" s="1"/>
  <c r="Y35" i="50"/>
  <c r="Z35" i="50" s="1"/>
  <c r="Y4" i="71"/>
  <c r="AA4" i="71" s="1"/>
  <c r="Z4" i="71"/>
  <c r="AB4" i="71" s="1"/>
  <c r="Y47" i="50"/>
  <c r="Z47" i="50" s="1"/>
  <c r="Z9" i="71"/>
  <c r="AB9" i="71" s="1"/>
  <c r="Y9" i="71"/>
  <c r="AA9" i="71" s="1"/>
  <c r="AC9" i="71" s="1"/>
  <c r="AD9" i="71" s="1"/>
  <c r="Y50" i="50"/>
  <c r="Z50" i="50" s="1"/>
  <c r="Y29" i="50"/>
  <c r="Z29" i="50" s="1"/>
  <c r="V36" i="52"/>
  <c r="X36" i="52" s="1"/>
  <c r="U36" i="52"/>
  <c r="W36" i="52" s="1"/>
  <c r="AC11" i="54"/>
  <c r="AE11" i="54" s="1"/>
  <c r="AB11" i="54"/>
  <c r="AD11" i="54" s="1"/>
  <c r="AF11" i="54" s="1"/>
  <c r="AG11" i="54" s="1"/>
  <c r="AF13" i="79"/>
  <c r="AF12" i="79"/>
  <c r="Y25" i="50"/>
  <c r="Z25" i="50" s="1"/>
  <c r="AK4" i="46"/>
  <c r="X8" i="79"/>
  <c r="Z8" i="79" s="1"/>
  <c r="W8" i="79"/>
  <c r="Y8" i="79" s="1"/>
  <c r="AT8" i="54"/>
  <c r="Y11" i="52"/>
  <c r="Z11" i="52" s="1"/>
  <c r="AD21" i="73"/>
  <c r="AJ9" i="73"/>
  <c r="AO3" i="54"/>
  <c r="AP43" i="61"/>
  <c r="AP44" i="61"/>
  <c r="AP35" i="61"/>
  <c r="AP27" i="61"/>
  <c r="AP8" i="61"/>
  <c r="AP16" i="61"/>
  <c r="AD17" i="52"/>
  <c r="AU15" i="54"/>
  <c r="AT4" i="54"/>
  <c r="Z16" i="23"/>
  <c r="AA16" i="23" s="1"/>
  <c r="Z8" i="23"/>
  <c r="AA8" i="23" s="1"/>
  <c r="AD16" i="73"/>
  <c r="AU12" i="54"/>
  <c r="AU5" i="54"/>
  <c r="AC18" i="73"/>
  <c r="AD18" i="73" s="1"/>
  <c r="AP47" i="61"/>
  <c r="AT5" i="61"/>
  <c r="AP29" i="61"/>
  <c r="AO29" i="61"/>
  <c r="AT26" i="61"/>
  <c r="AO17" i="61"/>
  <c r="AI21" i="73"/>
  <c r="AP37" i="61"/>
  <c r="AT20" i="61"/>
  <c r="AO21" i="61"/>
  <c r="AF22" i="61"/>
  <c r="AG22" i="61" s="1"/>
  <c r="AT9" i="61"/>
  <c r="Y12" i="70"/>
  <c r="AA12" i="70" s="1"/>
  <c r="X12" i="70"/>
  <c r="Z12" i="70" s="1"/>
  <c r="AB12" i="70" s="1"/>
  <c r="AC12" i="70" s="1"/>
  <c r="W4" i="22"/>
  <c r="Y4" i="22" s="1"/>
  <c r="V4" i="22"/>
  <c r="X4" i="22" s="1"/>
  <c r="Z4" i="22" s="1"/>
  <c r="AA4" i="22" s="1"/>
  <c r="AP5" i="61"/>
  <c r="AO36" i="61"/>
  <c r="AO15" i="61"/>
  <c r="Z3" i="23"/>
  <c r="AA3" i="23" s="1"/>
  <c r="AF23" i="61"/>
  <c r="AG23" i="61" s="1"/>
  <c r="AP4" i="61"/>
  <c r="AG18" i="61"/>
  <c r="X10" i="37"/>
  <c r="Z10" i="37" s="1"/>
  <c r="W10" i="37"/>
  <c r="Y10" i="37" s="1"/>
  <c r="AP31" i="61"/>
  <c r="AH31" i="39"/>
  <c r="X26" i="39"/>
  <c r="Z26" i="39" s="1"/>
  <c r="W26" i="39"/>
  <c r="Y26" i="39" s="1"/>
  <c r="AA26" i="39" s="1"/>
  <c r="AB26" i="39" s="1"/>
  <c r="AH15" i="39"/>
  <c r="AJ33" i="39"/>
  <c r="AO11" i="38"/>
  <c r="AO12" i="38"/>
  <c r="AH3" i="39"/>
  <c r="AB3" i="75"/>
  <c r="AC3" i="75" s="1"/>
  <c r="X14" i="39"/>
  <c r="Z14" i="39" s="1"/>
  <c r="W14" i="39"/>
  <c r="Y14" i="39" s="1"/>
  <c r="AA14" i="39" s="1"/>
  <c r="AB14" i="39" s="1"/>
  <c r="X15" i="39"/>
  <c r="Z15" i="39" s="1"/>
  <c r="W15" i="39"/>
  <c r="Y15" i="39" s="1"/>
  <c r="AJ22" i="39"/>
  <c r="Y11" i="59"/>
  <c r="AA11" i="59" s="1"/>
  <c r="X11" i="59"/>
  <c r="Z11" i="59" s="1"/>
  <c r="AB11" i="59" s="1"/>
  <c r="AC11" i="59" s="1"/>
  <c r="AJ27" i="39"/>
  <c r="AG10" i="75"/>
  <c r="AG9" i="75"/>
  <c r="AH50" i="5"/>
  <c r="AG9" i="39"/>
  <c r="Y59" i="5"/>
  <c r="AA59" i="5" s="1"/>
  <c r="X59" i="5"/>
  <c r="Z59" i="5" s="1"/>
  <c r="AH3" i="59"/>
  <c r="AH8" i="59"/>
  <c r="AB58" i="5"/>
  <c r="AC58" i="5" s="1"/>
  <c r="AH36" i="5"/>
  <c r="AH53" i="5"/>
  <c r="AH32" i="5"/>
  <c r="AH24" i="5"/>
  <c r="W5" i="10"/>
  <c r="Y5" i="10" s="1"/>
  <c r="V5" i="10"/>
  <c r="X5" i="10" s="1"/>
  <c r="Z5" i="10" s="1"/>
  <c r="AA5" i="10" s="1"/>
  <c r="AC8" i="38"/>
  <c r="AE8" i="38" s="1"/>
  <c r="AB8" i="38"/>
  <c r="AD8" i="38" s="1"/>
  <c r="X3" i="59"/>
  <c r="Z3" i="59" s="1"/>
  <c r="Y3" i="59"/>
  <c r="AA3" i="59" s="1"/>
  <c r="AH6" i="5"/>
  <c r="AH51" i="5"/>
  <c r="AL7" i="9"/>
  <c r="AJ14" i="39"/>
  <c r="AB51" i="5"/>
  <c r="AC51" i="5" s="1"/>
  <c r="AH28" i="5"/>
  <c r="AH3" i="5"/>
  <c r="AT55" i="8"/>
  <c r="AT54" i="8"/>
  <c r="AB56" i="5"/>
  <c r="AC56" i="5" s="1"/>
  <c r="AB30" i="5"/>
  <c r="AC30" i="5" s="1"/>
  <c r="AT30" i="8"/>
  <c r="AT29" i="8"/>
  <c r="AC12" i="5"/>
  <c r="AT27" i="8"/>
  <c r="AC25" i="5"/>
  <c r="AY9" i="8"/>
  <c r="AO5" i="27"/>
  <c r="AC10" i="3"/>
  <c r="AY41" i="8"/>
  <c r="AT10" i="27"/>
  <c r="AE5" i="67"/>
  <c r="AF5" i="67" s="1"/>
  <c r="AO10" i="27"/>
  <c r="AB53" i="5"/>
  <c r="AC53" i="5" s="1"/>
  <c r="AL18" i="8"/>
  <c r="AL32" i="8"/>
  <c r="AT42" i="8"/>
  <c r="AK27" i="8"/>
  <c r="AL27" i="8" s="1"/>
  <c r="AQ16" i="27"/>
  <c r="AR8" i="27"/>
  <c r="AB16" i="3"/>
  <c r="AC16" i="3" s="1"/>
  <c r="AD11" i="12"/>
  <c r="AF11" i="12" s="1"/>
  <c r="AC11" i="12"/>
  <c r="AE11" i="12" s="1"/>
  <c r="AQ5" i="25"/>
  <c r="AC7" i="25"/>
  <c r="AE7" i="25" s="1"/>
  <c r="AD7" i="25"/>
  <c r="AF7" i="25" s="1"/>
  <c r="AH49" i="8"/>
  <c r="AJ49" i="8" s="1"/>
  <c r="AG49" i="8"/>
  <c r="AI49" i="8" s="1"/>
  <c r="AK11" i="8"/>
  <c r="AL11" i="8" s="1"/>
  <c r="AS12" i="27"/>
  <c r="AH16" i="3"/>
  <c r="AG18" i="12"/>
  <c r="AH18" i="12" s="1"/>
  <c r="AD8" i="25"/>
  <c r="AF8" i="25" s="1"/>
  <c r="AC8" i="25"/>
  <c r="AE8" i="25" s="1"/>
  <c r="AG8" i="25" s="1"/>
  <c r="AH8" i="25" s="1"/>
  <c r="AO13" i="27"/>
  <c r="W9" i="76"/>
  <c r="Y9" i="76" s="1"/>
  <c r="V9" i="76"/>
  <c r="X9" i="76" s="1"/>
  <c r="Z9" i="76" s="1"/>
  <c r="AA9" i="76" s="1"/>
  <c r="AG5" i="13"/>
  <c r="AH5" i="13" s="1"/>
  <c r="AG9" i="27"/>
  <c r="W14" i="76"/>
  <c r="Y14" i="76" s="1"/>
  <c r="V14" i="76"/>
  <c r="X14" i="76" s="1"/>
  <c r="AS11" i="12"/>
  <c r="AT6" i="12"/>
  <c r="AE5" i="28"/>
  <c r="AV3" i="13"/>
  <c r="AO7" i="9"/>
  <c r="AS14" i="27"/>
  <c r="AS15" i="27"/>
  <c r="AS6" i="27"/>
  <c r="AF15" i="7"/>
  <c r="AG15" i="7" s="1"/>
  <c r="AQ4" i="25"/>
  <c r="AP15" i="7"/>
  <c r="AH9" i="3"/>
  <c r="AG21" i="12"/>
  <c r="AH21" i="12" s="1"/>
  <c r="AQ12" i="25"/>
  <c r="AH46" i="5"/>
  <c r="AY54" i="8"/>
  <c r="AS10" i="27"/>
  <c r="AP16" i="7"/>
  <c r="AG6" i="12"/>
  <c r="AH6" i="12" s="1"/>
  <c r="AU8" i="12"/>
  <c r="AV5" i="13"/>
  <c r="AG10" i="25"/>
  <c r="AH10" i="25" s="1"/>
  <c r="AF17" i="7"/>
  <c r="AG17" i="7" s="1"/>
  <c r="AT5" i="12"/>
  <c r="V18" i="51"/>
  <c r="X18" i="51" s="1"/>
  <c r="U18" i="51"/>
  <c r="W18" i="51" s="1"/>
  <c r="Y18" i="51" s="1"/>
  <c r="Z18" i="51" s="1"/>
  <c r="Y124" i="51"/>
  <c r="Z124" i="51" s="1"/>
  <c r="Y16" i="52"/>
  <c r="Z16" i="52" s="1"/>
  <c r="AD36" i="52"/>
  <c r="Z3" i="71"/>
  <c r="AB3" i="71" s="1"/>
  <c r="Y3" i="71"/>
  <c r="AA3" i="71" s="1"/>
  <c r="AC3" i="71" s="1"/>
  <c r="AD3" i="71" s="1"/>
  <c r="AH4" i="8"/>
  <c r="AJ4" i="8" s="1"/>
  <c r="AG4" i="8"/>
  <c r="AI4" i="8" s="1"/>
  <c r="AK4" i="8" s="1"/>
  <c r="AL4" i="8" s="1"/>
  <c r="V112" i="51"/>
  <c r="X112" i="51" s="1"/>
  <c r="U112" i="51"/>
  <c r="W112" i="51" s="1"/>
  <c r="V115" i="51"/>
  <c r="X115" i="51" s="1"/>
  <c r="U115" i="51"/>
  <c r="W115" i="51" s="1"/>
  <c r="Y115" i="51" s="1"/>
  <c r="Z115" i="51" s="1"/>
  <c r="V63" i="51"/>
  <c r="X63" i="51" s="1"/>
  <c r="U63" i="51"/>
  <c r="W63" i="51" s="1"/>
  <c r="Y63" i="51" s="1"/>
  <c r="Z63" i="51" s="1"/>
  <c r="Z122" i="51"/>
  <c r="AD88" i="51"/>
  <c r="Y59" i="51"/>
  <c r="Z59" i="51" s="1"/>
  <c r="V23" i="51"/>
  <c r="X23" i="51" s="1"/>
  <c r="U23" i="51"/>
  <c r="W23" i="51" s="1"/>
  <c r="Y23" i="51" s="1"/>
  <c r="Z23" i="51" s="1"/>
  <c r="AD10" i="51"/>
  <c r="Y77" i="50"/>
  <c r="Z77" i="50" s="1"/>
  <c r="AD4" i="51"/>
  <c r="V42" i="52"/>
  <c r="X42" i="52" s="1"/>
  <c r="U42" i="52"/>
  <c r="W42" i="52" s="1"/>
  <c r="Y42" i="52" s="1"/>
  <c r="Z42" i="52" s="1"/>
  <c r="AD41" i="52"/>
  <c r="AE29" i="50"/>
  <c r="X7" i="79"/>
  <c r="Z7" i="79" s="1"/>
  <c r="W7" i="79"/>
  <c r="Y7" i="79" s="1"/>
  <c r="AA7" i="79" s="1"/>
  <c r="AB7" i="79" s="1"/>
  <c r="V24" i="52"/>
  <c r="X24" i="52" s="1"/>
  <c r="U24" i="52"/>
  <c r="W24" i="52" s="1"/>
  <c r="Y24" i="52" s="1"/>
  <c r="Z24" i="52" s="1"/>
  <c r="AI17" i="73"/>
  <c r="AC13" i="54"/>
  <c r="AE13" i="54" s="1"/>
  <c r="AB13" i="54"/>
  <c r="AD13" i="54" s="1"/>
  <c r="AF13" i="54" s="1"/>
  <c r="AG13" i="54" s="1"/>
  <c r="AU6" i="54"/>
  <c r="Y10" i="34"/>
  <c r="AA10" i="34" s="1"/>
  <c r="X10" i="34"/>
  <c r="Z10" i="34" s="1"/>
  <c r="AB10" i="34" s="1"/>
  <c r="AC10" i="34" s="1"/>
  <c r="AD16" i="52"/>
  <c r="AD17" i="73"/>
  <c r="AG8" i="54"/>
  <c r="AF4" i="54"/>
  <c r="AG4" i="54" s="1"/>
  <c r="Y26" i="52"/>
  <c r="Z26" i="52" s="1"/>
  <c r="AI16" i="73"/>
  <c r="Z12" i="73"/>
  <c r="AB12" i="73" s="1"/>
  <c r="Y12" i="73"/>
  <c r="AA12" i="73" s="1"/>
  <c r="AC12" i="73" s="1"/>
  <c r="AD12" i="73" s="1"/>
  <c r="AU11" i="54"/>
  <c r="AT40" i="61"/>
  <c r="AT32" i="61"/>
  <c r="AT24" i="61"/>
  <c r="AT48" i="61"/>
  <c r="AD10" i="73"/>
  <c r="AO37" i="61"/>
  <c r="AT35" i="61"/>
  <c r="AO4" i="61"/>
  <c r="AG43" i="61"/>
  <c r="AB28" i="61"/>
  <c r="AD28" i="61" s="1"/>
  <c r="AC28" i="61"/>
  <c r="AE28" i="61" s="1"/>
  <c r="AB15" i="61"/>
  <c r="AD15" i="61" s="1"/>
  <c r="AF15" i="61" s="1"/>
  <c r="AG15" i="61" s="1"/>
  <c r="AC15" i="61"/>
  <c r="AE15" i="61" s="1"/>
  <c r="AT12" i="61"/>
  <c r="AO43" i="61"/>
  <c r="AG19" i="61"/>
  <c r="AP22" i="61"/>
  <c r="AH9" i="39"/>
  <c r="W3" i="22"/>
  <c r="Y3" i="22" s="1"/>
  <c r="V3" i="22"/>
  <c r="X3" i="22" s="1"/>
  <c r="Z3" i="22" s="1"/>
  <c r="AA3" i="22" s="1"/>
  <c r="AT17" i="61"/>
  <c r="AT3" i="61"/>
  <c r="W20" i="39"/>
  <c r="Y20" i="39" s="1"/>
  <c r="AA20" i="39" s="1"/>
  <c r="AB20" i="39" s="1"/>
  <c r="X20" i="39"/>
  <c r="Z20" i="39" s="1"/>
  <c r="W4" i="39"/>
  <c r="Y4" i="39" s="1"/>
  <c r="AA4" i="39" s="1"/>
  <c r="AB4" i="39" s="1"/>
  <c r="X4" i="39"/>
  <c r="Z4" i="39" s="1"/>
  <c r="AO3" i="61"/>
  <c r="AO13" i="61"/>
  <c r="AB14" i="70"/>
  <c r="AC14" i="70" s="1"/>
  <c r="AJ26" i="39"/>
  <c r="X11" i="39"/>
  <c r="Z11" i="39" s="1"/>
  <c r="W11" i="39"/>
  <c r="Y11" i="39" s="1"/>
  <c r="AO24" i="61"/>
  <c r="AJ23" i="39"/>
  <c r="X27" i="39"/>
  <c r="Z27" i="39" s="1"/>
  <c r="W27" i="39"/>
  <c r="Y27" i="39" s="1"/>
  <c r="AA27" i="39" s="1"/>
  <c r="AB27" i="39" s="1"/>
  <c r="AJ29" i="39"/>
  <c r="AJ6" i="39"/>
  <c r="AJ28" i="39"/>
  <c r="Y35" i="5"/>
  <c r="AA35" i="5" s="1"/>
  <c r="X35" i="5"/>
  <c r="Z35" i="5" s="1"/>
  <c r="AB35" i="5" s="1"/>
  <c r="AC35" i="5" s="1"/>
  <c r="X22" i="39"/>
  <c r="Z22" i="39" s="1"/>
  <c r="W22" i="39"/>
  <c r="Y22" i="39" s="1"/>
  <c r="AA22" i="39" s="1"/>
  <c r="AB22" i="39" s="1"/>
  <c r="X23" i="39"/>
  <c r="Z23" i="39" s="1"/>
  <c r="W23" i="39"/>
  <c r="Y23" i="39" s="1"/>
  <c r="AH26" i="39"/>
  <c r="Y47" i="5"/>
  <c r="AA47" i="5" s="1"/>
  <c r="X47" i="5"/>
  <c r="Z47" i="5" s="1"/>
  <c r="AH8" i="39"/>
  <c r="AH55" i="5"/>
  <c r="AH25" i="5"/>
  <c r="AB4" i="59"/>
  <c r="AC4" i="59" s="1"/>
  <c r="AB12" i="59"/>
  <c r="AC12" i="59" s="1"/>
  <c r="AH26" i="5"/>
  <c r="AH16" i="5"/>
  <c r="AH34" i="5"/>
  <c r="AH7" i="5"/>
  <c r="AH43" i="5"/>
  <c r="AH21" i="5"/>
  <c r="W4" i="10"/>
  <c r="Y4" i="10" s="1"/>
  <c r="V4" i="10"/>
  <c r="X4" i="10" s="1"/>
  <c r="AC18" i="5"/>
  <c r="AC34" i="5"/>
  <c r="AC17" i="5"/>
  <c r="AG13" i="39"/>
  <c r="AC21" i="5"/>
  <c r="AC60" i="5"/>
  <c r="AT39" i="8"/>
  <c r="AH21" i="8"/>
  <c r="AJ21" i="8" s="1"/>
  <c r="AG21" i="8"/>
  <c r="AI21" i="8" s="1"/>
  <c r="AK21" i="8" s="1"/>
  <c r="AL21" i="8" s="1"/>
  <c r="AC15" i="5"/>
  <c r="AL4" i="9"/>
  <c r="AT45" i="8"/>
  <c r="AH22" i="5"/>
  <c r="AT16" i="8"/>
  <c r="AL8" i="8"/>
  <c r="AC10" i="27"/>
  <c r="AE10" i="27" s="1"/>
  <c r="AB10" i="27"/>
  <c r="AD10" i="27" s="1"/>
  <c r="AF10" i="27" s="1"/>
  <c r="AG10" i="27" s="1"/>
  <c r="AY18" i="8"/>
  <c r="AT34" i="8"/>
  <c r="AT16" i="27"/>
  <c r="AH42" i="8"/>
  <c r="AJ42" i="8" s="1"/>
  <c r="AG42" i="8"/>
  <c r="AI42" i="8" s="1"/>
  <c r="AK42" i="8" s="1"/>
  <c r="AL42" i="8" s="1"/>
  <c r="AT28" i="8"/>
  <c r="AT21" i="8"/>
  <c r="AY12" i="8"/>
  <c r="AT12" i="27"/>
  <c r="AT11" i="27"/>
  <c r="AT8" i="27"/>
  <c r="AR9" i="27"/>
  <c r="AC9" i="3"/>
  <c r="AH30" i="39"/>
  <c r="AL40" i="8"/>
  <c r="AT14" i="8"/>
  <c r="AC6" i="3"/>
  <c r="AT33" i="8"/>
  <c r="AT12" i="8"/>
  <c r="AR7" i="27"/>
  <c r="AQ7" i="25"/>
  <c r="AV3" i="25"/>
  <c r="AG17" i="12"/>
  <c r="AH17" i="12" s="1"/>
  <c r="Z10" i="76"/>
  <c r="AA10" i="76" s="1"/>
  <c r="W12" i="76"/>
  <c r="Y12" i="76" s="1"/>
  <c r="V12" i="76"/>
  <c r="X12" i="76" s="1"/>
  <c r="AD13" i="25"/>
  <c r="AF13" i="25" s="1"/>
  <c r="AC13" i="25"/>
  <c r="AE13" i="25" s="1"/>
  <c r="AE7" i="76"/>
  <c r="AT49" i="8"/>
  <c r="AY27" i="8"/>
  <c r="AR12" i="27"/>
  <c r="AH12" i="3"/>
  <c r="AS5" i="27"/>
  <c r="AP14" i="7"/>
  <c r="AP3" i="7"/>
  <c r="AE11" i="76"/>
  <c r="AV7" i="25"/>
  <c r="U4" i="28"/>
  <c r="W4" i="28" s="1"/>
  <c r="T4" i="28"/>
  <c r="V4" i="28" s="1"/>
  <c r="X4" i="28" s="1"/>
  <c r="Y4" i="28" s="1"/>
  <c r="AE16" i="76"/>
  <c r="AC14" i="25"/>
  <c r="AE14" i="25" s="1"/>
  <c r="AD14" i="25"/>
  <c r="AF14" i="25" s="1"/>
  <c r="AU7" i="27"/>
  <c r="AU10" i="27"/>
  <c r="AU16" i="27"/>
  <c r="AO6" i="9"/>
  <c r="AC5" i="7"/>
  <c r="AE5" i="7" s="1"/>
  <c r="AB5" i="7"/>
  <c r="AD5" i="7" s="1"/>
  <c r="AF5" i="7" s="1"/>
  <c r="AG5" i="7" s="1"/>
  <c r="AH7" i="3"/>
  <c r="AH18" i="5"/>
  <c r="AU8" i="27"/>
  <c r="AV14" i="25"/>
  <c r="AP26" i="12"/>
  <c r="AP25" i="12"/>
  <c r="AU3" i="12"/>
  <c r="AS5" i="12"/>
  <c r="V109" i="51"/>
  <c r="X109" i="51" s="1"/>
  <c r="U109" i="51"/>
  <c r="W109" i="51" s="1"/>
  <c r="Y109" i="51" s="1"/>
  <c r="Z109" i="51" s="1"/>
  <c r="U53" i="51"/>
  <c r="W53" i="51" s="1"/>
  <c r="V53" i="51"/>
  <c r="X53" i="51" s="1"/>
  <c r="AD126" i="51"/>
  <c r="V32" i="52"/>
  <c r="X32" i="52" s="1"/>
  <c r="U32" i="52"/>
  <c r="W32" i="52" s="1"/>
  <c r="Y32" i="52" s="1"/>
  <c r="Z32" i="52" s="1"/>
  <c r="AD32" i="52"/>
  <c r="AF39" i="61"/>
  <c r="AG39" i="61" s="1"/>
  <c r="W5" i="22"/>
  <c r="Y5" i="22" s="1"/>
  <c r="V5" i="22"/>
  <c r="X5" i="22" s="1"/>
  <c r="W6" i="10"/>
  <c r="Y6" i="10" s="1"/>
  <c r="V6" i="10"/>
  <c r="X6" i="10" s="1"/>
  <c r="Z6" i="10" s="1"/>
  <c r="AA6" i="10" s="1"/>
  <c r="Y19" i="5"/>
  <c r="AA19" i="5" s="1"/>
  <c r="X19" i="5"/>
  <c r="Z19" i="5" s="1"/>
  <c r="AB19" i="5" s="1"/>
  <c r="AC19" i="5" s="1"/>
  <c r="AH47" i="8"/>
  <c r="AJ47" i="8" s="1"/>
  <c r="AG47" i="8"/>
  <c r="AI47" i="8" s="1"/>
  <c r="AH23" i="8"/>
  <c r="AJ23" i="8" s="1"/>
  <c r="AG23" i="8"/>
  <c r="AI23" i="8" s="1"/>
  <c r="V93" i="51"/>
  <c r="X93" i="51" s="1"/>
  <c r="U93" i="51"/>
  <c r="W93" i="51" s="1"/>
  <c r="Y93" i="51" s="1"/>
  <c r="Z93" i="51" s="1"/>
  <c r="AD95" i="51"/>
  <c r="Z119" i="51"/>
  <c r="Z121" i="51"/>
  <c r="Z120" i="51"/>
  <c r="U106" i="51"/>
  <c r="W106" i="51" s="1"/>
  <c r="Y106" i="51" s="1"/>
  <c r="Z106" i="51" s="1"/>
  <c r="V106" i="51"/>
  <c r="X106" i="51" s="1"/>
  <c r="U13" i="50"/>
  <c r="W13" i="50" s="1"/>
  <c r="V13" i="50"/>
  <c r="X13" i="50" s="1"/>
  <c r="V44" i="50"/>
  <c r="X44" i="50" s="1"/>
  <c r="U44" i="50"/>
  <c r="W44" i="50" s="1"/>
  <c r="Y44" i="50" s="1"/>
  <c r="Z44" i="50" s="1"/>
  <c r="AE30" i="50"/>
  <c r="Z15" i="52"/>
  <c r="V40" i="52"/>
  <c r="X40" i="52" s="1"/>
  <c r="U40" i="52"/>
  <c r="W40" i="52" s="1"/>
  <c r="AB7" i="72"/>
  <c r="AC7" i="72" s="1"/>
  <c r="AO7" i="54"/>
  <c r="V114" i="51"/>
  <c r="X114" i="51" s="1"/>
  <c r="U114" i="51"/>
  <c r="W114" i="51" s="1"/>
  <c r="Y114" i="51" s="1"/>
  <c r="Z114" i="51" s="1"/>
  <c r="V108" i="51"/>
  <c r="X108" i="51" s="1"/>
  <c r="U108" i="51"/>
  <c r="W108" i="51" s="1"/>
  <c r="V111" i="51"/>
  <c r="X111" i="51" s="1"/>
  <c r="U111" i="51"/>
  <c r="W111" i="51" s="1"/>
  <c r="AD119" i="51"/>
  <c r="Y96" i="51"/>
  <c r="Z96" i="51" s="1"/>
  <c r="V62" i="51"/>
  <c r="X62" i="51" s="1"/>
  <c r="U62" i="51"/>
  <c r="W62" i="51" s="1"/>
  <c r="Y62" i="51" s="1"/>
  <c r="Z62" i="51" s="1"/>
  <c r="AD87" i="51"/>
  <c r="U57" i="51"/>
  <c r="W57" i="51" s="1"/>
  <c r="V57" i="51"/>
  <c r="X57" i="51" s="1"/>
  <c r="AE52" i="51"/>
  <c r="V22" i="51"/>
  <c r="X22" i="51" s="1"/>
  <c r="U22" i="51"/>
  <c r="W22" i="51" s="1"/>
  <c r="Y22" i="51" s="1"/>
  <c r="Z22" i="51" s="1"/>
  <c r="Y77" i="51"/>
  <c r="Z77" i="51" s="1"/>
  <c r="Y75" i="51"/>
  <c r="Z75" i="51" s="1"/>
  <c r="Y47" i="51"/>
  <c r="Z47" i="51" s="1"/>
  <c r="V53" i="50"/>
  <c r="X53" i="50" s="1"/>
  <c r="U53" i="50"/>
  <c r="W53" i="50" s="1"/>
  <c r="Y53" i="50" s="1"/>
  <c r="Z53" i="50" s="1"/>
  <c r="AE62" i="50"/>
  <c r="AE76" i="50"/>
  <c r="AE75" i="50"/>
  <c r="AE68" i="50"/>
  <c r="AE67" i="50"/>
  <c r="Y73" i="50"/>
  <c r="Z73" i="50" s="1"/>
  <c r="Y62" i="50"/>
  <c r="Z62" i="50" s="1"/>
  <c r="U12" i="50"/>
  <c r="W12" i="50" s="1"/>
  <c r="Y12" i="50" s="1"/>
  <c r="Z12" i="50" s="1"/>
  <c r="V12" i="50"/>
  <c r="X12" i="50" s="1"/>
  <c r="AD33" i="50"/>
  <c r="AD34" i="50"/>
  <c r="V39" i="50"/>
  <c r="X39" i="50" s="1"/>
  <c r="U39" i="50"/>
  <c r="W39" i="50" s="1"/>
  <c r="Y39" i="50" s="1"/>
  <c r="Z39" i="50" s="1"/>
  <c r="U3" i="51"/>
  <c r="W3" i="51" s="1"/>
  <c r="Y3" i="51" s="1"/>
  <c r="Z3" i="51" s="1"/>
  <c r="V3" i="51"/>
  <c r="X3" i="51" s="1"/>
  <c r="AF45" i="50"/>
  <c r="V38" i="52"/>
  <c r="X38" i="52" s="1"/>
  <c r="U38" i="52"/>
  <c r="W38" i="52" s="1"/>
  <c r="Y38" i="52" s="1"/>
  <c r="Z38" i="52" s="1"/>
  <c r="AF24" i="50"/>
  <c r="AD42" i="52"/>
  <c r="V8" i="52"/>
  <c r="X8" i="52" s="1"/>
  <c r="U8" i="52"/>
  <c r="W8" i="52" s="1"/>
  <c r="Y8" i="52" s="1"/>
  <c r="Z8" i="52" s="1"/>
  <c r="AF29" i="50"/>
  <c r="AE14" i="50"/>
  <c r="Y64" i="50"/>
  <c r="Z64" i="50" s="1"/>
  <c r="Y45" i="50"/>
  <c r="Z45" i="50" s="1"/>
  <c r="AF28" i="50"/>
  <c r="Y43" i="50"/>
  <c r="Z43" i="50" s="1"/>
  <c r="AE15" i="50"/>
  <c r="AB6" i="72"/>
  <c r="AC6" i="72" s="1"/>
  <c r="AC8" i="71"/>
  <c r="AD8" i="71" s="1"/>
  <c r="AD27" i="52"/>
  <c r="Y11" i="34"/>
  <c r="AA11" i="34" s="1"/>
  <c r="X11" i="34"/>
  <c r="Z11" i="34" s="1"/>
  <c r="AB11" i="34" s="1"/>
  <c r="AC11" i="34" s="1"/>
  <c r="X6" i="79"/>
  <c r="Z6" i="79" s="1"/>
  <c r="W6" i="79"/>
  <c r="Y6" i="79" s="1"/>
  <c r="Y10" i="52"/>
  <c r="Z10" i="52" s="1"/>
  <c r="AC15" i="73"/>
  <c r="AD15" i="73" s="1"/>
  <c r="AI6" i="73"/>
  <c r="AT12" i="54"/>
  <c r="AO6" i="54"/>
  <c r="AI7" i="34"/>
  <c r="AO48" i="61"/>
  <c r="AI12" i="73"/>
  <c r="Y4" i="56"/>
  <c r="Z4" i="56" s="1"/>
  <c r="AJ12" i="73"/>
  <c r="AO11" i="54"/>
  <c r="AI5" i="34"/>
  <c r="AJ18" i="73"/>
  <c r="AO45" i="61"/>
  <c r="AP34" i="61"/>
  <c r="AP49" i="61"/>
  <c r="AO35" i="61"/>
  <c r="AF30" i="61"/>
  <c r="AG30" i="61" s="1"/>
  <c r="AP28" i="61"/>
  <c r="AO12" i="61"/>
  <c r="AO42" i="61"/>
  <c r="AP25" i="61"/>
  <c r="AP50" i="61"/>
  <c r="AC9" i="61"/>
  <c r="AE9" i="61" s="1"/>
  <c r="AB9" i="61"/>
  <c r="AD9" i="61" s="1"/>
  <c r="AF9" i="61" s="1"/>
  <c r="AG9" i="61" s="1"/>
  <c r="AA3" i="37"/>
  <c r="AB3" i="37" s="1"/>
  <c r="AT6" i="61"/>
  <c r="AT4" i="61"/>
  <c r="AO22" i="61"/>
  <c r="AC5" i="61"/>
  <c r="AE5" i="61" s="1"/>
  <c r="AB5" i="61"/>
  <c r="AD5" i="61" s="1"/>
  <c r="AF5" i="61" s="1"/>
  <c r="AG5" i="61" s="1"/>
  <c r="AT19" i="61"/>
  <c r="AT7" i="38"/>
  <c r="AT44" i="61"/>
  <c r="AP18" i="61"/>
  <c r="AG11" i="39"/>
  <c r="AT25" i="61"/>
  <c r="AF11" i="61"/>
  <c r="AG11" i="61" s="1"/>
  <c r="AH20" i="39"/>
  <c r="AH11" i="39"/>
  <c r="AJ12" i="39"/>
  <c r="AJ8" i="39"/>
  <c r="AH27" i="39"/>
  <c r="AJ9" i="39"/>
  <c r="AA7" i="37"/>
  <c r="AB7" i="37" s="1"/>
  <c r="AH29" i="39"/>
  <c r="AG5" i="39"/>
  <c r="AF14" i="61"/>
  <c r="AG14" i="61" s="1"/>
  <c r="AP3" i="38"/>
  <c r="AB5" i="75"/>
  <c r="AC5" i="75" s="1"/>
  <c r="X30" i="39"/>
  <c r="Z30" i="39" s="1"/>
  <c r="W30" i="39"/>
  <c r="Y30" i="39" s="1"/>
  <c r="AA30" i="39" s="1"/>
  <c r="AB30" i="39" s="1"/>
  <c r="X31" i="39"/>
  <c r="Z31" i="39" s="1"/>
  <c r="W31" i="39"/>
  <c r="Y31" i="39" s="1"/>
  <c r="AA31" i="39" s="1"/>
  <c r="AB31" i="39" s="1"/>
  <c r="AJ10" i="39"/>
  <c r="X10" i="39"/>
  <c r="Z10" i="39" s="1"/>
  <c r="W10" i="39"/>
  <c r="Y10" i="39" s="1"/>
  <c r="AA10" i="39" s="1"/>
  <c r="AB10" i="39" s="1"/>
  <c r="AH41" i="5"/>
  <c r="AB10" i="59"/>
  <c r="AC10" i="59" s="1"/>
  <c r="AB48" i="5"/>
  <c r="AC48" i="5" s="1"/>
  <c r="AC41" i="5"/>
  <c r="AB26" i="5"/>
  <c r="AC26" i="5" s="1"/>
  <c r="AY50" i="8"/>
  <c r="AH62" i="5"/>
  <c r="V9" i="10"/>
  <c r="X9" i="10" s="1"/>
  <c r="W9" i="10"/>
  <c r="Y9" i="10" s="1"/>
  <c r="AT9" i="38"/>
  <c r="X5" i="59"/>
  <c r="Z5" i="59" s="1"/>
  <c r="AB5" i="59" s="1"/>
  <c r="AC5" i="59" s="1"/>
  <c r="Y5" i="59"/>
  <c r="AA5" i="59" s="1"/>
  <c r="AH15" i="5"/>
  <c r="AE6" i="67"/>
  <c r="AF6" i="67" s="1"/>
  <c r="AH55" i="8"/>
  <c r="AJ55" i="8" s="1"/>
  <c r="AG55" i="8"/>
  <c r="AI55" i="8" s="1"/>
  <c r="AK55" i="8" s="1"/>
  <c r="AL55" i="8" s="1"/>
  <c r="X40" i="5"/>
  <c r="Z40" i="5" s="1"/>
  <c r="AB40" i="5" s="1"/>
  <c r="AC40" i="5" s="1"/>
  <c r="Y40" i="5"/>
  <c r="AA40" i="5" s="1"/>
  <c r="AH35" i="5"/>
  <c r="AY49" i="8"/>
  <c r="AC10" i="5"/>
  <c r="AT52" i="8"/>
  <c r="AY42" i="8"/>
  <c r="AT23" i="8"/>
  <c r="AN5" i="67"/>
  <c r="AB3" i="9"/>
  <c r="AD3" i="9" s="1"/>
  <c r="AA3" i="9"/>
  <c r="AC3" i="9" s="1"/>
  <c r="AE3" i="9" s="1"/>
  <c r="AF3" i="9" s="1"/>
  <c r="AB29" i="5"/>
  <c r="AC29" i="5" s="1"/>
  <c r="AH12" i="5"/>
  <c r="AE4" i="9"/>
  <c r="AF4" i="9" s="1"/>
  <c r="AT46" i="8"/>
  <c r="AT26" i="8"/>
  <c r="AY14" i="8"/>
  <c r="AT14" i="27"/>
  <c r="AT44" i="8"/>
  <c r="AY39" i="8"/>
  <c r="AY17" i="8"/>
  <c r="AG7" i="8"/>
  <c r="AI7" i="8" s="1"/>
  <c r="AK7" i="8" s="1"/>
  <c r="AL7" i="8" s="1"/>
  <c r="AH7" i="8"/>
  <c r="AJ7" i="8" s="1"/>
  <c r="AQ9" i="27"/>
  <c r="AH3" i="3"/>
  <c r="AH54" i="5"/>
  <c r="AG14" i="27"/>
  <c r="AK38" i="8"/>
  <c r="AL38" i="8" s="1"/>
  <c r="AO12" i="27"/>
  <c r="AL10" i="8"/>
  <c r="AL9" i="8"/>
  <c r="AL52" i="8"/>
  <c r="AT6" i="8"/>
  <c r="AR10" i="27"/>
  <c r="AQ4" i="27"/>
  <c r="AL5" i="8"/>
  <c r="AT6" i="27"/>
  <c r="AP10" i="7"/>
  <c r="AH13" i="3"/>
  <c r="AG4" i="13"/>
  <c r="AH4" i="13" s="1"/>
  <c r="AT41" i="8"/>
  <c r="AT7" i="8"/>
  <c r="AA11" i="76"/>
  <c r="AE9" i="76"/>
  <c r="AH14" i="3"/>
  <c r="AD15" i="25"/>
  <c r="AF15" i="25" s="1"/>
  <c r="AC15" i="25"/>
  <c r="AE15" i="25" s="1"/>
  <c r="AE6" i="76"/>
  <c r="AB8" i="3"/>
  <c r="AC8" i="3" s="1"/>
  <c r="AH8" i="3"/>
  <c r="AC3" i="13"/>
  <c r="AE3" i="13" s="1"/>
  <c r="AG3" i="13" s="1"/>
  <c r="AH3" i="13" s="1"/>
  <c r="AD3" i="13"/>
  <c r="AF3" i="13" s="1"/>
  <c r="AT18" i="12"/>
  <c r="AT10" i="12"/>
  <c r="AS3" i="12"/>
  <c r="AP3" i="13"/>
  <c r="AU15" i="12"/>
  <c r="AQ14" i="25"/>
  <c r="AT35" i="8"/>
  <c r="AF5" i="27"/>
  <c r="AG5" i="27" s="1"/>
  <c r="AF14" i="7"/>
  <c r="AG14" i="7" s="1"/>
  <c r="AP5" i="7"/>
  <c r="AU18" i="12"/>
  <c r="AF12" i="7"/>
  <c r="AG12" i="7" s="1"/>
  <c r="AY40" i="8"/>
  <c r="AC5" i="12"/>
  <c r="AE5" i="12" s="1"/>
  <c r="AD5" i="12"/>
  <c r="AF5" i="12" s="1"/>
  <c r="AG3" i="25"/>
  <c r="AH3" i="25" s="1"/>
  <c r="AS8" i="27"/>
  <c r="AG23" i="12"/>
  <c r="AH23" i="12" s="1"/>
  <c r="AQ13" i="25"/>
  <c r="AV4" i="25"/>
  <c r="AP10" i="13" l="1"/>
  <c r="AP9" i="13"/>
  <c r="AH66" i="5"/>
  <c r="AH67" i="5"/>
  <c r="AB3" i="59"/>
  <c r="AC3" i="59" s="1"/>
  <c r="Y52" i="50"/>
  <c r="Z52" i="50" s="1"/>
  <c r="AK37" i="8"/>
  <c r="AL37" i="8" s="1"/>
  <c r="AF5" i="38"/>
  <c r="AG5" i="38" s="1"/>
  <c r="AB54" i="5"/>
  <c r="AC54" i="5" s="1"/>
  <c r="AD8" i="56"/>
  <c r="AD9" i="56"/>
  <c r="Y104" i="51"/>
  <c r="Z104" i="51" s="1"/>
  <c r="AI23" i="73"/>
  <c r="AI24" i="73"/>
  <c r="Z9" i="10"/>
  <c r="AA9" i="10" s="1"/>
  <c r="AG15" i="25"/>
  <c r="AH15" i="25" s="1"/>
  <c r="AA6" i="79"/>
  <c r="AB6" i="79" s="1"/>
  <c r="Z4" i="10"/>
  <c r="AA4" i="10" s="1"/>
  <c r="AA23" i="39"/>
  <c r="AB23" i="39" s="1"/>
  <c r="Y112" i="51"/>
  <c r="Z112" i="51" s="1"/>
  <c r="AK49" i="8"/>
  <c r="AL49" i="8" s="1"/>
  <c r="AF8" i="38"/>
  <c r="AG8" i="38" s="1"/>
  <c r="AA8" i="79"/>
  <c r="AB8" i="79" s="1"/>
  <c r="Y36" i="52"/>
  <c r="Z36" i="52" s="1"/>
  <c r="AC4" i="71"/>
  <c r="AD4" i="71" s="1"/>
  <c r="Y66" i="51"/>
  <c r="Z66" i="51" s="1"/>
  <c r="AF16" i="7"/>
  <c r="AG16" i="7" s="1"/>
  <c r="AG9" i="12"/>
  <c r="AH9" i="12" s="1"/>
  <c r="Y33" i="52"/>
  <c r="Z33" i="52" s="1"/>
  <c r="Y11" i="50"/>
  <c r="Z11" i="50" s="1"/>
  <c r="AC3" i="46"/>
  <c r="AD3" i="46" s="1"/>
  <c r="AH18" i="3"/>
  <c r="AH19" i="3"/>
  <c r="Y64" i="51"/>
  <c r="Z64" i="51" s="1"/>
  <c r="AB13" i="3"/>
  <c r="AC13" i="3" s="1"/>
  <c r="AA29" i="39"/>
  <c r="AB29" i="39" s="1"/>
  <c r="AA19" i="39"/>
  <c r="AB19" i="39" s="1"/>
  <c r="AC20" i="73"/>
  <c r="AD20" i="73" s="1"/>
  <c r="AA10" i="79"/>
  <c r="AB10" i="79" s="1"/>
  <c r="AK17" i="8"/>
  <c r="AL17" i="8" s="1"/>
  <c r="Y54" i="51"/>
  <c r="Z54" i="51" s="1"/>
  <c r="Y60" i="50"/>
  <c r="Z60" i="50" s="1"/>
  <c r="AL13" i="9"/>
  <c r="AL12" i="9"/>
  <c r="AA12" i="39"/>
  <c r="AB12" i="39" s="1"/>
  <c r="Z6" i="76"/>
  <c r="AA6" i="76" s="1"/>
  <c r="AT58" i="8"/>
  <c r="AT57" i="8"/>
  <c r="AE5" i="9"/>
  <c r="AF5" i="9" s="1"/>
  <c r="AG37" i="39"/>
  <c r="AA4" i="79"/>
  <c r="AB4" i="79" s="1"/>
  <c r="Y59" i="50"/>
  <c r="Z59" i="50" s="1"/>
  <c r="AF37" i="61"/>
  <c r="AG37" i="61" s="1"/>
  <c r="AB16" i="5"/>
  <c r="AC16" i="5" s="1"/>
  <c r="AA9" i="37"/>
  <c r="AB9" i="37" s="1"/>
  <c r="AF48" i="61"/>
  <c r="AG48" i="61" s="1"/>
  <c r="Y13" i="50"/>
  <c r="Z13" i="50" s="1"/>
  <c r="AO53" i="61"/>
  <c r="AO52" i="61"/>
  <c r="AH15" i="59"/>
  <c r="AH14" i="59"/>
  <c r="Y111" i="51"/>
  <c r="Z111" i="51" s="1"/>
  <c r="Y40" i="52"/>
  <c r="Z40" i="52" s="1"/>
  <c r="AK23" i="8"/>
  <c r="AL23" i="8" s="1"/>
  <c r="Z5" i="22"/>
  <c r="AA5" i="22" s="1"/>
  <c r="Y53" i="51"/>
  <c r="Z53" i="51" s="1"/>
  <c r="AG13" i="25"/>
  <c r="AH13" i="25" s="1"/>
  <c r="AF28" i="61"/>
  <c r="AG28" i="61" s="1"/>
  <c r="Z14" i="76"/>
  <c r="AA14" i="76" s="1"/>
  <c r="AG7" i="25"/>
  <c r="AH7" i="25" s="1"/>
  <c r="AB59" i="5"/>
  <c r="AC59" i="5" s="1"/>
  <c r="AA10" i="37"/>
  <c r="AB10" i="37" s="1"/>
  <c r="AO18" i="54"/>
  <c r="AO17" i="54"/>
  <c r="Y54" i="50"/>
  <c r="Z54" i="50" s="1"/>
  <c r="Y91" i="51"/>
  <c r="Z91" i="51" s="1"/>
  <c r="Y41" i="52"/>
  <c r="Z41" i="52" s="1"/>
  <c r="AG11" i="25"/>
  <c r="AH11" i="25" s="1"/>
  <c r="AG4" i="25"/>
  <c r="AH4" i="25" s="1"/>
  <c r="AK31" i="8"/>
  <c r="AL31" i="8" s="1"/>
  <c r="AA33" i="39"/>
  <c r="AB33" i="39" s="1"/>
  <c r="AF45" i="61"/>
  <c r="AG45" i="61" s="1"/>
  <c r="AB16" i="34"/>
  <c r="AC16" i="34" s="1"/>
  <c r="AB14" i="5"/>
  <c r="AC14" i="5" s="1"/>
  <c r="AA21" i="39"/>
  <c r="AB21" i="39" s="1"/>
  <c r="AB9" i="70"/>
  <c r="AC9" i="70" s="1"/>
  <c r="AF3" i="61"/>
  <c r="AG3" i="61" s="1"/>
  <c r="Y67" i="51"/>
  <c r="Z67" i="51" s="1"/>
  <c r="Y69" i="51"/>
  <c r="Z69" i="51" s="1"/>
  <c r="Z7" i="76"/>
  <c r="AA7" i="76" s="1"/>
  <c r="AK12" i="8"/>
  <c r="AL12" i="8" s="1"/>
  <c r="AA17" i="39"/>
  <c r="AB17" i="39" s="1"/>
  <c r="AE19" i="76"/>
  <c r="AO22" i="27"/>
  <c r="AO21" i="27"/>
  <c r="Y35" i="52"/>
  <c r="Z35" i="52" s="1"/>
  <c r="Y55" i="51"/>
  <c r="Z55" i="51" s="1"/>
  <c r="Y21" i="51"/>
  <c r="Z21" i="51" s="1"/>
  <c r="Y3" i="52"/>
  <c r="Z3" i="52" s="1"/>
  <c r="Y26" i="51"/>
  <c r="Z26" i="51" s="1"/>
  <c r="AA18" i="39"/>
  <c r="AB18" i="39" s="1"/>
  <c r="AA8" i="37"/>
  <c r="AB8" i="37" s="1"/>
  <c r="AC8" i="28"/>
  <c r="AC7" i="28"/>
  <c r="AG5" i="12"/>
  <c r="AH5" i="12" s="1"/>
  <c r="Y57" i="51"/>
  <c r="Z57" i="51" s="1"/>
  <c r="Y108" i="51"/>
  <c r="Z108" i="51" s="1"/>
  <c r="AK47" i="8"/>
  <c r="AL47" i="8" s="1"/>
  <c r="AG14" i="25"/>
  <c r="AH14" i="25" s="1"/>
  <c r="Z12" i="76"/>
  <c r="AA12" i="76" s="1"/>
  <c r="AB47" i="5"/>
  <c r="AC47" i="5" s="1"/>
  <c r="AA11" i="39"/>
  <c r="AB11" i="39" s="1"/>
  <c r="AG11" i="12"/>
  <c r="AH11" i="12" s="1"/>
  <c r="AA15" i="39"/>
  <c r="AB15" i="39" s="1"/>
  <c r="Y97" i="51"/>
  <c r="Z97" i="51" s="1"/>
  <c r="Y17" i="51"/>
  <c r="Z17" i="51" s="1"/>
  <c r="Z15" i="76"/>
  <c r="AA15" i="76" s="1"/>
  <c r="AG14" i="12"/>
  <c r="AH14" i="12" s="1"/>
  <c r="Z7" i="10"/>
  <c r="AA7" i="10" s="1"/>
  <c r="AB15" i="70"/>
  <c r="AC15" i="70" s="1"/>
  <c r="AF5" i="54"/>
  <c r="AG5" i="54" s="1"/>
  <c r="AB3" i="3"/>
  <c r="AC3" i="3" s="1"/>
  <c r="AA25" i="39"/>
  <c r="AB25" i="39" s="1"/>
  <c r="Y56" i="50"/>
  <c r="Z56" i="50" s="1"/>
  <c r="Y13" i="51"/>
  <c r="Z13" i="51" s="1"/>
  <c r="AB5" i="3"/>
  <c r="AC5" i="3" s="1"/>
  <c r="AF6" i="7"/>
  <c r="AG6" i="7" s="1"/>
  <c r="AK41" i="8"/>
  <c r="AL41" i="8" s="1"/>
  <c r="AK45" i="8"/>
  <c r="AL45" i="8" s="1"/>
  <c r="AA32" i="39"/>
  <c r="AB32" i="39" s="1"/>
  <c r="AF3" i="38"/>
  <c r="AG3" i="38" s="1"/>
  <c r="AC4" i="73"/>
  <c r="AD4" i="73" s="1"/>
  <c r="Y95" i="51"/>
  <c r="Z95" i="51" s="1"/>
  <c r="AA5" i="39"/>
  <c r="AB5" i="39" s="1"/>
</calcChain>
</file>

<file path=xl/comments1.xml><?xml version="1.0" encoding="utf-8"?>
<comments xmlns="http://schemas.openxmlformats.org/spreadsheetml/2006/main">
  <authors>
    <author>Brian Beaty</author>
  </authors>
  <commentList>
    <comment ref="B2" authorId="0">
      <text>
        <r>
          <rPr>
            <b/>
            <sz val="9"/>
            <color indexed="81"/>
            <rFont val="Tahoma"/>
            <family val="2"/>
          </rPr>
          <t>Brian Beaty:</t>
        </r>
        <r>
          <rPr>
            <sz val="9"/>
            <color indexed="81"/>
            <rFont val="Tahoma"/>
            <family val="2"/>
          </rPr>
          <t xml:space="preserve">
No mention of corestones</t>
        </r>
      </text>
    </comment>
  </commentList>
</comments>
</file>

<file path=xl/comments10.xml><?xml version="1.0" encoding="utf-8"?>
<comments xmlns="http://schemas.openxmlformats.org/spreadsheetml/2006/main">
  <authors>
    <author>Brian Beaty</author>
  </authors>
  <commentList>
    <comment ref="B2" authorId="0">
      <text>
        <r>
          <rPr>
            <b/>
            <sz val="9"/>
            <color indexed="81"/>
            <rFont val="Tahoma"/>
            <family val="2"/>
          </rPr>
          <t>Brian Beaty:</t>
        </r>
        <r>
          <rPr>
            <sz val="9"/>
            <color indexed="81"/>
            <rFont val="Tahoma"/>
            <family val="2"/>
          </rPr>
          <t xml:space="preserve">
No mention of corestone samples</t>
        </r>
      </text>
    </comment>
  </commentList>
</comments>
</file>

<file path=xl/comments11.xml><?xml version="1.0" encoding="utf-8"?>
<comments xmlns="http://schemas.openxmlformats.org/spreadsheetml/2006/main">
  <authors>
    <author>Brian Beaty</author>
  </authors>
  <commentList>
    <comment ref="A2" authorId="0">
      <text>
        <r>
          <rPr>
            <b/>
            <sz val="9"/>
            <color indexed="81"/>
            <rFont val="Tahoma"/>
            <family val="2"/>
          </rPr>
          <t>Brian Beaty:</t>
        </r>
        <r>
          <rPr>
            <sz val="9"/>
            <color indexed="81"/>
            <rFont val="Tahoma"/>
            <family val="2"/>
          </rPr>
          <t xml:space="preserve">
Corestone samples excluded from this compliation.</t>
        </r>
      </text>
    </comment>
    <comment ref="A6" authorId="0">
      <text>
        <r>
          <rPr>
            <b/>
            <sz val="9"/>
            <color indexed="81"/>
            <rFont val="Tahoma"/>
            <family val="2"/>
          </rPr>
          <t>Brian Beaty:</t>
        </r>
        <r>
          <rPr>
            <sz val="9"/>
            <color indexed="81"/>
            <rFont val="Tahoma"/>
            <family val="2"/>
          </rPr>
          <t xml:space="preserve">
Average of 7 samples</t>
        </r>
      </text>
    </comment>
  </commentList>
</comments>
</file>

<file path=xl/comments12.xml><?xml version="1.0" encoding="utf-8"?>
<comments xmlns="http://schemas.openxmlformats.org/spreadsheetml/2006/main">
  <authors>
    <author>Brian Beaty</author>
  </authors>
  <commentList>
    <comment ref="A2" authorId="0">
      <text>
        <r>
          <rPr>
            <b/>
            <sz val="9"/>
            <color indexed="81"/>
            <rFont val="Tahoma"/>
            <family val="2"/>
          </rPr>
          <t>Brian Beaty:</t>
        </r>
        <r>
          <rPr>
            <sz val="9"/>
            <color indexed="81"/>
            <rFont val="Tahoma"/>
            <family val="2"/>
          </rPr>
          <t xml:space="preserve">
Regolith samples excluded because they contain clear evidence of allochthonous input (unweathered clasts that differ from the parent, sedimentary structures indicating surface transport)</t>
        </r>
      </text>
    </comment>
  </commentList>
</comments>
</file>

<file path=xl/comments13.xml><?xml version="1.0" encoding="utf-8"?>
<comments xmlns="http://schemas.openxmlformats.org/spreadsheetml/2006/main">
  <authors>
    <author>Brian Beaty</author>
  </authors>
  <commentList>
    <comment ref="A2" authorId="0">
      <text>
        <r>
          <rPr>
            <b/>
            <sz val="9"/>
            <color indexed="81"/>
            <rFont val="Tahoma"/>
            <family val="2"/>
          </rPr>
          <t>Brian Beaty:</t>
        </r>
        <r>
          <rPr>
            <sz val="9"/>
            <color indexed="81"/>
            <rFont val="Tahoma"/>
            <family val="2"/>
          </rPr>
          <t xml:space="preserve">
No mention of corestone samples</t>
        </r>
      </text>
    </comment>
  </commentList>
</comments>
</file>

<file path=xl/comments14.xml><?xml version="1.0" encoding="utf-8"?>
<comments xmlns="http://schemas.openxmlformats.org/spreadsheetml/2006/main">
  <authors>
    <author>Brian Beaty</author>
  </authors>
  <commentList>
    <comment ref="A2" authorId="0">
      <text>
        <r>
          <rPr>
            <b/>
            <sz val="9"/>
            <color indexed="81"/>
            <rFont val="Tahoma"/>
            <family val="2"/>
          </rPr>
          <t>Brian Beaty:</t>
        </r>
        <r>
          <rPr>
            <sz val="9"/>
            <color indexed="81"/>
            <rFont val="Tahoma"/>
            <family val="2"/>
          </rPr>
          <t xml:space="preserve">
Liesegang banding in "transition zone" may be remnants of corestones, but zone is fully saprolitized</t>
        </r>
      </text>
    </comment>
  </commentList>
</comments>
</file>

<file path=xl/comments15.xml><?xml version="1.0" encoding="utf-8"?>
<comments xmlns="http://schemas.openxmlformats.org/spreadsheetml/2006/main">
  <authors>
    <author>Brian Beaty</author>
  </authors>
  <commentList>
    <comment ref="A2" authorId="0">
      <text>
        <r>
          <rPr>
            <b/>
            <sz val="9"/>
            <color indexed="81"/>
            <rFont val="Tahoma"/>
            <family val="2"/>
          </rPr>
          <t>Brian Beaty:</t>
        </r>
        <r>
          <rPr>
            <sz val="9"/>
            <color indexed="81"/>
            <rFont val="Tahoma"/>
            <family val="2"/>
          </rPr>
          <t xml:space="preserve">
No mention of corestone samples</t>
        </r>
      </text>
    </comment>
  </commentList>
</comments>
</file>

<file path=xl/comments16.xml><?xml version="1.0" encoding="utf-8"?>
<comments xmlns="http://schemas.openxmlformats.org/spreadsheetml/2006/main">
  <authors>
    <author>Brian Beaty</author>
  </authors>
  <commentList>
    <comment ref="A2" authorId="0">
      <text>
        <r>
          <rPr>
            <b/>
            <sz val="9"/>
            <color indexed="81"/>
            <rFont val="Tahoma"/>
            <family val="2"/>
          </rPr>
          <t>Brian Beaty:</t>
        </r>
        <r>
          <rPr>
            <sz val="9"/>
            <color indexed="81"/>
            <rFont val="Tahoma"/>
            <family val="2"/>
          </rPr>
          <t xml:space="preserve">
Potential sampling of migmatite veins, but these samples are not distinguished</t>
        </r>
      </text>
    </comment>
  </commentList>
</comments>
</file>

<file path=xl/comments17.xml><?xml version="1.0" encoding="utf-8"?>
<comments xmlns="http://schemas.openxmlformats.org/spreadsheetml/2006/main">
  <authors>
    <author>Brian Beaty</author>
  </authors>
  <commentList>
    <comment ref="A2" authorId="0">
      <text>
        <r>
          <rPr>
            <b/>
            <sz val="9"/>
            <color indexed="81"/>
            <rFont val="Tahoma"/>
            <family val="2"/>
          </rPr>
          <t>Brian Beaty:</t>
        </r>
        <r>
          <rPr>
            <sz val="9"/>
            <color indexed="81"/>
            <rFont val="Tahoma"/>
            <family val="2"/>
          </rPr>
          <t xml:space="preserve">
No mention of corestones</t>
        </r>
      </text>
    </comment>
  </commentList>
</comments>
</file>

<file path=xl/comments18.xml><?xml version="1.0" encoding="utf-8"?>
<comments xmlns="http://schemas.openxmlformats.org/spreadsheetml/2006/main">
  <authors>
    <author>Brian Beaty</author>
  </authors>
  <commentList>
    <comment ref="A2" authorId="0">
      <text>
        <r>
          <rPr>
            <b/>
            <sz val="9"/>
            <color indexed="81"/>
            <rFont val="Tahoma"/>
            <family val="2"/>
          </rPr>
          <t>Brian Beaty:</t>
        </r>
        <r>
          <rPr>
            <sz val="9"/>
            <color indexed="81"/>
            <rFont val="Tahoma"/>
            <family val="2"/>
          </rPr>
          <t xml:space="preserve">
Profile grades upward from saprolite to a "plasmic zone" like Roded but the boundary is not defined</t>
        </r>
      </text>
    </comment>
  </commentList>
</comments>
</file>

<file path=xl/comments19.xml><?xml version="1.0" encoding="utf-8"?>
<comments xmlns="http://schemas.openxmlformats.org/spreadsheetml/2006/main">
  <authors>
    <author>Brian Beaty</author>
  </authors>
  <commentList>
    <comment ref="A2" authorId="0">
      <text>
        <r>
          <rPr>
            <b/>
            <sz val="9"/>
            <color indexed="81"/>
            <rFont val="Tahoma"/>
            <family val="2"/>
          </rPr>
          <t>Brian Beaty:</t>
        </r>
        <r>
          <rPr>
            <sz val="9"/>
            <color indexed="81"/>
            <rFont val="Tahoma"/>
            <family val="2"/>
          </rPr>
          <t xml:space="preserve">
No mention of corestone samples</t>
        </r>
      </text>
    </comment>
  </commentList>
</comments>
</file>

<file path=xl/comments2.xml><?xml version="1.0" encoding="utf-8"?>
<comments xmlns="http://schemas.openxmlformats.org/spreadsheetml/2006/main">
  <authors>
    <author>Brian Beaty</author>
  </authors>
  <commentList>
    <comment ref="A2" authorId="0">
      <text>
        <r>
          <rPr>
            <b/>
            <sz val="9"/>
            <color indexed="81"/>
            <rFont val="Tahoma"/>
            <family val="2"/>
          </rPr>
          <t>Brian Beaty:</t>
        </r>
        <r>
          <rPr>
            <sz val="9"/>
            <color indexed="81"/>
            <rFont val="Tahoma"/>
            <family val="2"/>
          </rPr>
          <t xml:space="preserve">
No corestones</t>
        </r>
      </text>
    </comment>
    <comment ref="B2" authorId="0">
      <text>
        <r>
          <rPr>
            <b/>
            <sz val="9"/>
            <color indexed="81"/>
            <rFont val="Tahoma"/>
            <family val="2"/>
          </rPr>
          <t>Brian Beaty:</t>
        </r>
        <r>
          <rPr>
            <sz val="9"/>
            <color indexed="81"/>
            <rFont val="Tahoma"/>
            <family val="2"/>
          </rPr>
          <t xml:space="preserve">
No corestones</t>
        </r>
      </text>
    </comment>
  </commentList>
</comments>
</file>

<file path=xl/comments20.xml><?xml version="1.0" encoding="utf-8"?>
<comments xmlns="http://schemas.openxmlformats.org/spreadsheetml/2006/main">
  <authors>
    <author>Brian Beaty</author>
  </authors>
  <commentList>
    <comment ref="A2" authorId="0">
      <text>
        <r>
          <rPr>
            <b/>
            <sz val="9"/>
            <color indexed="81"/>
            <rFont val="Tahoma"/>
            <family val="2"/>
          </rPr>
          <t>Brian Beaty:</t>
        </r>
        <r>
          <rPr>
            <sz val="9"/>
            <color indexed="81"/>
            <rFont val="Tahoma"/>
            <family val="2"/>
          </rPr>
          <t xml:space="preserve">
No mention of corestone samples</t>
        </r>
      </text>
    </comment>
  </commentList>
</comments>
</file>

<file path=xl/comments21.xml><?xml version="1.0" encoding="utf-8"?>
<comments xmlns="http://schemas.openxmlformats.org/spreadsheetml/2006/main">
  <authors>
    <author>Brian Beaty</author>
  </authors>
  <commentList>
    <comment ref="A2" authorId="0">
      <text>
        <r>
          <rPr>
            <b/>
            <sz val="9"/>
            <color indexed="81"/>
            <rFont val="Tahoma"/>
            <family val="2"/>
          </rPr>
          <t>Brian Beaty:</t>
        </r>
        <r>
          <rPr>
            <sz val="9"/>
            <color indexed="81"/>
            <rFont val="Tahoma"/>
            <family val="2"/>
          </rPr>
          <t xml:space="preserve">
No mention of corestone samples</t>
        </r>
      </text>
    </comment>
  </commentList>
</comments>
</file>

<file path=xl/comments22.xml><?xml version="1.0" encoding="utf-8"?>
<comments xmlns="http://schemas.openxmlformats.org/spreadsheetml/2006/main">
  <authors>
    <author>Brian Beaty</author>
  </authors>
  <commentList>
    <comment ref="B10" authorId="0">
      <text>
        <r>
          <rPr>
            <b/>
            <sz val="9"/>
            <color indexed="81"/>
            <rFont val="Tahoma"/>
            <family val="2"/>
          </rPr>
          <t>Brian Beaty:</t>
        </r>
        <r>
          <rPr>
            <sz val="9"/>
            <color indexed="81"/>
            <rFont val="Tahoma"/>
            <family val="2"/>
          </rPr>
          <t xml:space="preserve">
Abundant corestones noted</t>
        </r>
      </text>
    </comment>
  </commentList>
</comments>
</file>

<file path=xl/comments23.xml><?xml version="1.0" encoding="utf-8"?>
<comments xmlns="http://schemas.openxmlformats.org/spreadsheetml/2006/main">
  <authors>
    <author>Brian Beaty</author>
  </authors>
  <commentList>
    <comment ref="A19" authorId="0">
      <text>
        <r>
          <rPr>
            <b/>
            <sz val="9"/>
            <color indexed="81"/>
            <rFont val="Tahoma"/>
            <family val="2"/>
          </rPr>
          <t>Brian Beaty:</t>
        </r>
        <r>
          <rPr>
            <sz val="9"/>
            <color indexed="81"/>
            <rFont val="Tahoma"/>
            <family val="2"/>
          </rPr>
          <t xml:space="preserve">
Abundant corestones at this depth and below in the profile, unclear if they were excuded from sample analysis.</t>
        </r>
      </text>
    </comment>
  </commentList>
</comments>
</file>

<file path=xl/comments24.xml><?xml version="1.0" encoding="utf-8"?>
<comments xmlns="http://schemas.openxmlformats.org/spreadsheetml/2006/main">
  <authors>
    <author>Brian Beaty</author>
  </authors>
  <commentList>
    <comment ref="A14" authorId="0">
      <text>
        <r>
          <rPr>
            <b/>
            <sz val="9"/>
            <color indexed="81"/>
            <rFont val="Tahoma"/>
            <family val="2"/>
          </rPr>
          <t>Brian Beaty:</t>
        </r>
        <r>
          <rPr>
            <sz val="9"/>
            <color indexed="81"/>
            <rFont val="Tahoma"/>
            <family val="2"/>
          </rPr>
          <t xml:space="preserve">
Abundant corestones at this depth and below in the profile, unclear if they were excuded from sample analysis.</t>
        </r>
      </text>
    </comment>
  </commentList>
</comments>
</file>

<file path=xl/comments3.xml><?xml version="1.0" encoding="utf-8"?>
<comments xmlns="http://schemas.openxmlformats.org/spreadsheetml/2006/main">
  <authors>
    <author>Brian Beaty</author>
  </authors>
  <commentList>
    <comment ref="A2" authorId="0">
      <text>
        <r>
          <rPr>
            <b/>
            <sz val="9"/>
            <color indexed="81"/>
            <rFont val="Tahoma"/>
            <family val="2"/>
          </rPr>
          <t>Brian Beaty:</t>
        </r>
        <r>
          <rPr>
            <sz val="9"/>
            <color indexed="81"/>
            <rFont val="Tahoma"/>
            <family val="2"/>
          </rPr>
          <t xml:space="preserve">
No corestones</t>
        </r>
      </text>
    </comment>
  </commentList>
</comments>
</file>

<file path=xl/comments4.xml><?xml version="1.0" encoding="utf-8"?>
<comments xmlns="http://schemas.openxmlformats.org/spreadsheetml/2006/main">
  <authors>
    <author>Brian Beaty</author>
  </authors>
  <commentList>
    <comment ref="A2" authorId="0">
      <text>
        <r>
          <rPr>
            <b/>
            <sz val="9"/>
            <color indexed="81"/>
            <rFont val="Tahoma"/>
            <family val="2"/>
          </rPr>
          <t>Brian Beaty:</t>
        </r>
        <r>
          <rPr>
            <sz val="9"/>
            <color indexed="81"/>
            <rFont val="Tahoma"/>
            <family val="2"/>
          </rPr>
          <t xml:space="preserve">
No mention of corestone samples</t>
        </r>
      </text>
    </comment>
  </commentList>
</comments>
</file>

<file path=xl/comments5.xml><?xml version="1.0" encoding="utf-8"?>
<comments xmlns="http://schemas.openxmlformats.org/spreadsheetml/2006/main">
  <authors>
    <author>Brian Beaty</author>
  </authors>
  <commentList>
    <comment ref="A2" authorId="0">
      <text>
        <r>
          <rPr>
            <b/>
            <sz val="9"/>
            <color indexed="81"/>
            <rFont val="Tahoma"/>
            <family val="2"/>
          </rPr>
          <t>Brian Beaty:</t>
        </r>
        <r>
          <rPr>
            <sz val="9"/>
            <color indexed="81"/>
            <rFont val="Tahoma"/>
            <family val="2"/>
          </rPr>
          <t xml:space="preserve">
No mention of corestone samples, although corestones reported in outcrop by Prasad and Roscoe (1996) </t>
        </r>
        <r>
          <rPr>
            <i/>
            <sz val="9"/>
            <color indexed="81"/>
            <rFont val="Tahoma"/>
            <family val="2"/>
          </rPr>
          <t>Catena</t>
        </r>
      </text>
    </comment>
  </commentList>
</comments>
</file>

<file path=xl/comments6.xml><?xml version="1.0" encoding="utf-8"?>
<comments xmlns="http://schemas.openxmlformats.org/spreadsheetml/2006/main">
  <authors>
    <author>Brian Beaty</author>
  </authors>
  <commentList>
    <comment ref="A2" authorId="0">
      <text>
        <r>
          <rPr>
            <b/>
            <sz val="9"/>
            <color indexed="81"/>
            <rFont val="Tahoma"/>
            <family val="2"/>
          </rPr>
          <t>Brian Beaty:</t>
        </r>
        <r>
          <rPr>
            <sz val="9"/>
            <color indexed="81"/>
            <rFont val="Tahoma"/>
            <family val="2"/>
          </rPr>
          <t xml:space="preserve">
No corestone samples mentioned</t>
        </r>
      </text>
    </comment>
  </commentList>
</comments>
</file>

<file path=xl/comments7.xml><?xml version="1.0" encoding="utf-8"?>
<comments xmlns="http://schemas.openxmlformats.org/spreadsheetml/2006/main">
  <authors>
    <author>Brian Beaty</author>
  </authors>
  <commentList>
    <comment ref="A2" authorId="0">
      <text>
        <r>
          <rPr>
            <b/>
            <sz val="9"/>
            <color indexed="81"/>
            <rFont val="Tahoma"/>
            <family val="2"/>
          </rPr>
          <t>Brian Beaty:</t>
        </r>
        <r>
          <rPr>
            <sz val="9"/>
            <color indexed="81"/>
            <rFont val="Tahoma"/>
            <family val="2"/>
          </rPr>
          <t xml:space="preserve">
No mention of corestone samples</t>
        </r>
      </text>
    </comment>
  </commentList>
</comments>
</file>

<file path=xl/comments8.xml><?xml version="1.0" encoding="utf-8"?>
<comments xmlns="http://schemas.openxmlformats.org/spreadsheetml/2006/main">
  <authors>
    <author>Brian Beaty</author>
  </authors>
  <commentList>
    <comment ref="A2" authorId="0">
      <text>
        <r>
          <rPr>
            <b/>
            <sz val="9"/>
            <color indexed="81"/>
            <rFont val="Tahoma"/>
            <family val="2"/>
          </rPr>
          <t>Brian Beaty:</t>
        </r>
        <r>
          <rPr>
            <sz val="9"/>
            <color indexed="81"/>
            <rFont val="Tahoma"/>
            <family val="2"/>
          </rPr>
          <t xml:space="preserve">
No mention of corestone samples</t>
        </r>
      </text>
    </comment>
  </commentList>
</comments>
</file>

<file path=xl/comments9.xml><?xml version="1.0" encoding="utf-8"?>
<comments xmlns="http://schemas.openxmlformats.org/spreadsheetml/2006/main">
  <authors>
    <author>Brian Beaty</author>
  </authors>
  <commentList>
    <comment ref="B2" authorId="0">
      <text>
        <r>
          <rPr>
            <b/>
            <sz val="9"/>
            <color indexed="81"/>
            <rFont val="Tahoma"/>
            <family val="2"/>
          </rPr>
          <t>Brian Beaty:</t>
        </r>
        <r>
          <rPr>
            <sz val="9"/>
            <color indexed="81"/>
            <rFont val="Tahoma"/>
            <family val="2"/>
          </rPr>
          <t xml:space="preserve">
No mention of corestone samples</t>
        </r>
      </text>
    </comment>
  </commentList>
</comments>
</file>

<file path=xl/sharedStrings.xml><?xml version="1.0" encoding="utf-8"?>
<sst xmlns="http://schemas.openxmlformats.org/spreadsheetml/2006/main" count="2850" uniqueCount="563">
  <si>
    <t>Depth</t>
  </si>
  <si>
    <t>Al2O3</t>
  </si>
  <si>
    <t>MgO</t>
  </si>
  <si>
    <t>TiO2</t>
  </si>
  <si>
    <t>Al</t>
  </si>
  <si>
    <t>Mg</t>
  </si>
  <si>
    <t>Ti</t>
  </si>
  <si>
    <t>Al % change</t>
  </si>
  <si>
    <t>Mg % change</t>
  </si>
  <si>
    <t>Ti % change</t>
  </si>
  <si>
    <t>Mg 'amplification'</t>
  </si>
  <si>
    <t>Expected Al % change</t>
  </si>
  <si>
    <t>Expected Ti % change</t>
  </si>
  <si>
    <t>Expected Al</t>
  </si>
  <si>
    <t>Expected Ti</t>
  </si>
  <si>
    <t>Expected Al/Ti</t>
  </si>
  <si>
    <t>Al/Ti</t>
  </si>
  <si>
    <t>Mg/Ti</t>
  </si>
  <si>
    <t>Depth (cm)</t>
  </si>
  <si>
    <t>1000-2000</t>
  </si>
  <si>
    <t>Depth (m)</t>
  </si>
  <si>
    <t>Height (m)</t>
  </si>
  <si>
    <t>Al (ppm)</t>
  </si>
  <si>
    <t>Mg (ppm)</t>
  </si>
  <si>
    <t>Ti (ppm)</t>
  </si>
  <si>
    <t>Al2O3 (wt%)</t>
  </si>
  <si>
    <t>TiO2 (wt%)</t>
  </si>
  <si>
    <t>MgO (wt%)</t>
  </si>
  <si>
    <t>Al % removed</t>
  </si>
  <si>
    <t>Ti % removed</t>
  </si>
  <si>
    <t>Mg % removed</t>
  </si>
  <si>
    <t>Unweathered Columbia River basalt</t>
  </si>
  <si>
    <t>Basalt after citrate weathering</t>
  </si>
  <si>
    <t>Basalt after ligand-free weathering</t>
  </si>
  <si>
    <t>Unweathered Yosemite granite</t>
  </si>
  <si>
    <t>Granite after citrate weathering</t>
  </si>
  <si>
    <t>Granite after ligand-free weathering</t>
  </si>
  <si>
    <t>Experimental lab weathering - 45 weeks</t>
  </si>
  <si>
    <r>
      <t xml:space="preserve">Hausrath et al. (2009). "Elemental release rates from dissolving basalt and granite with and without organic ligands." </t>
    </r>
    <r>
      <rPr>
        <i/>
        <sz val="11"/>
        <color theme="1"/>
        <rFont val="Calibri"/>
        <family val="2"/>
        <scheme val="minor"/>
      </rPr>
      <t>AJS</t>
    </r>
  </si>
  <si>
    <t>Parent</t>
  </si>
  <si>
    <t>"Clay"</t>
  </si>
  <si>
    <t>"Residue"</t>
  </si>
  <si>
    <t>parent</t>
  </si>
  <si>
    <t>330.42, 388.87</t>
  </si>
  <si>
    <t>252.2-262.0</t>
  </si>
  <si>
    <t>Ca</t>
  </si>
  <si>
    <t>K</t>
  </si>
  <si>
    <t>Na</t>
  </si>
  <si>
    <t>CaO</t>
  </si>
  <si>
    <t>K2O</t>
  </si>
  <si>
    <t>Na2O</t>
  </si>
  <si>
    <t>CIA</t>
  </si>
  <si>
    <t>CIA-K</t>
  </si>
  <si>
    <t>nd</t>
  </si>
  <si>
    <t>Ca (ppm)</t>
  </si>
  <si>
    <t>K (ppm)</t>
  </si>
  <si>
    <t>Na (ppm)</t>
  </si>
  <si>
    <t>bdl</t>
  </si>
  <si>
    <t>Annual rainfall (mm)</t>
  </si>
  <si>
    <t>Basal Pongola</t>
  </si>
  <si>
    <t>Lake Voronye</t>
  </si>
  <si>
    <t>Mt. Roe #2</t>
  </si>
  <si>
    <t>Black Reef</t>
  </si>
  <si>
    <t>Saganaga</t>
  </si>
  <si>
    <t>Lauzon Bay</t>
  </si>
  <si>
    <t>Denison</t>
  </si>
  <si>
    <t>Quirke</t>
  </si>
  <si>
    <t>Avontuur</t>
  </si>
  <si>
    <t>Ville Marie</t>
  </si>
  <si>
    <t>Hekpoort</t>
  </si>
  <si>
    <t>Flin Flon</t>
  </si>
  <si>
    <t>Sigula</t>
  </si>
  <si>
    <t>Elk Point</t>
  </si>
  <si>
    <t>Dunn Point</t>
  </si>
  <si>
    <t>Boulder Creek</t>
  </si>
  <si>
    <t>A</t>
  </si>
  <si>
    <t>B</t>
  </si>
  <si>
    <t>C</t>
  </si>
  <si>
    <t>D</t>
  </si>
  <si>
    <t>E</t>
  </si>
  <si>
    <t>Ischigualasto</t>
  </si>
  <si>
    <t>Lawyer Canyon</t>
  </si>
  <si>
    <t>LC-01</t>
  </si>
  <si>
    <t>LC-02</t>
  </si>
  <si>
    <t>LC-03</t>
  </si>
  <si>
    <t>LC-04</t>
  </si>
  <si>
    <t>LC-05</t>
  </si>
  <si>
    <t>LC-06</t>
  </si>
  <si>
    <t>LC-07</t>
  </si>
  <si>
    <t>SH-05</t>
  </si>
  <si>
    <t>SH-03</t>
  </si>
  <si>
    <t>SH-02</t>
  </si>
  <si>
    <t>SH-01</t>
  </si>
  <si>
    <t>LC-PS</t>
  </si>
  <si>
    <t>SH-PS</t>
  </si>
  <si>
    <t>Lower Rice Creek</t>
  </si>
  <si>
    <t>Precip</t>
  </si>
  <si>
    <t>Variance:</t>
  </si>
  <si>
    <t>Average:</t>
  </si>
  <si>
    <t>9.75,12.8</t>
  </si>
  <si>
    <t>Baraboo</t>
  </si>
  <si>
    <t>Temperance River</t>
  </si>
  <si>
    <t>Denny Dalton</t>
  </si>
  <si>
    <t>Roded</t>
  </si>
  <si>
    <t>Timna</t>
  </si>
  <si>
    <t>Verde River</t>
  </si>
  <si>
    <t>Cr/Th</t>
  </si>
  <si>
    <t>Ca/Ti</t>
  </si>
  <si>
    <t>Cr (ppm)</t>
  </si>
  <si>
    <t>Th (ppm)</t>
  </si>
  <si>
    <t>Zr (ppm)</t>
  </si>
  <si>
    <t>CaO (wt%)</t>
  </si>
  <si>
    <t>K2O (wt%)</t>
  </si>
  <si>
    <t>Na2O (wt%)</t>
  </si>
  <si>
    <t>Al (wt%)</t>
  </si>
  <si>
    <t>Mg (wt%)</t>
  </si>
  <si>
    <t>Ti (wt%)</t>
  </si>
  <si>
    <t>Ca (wt%)</t>
  </si>
  <si>
    <t>K (wt%)</t>
  </si>
  <si>
    <t>Na (wt%)</t>
  </si>
  <si>
    <t>Zr (wt%)</t>
  </si>
  <si>
    <t>Th (wt%)</t>
  </si>
  <si>
    <t>Cr (wt%)</t>
  </si>
  <si>
    <t>G357D</t>
  </si>
  <si>
    <t>G357E</t>
  </si>
  <si>
    <t>G357F</t>
  </si>
  <si>
    <t>G357C</t>
  </si>
  <si>
    <t>G357B</t>
  </si>
  <si>
    <t>G357A</t>
  </si>
  <si>
    <t>Cr (ug/g)</t>
  </si>
  <si>
    <t>Zr (ng/g)</t>
  </si>
  <si>
    <t>Th (ng/g)</t>
  </si>
  <si>
    <t>Cr (ng/g)</t>
  </si>
  <si>
    <t>Cr2O3 (wt%)</t>
  </si>
  <si>
    <t>Zr/Ti</t>
  </si>
  <si>
    <t>Cr/Ti</t>
  </si>
  <si>
    <t>Th/Ti</t>
  </si>
  <si>
    <t>inf</t>
  </si>
  <si>
    <t>Co (ppm)</t>
  </si>
  <si>
    <t>Total</t>
  </si>
  <si>
    <t>MAP &lt; 1400 mm</t>
  </si>
  <si>
    <t>MAP &gt; 1400 mm</t>
  </si>
  <si>
    <t>MAP &gt; 1800 mm</t>
  </si>
  <si>
    <t>Mean</t>
  </si>
  <si>
    <t>Median</t>
  </si>
  <si>
    <t>Expected</t>
  </si>
  <si>
    <t>Beaverlodge Lake</t>
  </si>
  <si>
    <t>Picture Gorge</t>
  </si>
  <si>
    <t>Hawaii total</t>
  </si>
  <si>
    <t>Hawaii &gt;1400 mm MAP</t>
  </si>
  <si>
    <t>Upper Shumaker</t>
  </si>
  <si>
    <t>Variances</t>
  </si>
  <si>
    <t>Averages</t>
  </si>
  <si>
    <t>MAP</t>
  </si>
  <si>
    <t>725.48-729.76</t>
  </si>
  <si>
    <t>Drakenstein</t>
  </si>
  <si>
    <t>43.6-47.21</t>
  </si>
  <si>
    <t>Pronto</t>
  </si>
  <si>
    <t>Quirke II</t>
  </si>
  <si>
    <t>Paleosol</t>
  </si>
  <si>
    <t>Paleolatitude</t>
  </si>
  <si>
    <t>Cooper Lake</t>
  </si>
  <si>
    <t>Beaverlodge</t>
  </si>
  <si>
    <t>NA</t>
  </si>
  <si>
    <t>Minimum</t>
  </si>
  <si>
    <t>First quartile</t>
  </si>
  <si>
    <t>Third quartile</t>
  </si>
  <si>
    <t>Maximum</t>
  </si>
  <si>
    <t>New data from ICP-MS</t>
  </si>
  <si>
    <t>Data from Alfimova et al. (2011). "Mobility of cerium in the 2.8-2.1 Ga exogenous environments of the Baltic Shield: Data on weathering profiles and sedimentary carbonates." Lithology and Mineral Resources</t>
  </si>
  <si>
    <t>Data from Macfarlane et al. (1994). "Geology and major and trace element chemistry of late Archean weathering profiles in the Fortescue Group, Western Australia: implications for atmospheric PO2." Precambrian Research</t>
  </si>
  <si>
    <t>Data from Maynard et al. (1995). "A paleosol developed on hydrothermally altered granite from the hinterland of the Witwatersrand Basin: Characteristics of a source of basin fill." The Journal of Geology</t>
  </si>
  <si>
    <t>Data from Driese et al. (2011). "Neoarchean paleoweathering of tonalite and metabasalt: Implications for reconstructions of 2.69 Ga early terrestrial ecosystems and paleoatmospheric chemistry." Precambrian Research</t>
  </si>
  <si>
    <t>Data from Sutton and Maynard (1992). "Multiple alteration events in the history of a sub-Huronian regolith at Lauzon Bay, Ontario." Canadian Journal of Earth Sciences</t>
  </si>
  <si>
    <t>Data from Murakami et al. (2011). "Early Proterozoic weathering processes under low O2 conditions reconstructed from a 2.45 Ga paleosol in Pronto, Canada." American Mineralogist</t>
  </si>
  <si>
    <t>Data from Prasad and Roscoe (1996). "Evidence of anoxic to oxic atmospheric change during 2.45-2.22 Ga from lower and upper sub-Huronian paleosols, Canada." Catena</t>
  </si>
  <si>
    <t>Data from Prasad and Roscoe (1991). "Profiles of altered zones at ca. 2.45 Ga unconformities beneath Huronian strata, Elliot Lake, Ontario." Geological Survey of Canada Current Research Part C: Canadian Shield</t>
  </si>
  <si>
    <t>Data from Babechuk et al. (2019). "Pervasively anoxic surface conditions at the onset of the Great Oxidation Event: New multi-proxy constraints from the Cooper Lake paleosol." Precambrian Research</t>
  </si>
  <si>
    <t>Data from Rainbird et al. (1990). "Formation and diagenesis of a sub-Huronian saprolith: Comparison with a modern weathering profile." The Journal of Geology</t>
  </si>
  <si>
    <t>Data from Beukes et al. (2002). "Tropical laterites, life on land, and the history of atmospheric oxygen in the Paleoproterozoic." Geology</t>
  </si>
  <si>
    <t>Data from Toma et al. (2019). "Cr isotopic insights into ca. 1.9 Ga oxidative weathering of the continents using the Beaverlodge Lake paleosol, Northwest Territories, Canada." Geobiology</t>
  </si>
  <si>
    <t>Data from Babechuk and Kamber (2013). "The Flin Flon paleosol revisited." Canadian Journal of Earth Sciences</t>
  </si>
  <si>
    <t>Data from Driese and Medaris (2008). "Evidence for biological and hydrological controls on the development of a Paleoproterozoic paleoweathering profile in the Baraboo Range, Wisconsin, U.S.A." Journal of Sedimentary Research</t>
  </si>
  <si>
    <t>Data from Koch et al. (2020). "Geochemistry of Paleoproterozoic saprolite developed in diabase intruding the Hotazel Formation in the Avontuur deposit of the Kalahari Manganese Field, South Africa." South African Journal of Geology</t>
  </si>
  <si>
    <t>Data from Wiggering and Beukes (1990). "Petrography and geochemistry of a 2000–2200-Ma-old hematitic Paleo-alteration profile on Ongeluk basalt of the Transvaal supergroup, Griqualand West, South Africa." Precambrian Research</t>
  </si>
  <si>
    <t>Data from Sheldon (2013). "Causes and consequences of low atmospheric pCO2 in the Late Mesoproterozoic." Chemical Geology</t>
  </si>
  <si>
    <t>Data from Liivamägi et al. (2015). "Petrology, mineralogy and geochemical climofunctions of the Neoproterozoic Baltic paleosol." Precambrian Research</t>
  </si>
  <si>
    <t>Data from Sandler et al. (2012). "Sub-Cambrian pedogenesis recorded in weathering profiles of the Arabian-Nubian Shield." Sedimentology</t>
  </si>
  <si>
    <t>Data from Horodyskyj et al. (2012). "Substantial biologically mediated phosphorus depletion from the surface of a Middle Cambrian paleosol." Geology</t>
  </si>
  <si>
    <t>Data from Jutras et al. (2009). "Evidence from Middle Ordovician paleosols for the predominance of alkaline groundwater at the dawn of land plant radiation." Geology</t>
  </si>
  <si>
    <t>Data from Condie et al. (1995). "Behavior of rare earth elements in a paleoweathering profile on granodiorite in the Front Range, Colorado, USA." Geochimica et Cosmochimica Acta</t>
  </si>
  <si>
    <t>Data from Tabor et al. (2004). "Mineralogical and geochemical evolution of a basalt-hosted fossil soil (Late Triassic, Ischigualasto Formation, northwest Argentina): Potential for paleoenvironmental reconstruction." GSA Bulletin</t>
  </si>
  <si>
    <t>Data from Sheldon (2003). "Pedogenesis and geochemical alteration of the Picture Gorge subgroup, Columbia River basalt, Oregon." GSA Bulletin</t>
  </si>
  <si>
    <t>Data from Hobbs and Parrish (2016). "Miocene global change recorded in Columbia River basalt–hosted paleosols." GSA Bulletin</t>
  </si>
  <si>
    <t>Data from Thomson et al. (2014). "The effects of weathering on the strength and chemistry of Columbia River Basalts and their implications for Mars Exploration Rover Rock Abrasion Tool (RAT) results." Earth and Planetary Science Letters</t>
  </si>
  <si>
    <t>Data from Porder et al. (2007). "Chemical weathering, mass loss, and dust inputs across a climate by time matrix in the Hawaiian Islands." Earth and Planetary Science Letters</t>
  </si>
  <si>
    <t>Sample type</t>
  </si>
  <si>
    <t>Sample ID</t>
  </si>
  <si>
    <t>90MH211</t>
  </si>
  <si>
    <t>90MH212</t>
  </si>
  <si>
    <t>90MH214</t>
  </si>
  <si>
    <t>90MH215</t>
  </si>
  <si>
    <t>90MH216</t>
  </si>
  <si>
    <t>90MH217</t>
  </si>
  <si>
    <t>90MH218</t>
  </si>
  <si>
    <t>90MH220</t>
  </si>
  <si>
    <t>90MH221</t>
  </si>
  <si>
    <t>90MH224</t>
  </si>
  <si>
    <t>90MH225</t>
  </si>
  <si>
    <t>90MH226</t>
  </si>
  <si>
    <t>90MH227</t>
  </si>
  <si>
    <t>90MH228</t>
  </si>
  <si>
    <t>chlorite zone</t>
  </si>
  <si>
    <t>sericite zone</t>
  </si>
  <si>
    <t>bleached</t>
  </si>
  <si>
    <t>regolith</t>
  </si>
  <si>
    <t>saprolite</t>
  </si>
  <si>
    <t>99PRN15</t>
  </si>
  <si>
    <t>99PRN16</t>
  </si>
  <si>
    <t>99PRN18</t>
  </si>
  <si>
    <t>99PRN17</t>
  </si>
  <si>
    <t>99PRN19</t>
  </si>
  <si>
    <t>99PRN20</t>
  </si>
  <si>
    <t>99PRN21</t>
  </si>
  <si>
    <t>99PRN22</t>
  </si>
  <si>
    <t>99PRN23</t>
  </si>
  <si>
    <t>99PRN24</t>
  </si>
  <si>
    <t>99PRN25</t>
  </si>
  <si>
    <t>99PRN30</t>
  </si>
  <si>
    <t>99PRN29</t>
  </si>
  <si>
    <t>99PRN28</t>
  </si>
  <si>
    <t>99PRN27+99PRN28</t>
  </si>
  <si>
    <t>"sediment"</t>
  </si>
  <si>
    <t>argillite</t>
  </si>
  <si>
    <t>CLA-002</t>
  </si>
  <si>
    <t>CLA-004</t>
  </si>
  <si>
    <t>CLA-003</t>
  </si>
  <si>
    <t>CLA-006</t>
  </si>
  <si>
    <t>CLA-009</t>
  </si>
  <si>
    <t>CLA-005</t>
  </si>
  <si>
    <t>paleosol</t>
  </si>
  <si>
    <t>CLA-007B</t>
  </si>
  <si>
    <t>CLA-008A</t>
  </si>
  <si>
    <t>CLA-008B</t>
  </si>
  <si>
    <t>CLA-010</t>
  </si>
  <si>
    <t>CLA-011</t>
  </si>
  <si>
    <t>CLA-012</t>
  </si>
  <si>
    <t>CLA-013</t>
  </si>
  <si>
    <t>CLB-015</t>
  </si>
  <si>
    <t>CLB-016</t>
  </si>
  <si>
    <t>CLB-018A</t>
  </si>
  <si>
    <t>CLB-020</t>
  </si>
  <si>
    <t>CLB-021</t>
  </si>
  <si>
    <t>CLB-023A</t>
  </si>
  <si>
    <t>CLB-023B</t>
  </si>
  <si>
    <t>CLC-024/025</t>
  </si>
  <si>
    <t>CLC-026/028</t>
  </si>
  <si>
    <t>CLC-029</t>
  </si>
  <si>
    <t>CLC-030/031</t>
  </si>
  <si>
    <t>CLC-032</t>
  </si>
  <si>
    <t>CLC-033</t>
  </si>
  <si>
    <t>CLC-034</t>
  </si>
  <si>
    <t>CLC-035/036</t>
  </si>
  <si>
    <t>CLC-037</t>
  </si>
  <si>
    <t>CLC-038</t>
  </si>
  <si>
    <t>CLC-039</t>
  </si>
  <si>
    <t>CLC-040A</t>
  </si>
  <si>
    <t>CLC-041/042</t>
  </si>
  <si>
    <t>CLC-043</t>
  </si>
  <si>
    <t>CLC-044</t>
  </si>
  <si>
    <t>CLC-045</t>
  </si>
  <si>
    <t>CLC-045 LIGHT</t>
  </si>
  <si>
    <t>CLC-047</t>
  </si>
  <si>
    <t>CLC-048</t>
  </si>
  <si>
    <t>CLC-048 LIGHT</t>
  </si>
  <si>
    <t>CLC-049</t>
  </si>
  <si>
    <t>CLC-050</t>
  </si>
  <si>
    <t>CLC-051</t>
  </si>
  <si>
    <t>CLC-052</t>
  </si>
  <si>
    <t>CLC-053</t>
  </si>
  <si>
    <t>CLC-054</t>
  </si>
  <si>
    <t>CLC-055</t>
  </si>
  <si>
    <t>CLC-056</t>
  </si>
  <si>
    <t>CLC-057</t>
  </si>
  <si>
    <t>CLC-058</t>
  </si>
  <si>
    <t>CLC-060</t>
  </si>
  <si>
    <t>CLC-061</t>
  </si>
  <si>
    <t>CLC-062</t>
  </si>
  <si>
    <t>CL-CLFD</t>
  </si>
  <si>
    <t>transition zone</t>
  </si>
  <si>
    <t>saprolith</t>
  </si>
  <si>
    <t>Str1/10</t>
  </si>
  <si>
    <t>Strata1</t>
  </si>
  <si>
    <t>Str1/8</t>
  </si>
  <si>
    <t>"Ferricrete"</t>
  </si>
  <si>
    <t>"Laterite"</t>
  </si>
  <si>
    <t>"Fe-poor mottled"</t>
  </si>
  <si>
    <t>"Fe-rich mottled"</t>
  </si>
  <si>
    <t>Str1/6Bb</t>
  </si>
  <si>
    <t>Str1/6A</t>
  </si>
  <si>
    <t>Str1/3</t>
  </si>
  <si>
    <t>Str1/1</t>
  </si>
  <si>
    <t>Str/128.12</t>
  </si>
  <si>
    <t>"pallid"</t>
  </si>
  <si>
    <t>"slightly altered"</t>
  </si>
  <si>
    <t>11ps9716-HA-M</t>
  </si>
  <si>
    <t>11ps9716-MA-M</t>
  </si>
  <si>
    <t>10lo1107D</t>
  </si>
  <si>
    <t>11ps9705‐S345</t>
  </si>
  <si>
    <t>10lo1107C</t>
  </si>
  <si>
    <t>11ps9703-MA-M</t>
  </si>
  <si>
    <t>11ps9726</t>
  </si>
  <si>
    <t>FF021A-001</t>
  </si>
  <si>
    <t>FF021-FB2</t>
  </si>
  <si>
    <t>FF021-FB1</t>
  </si>
  <si>
    <t>FF021A-002</t>
  </si>
  <si>
    <t>FF021A-003</t>
  </si>
  <si>
    <t>FF021A-005</t>
  </si>
  <si>
    <t>FF021A-007</t>
  </si>
  <si>
    <t>FF021A-009</t>
  </si>
  <si>
    <t>FF021A-010</t>
  </si>
  <si>
    <t>FF021A-011</t>
  </si>
  <si>
    <t>FF021A-014</t>
  </si>
  <si>
    <t>FF021A-016/017</t>
  </si>
  <si>
    <t>FF021A-018</t>
  </si>
  <si>
    <t>FF021A-020</t>
  </si>
  <si>
    <t>FF021A-023</t>
  </si>
  <si>
    <t>FF021A-027</t>
  </si>
  <si>
    <t>FF021A-030</t>
  </si>
  <si>
    <t>FF021A-035</t>
  </si>
  <si>
    <t>FF021A-037</t>
  </si>
  <si>
    <t>FF021B-039</t>
  </si>
  <si>
    <t>FF021B-043</t>
  </si>
  <si>
    <t>FF021B-046</t>
  </si>
  <si>
    <t>FF021B-049</t>
  </si>
  <si>
    <t>FF021B-052</t>
  </si>
  <si>
    <t>FF021B-054/055</t>
  </si>
  <si>
    <t>FF021B-057</t>
  </si>
  <si>
    <t>FF021B-058</t>
  </si>
  <si>
    <t>FF021B-059</t>
  </si>
  <si>
    <t>FF021B-061</t>
  </si>
  <si>
    <t>FF021B-062</t>
  </si>
  <si>
    <t>FF021B-063/064</t>
  </si>
  <si>
    <t>FF021B-065</t>
  </si>
  <si>
    <t>FF021B-067</t>
  </si>
  <si>
    <t>FF021C-071</t>
  </si>
  <si>
    <t>FF021C-072B</t>
  </si>
  <si>
    <t>FF021C-074</t>
  </si>
  <si>
    <t>FF021C-076</t>
  </si>
  <si>
    <t>FF021C-077</t>
  </si>
  <si>
    <t>FF021C-079</t>
  </si>
  <si>
    <t>FF021C-080</t>
  </si>
  <si>
    <t>FF021C-081</t>
  </si>
  <si>
    <t>FF021C-082/083</t>
  </si>
  <si>
    <t>FF021C-084</t>
  </si>
  <si>
    <t>FF021C-085/086</t>
  </si>
  <si>
    <t>FF021C-088/089</t>
  </si>
  <si>
    <t>FF021C-090</t>
  </si>
  <si>
    <t>FF021C-092</t>
  </si>
  <si>
    <t>FF021C-095</t>
  </si>
  <si>
    <t>FF021C-098M</t>
  </si>
  <si>
    <t>FF021C-098G</t>
  </si>
  <si>
    <t>FF021C-101</t>
  </si>
  <si>
    <t>FF021D-102</t>
  </si>
  <si>
    <t>FF021D-103</t>
  </si>
  <si>
    <t>FF021D-104</t>
  </si>
  <si>
    <t>FF021D-106</t>
  </si>
  <si>
    <t>FF021D-108</t>
  </si>
  <si>
    <t>FF021E-110</t>
  </si>
  <si>
    <t>FF021E-113</t>
  </si>
  <si>
    <t>FF021E-116</t>
  </si>
  <si>
    <t>FF021E-120</t>
  </si>
  <si>
    <t>FF021E-121</t>
  </si>
  <si>
    <t>FF021F-LWB</t>
  </si>
  <si>
    <t>FF021H-LWB</t>
  </si>
  <si>
    <t>"least-weathered basalt"</t>
  </si>
  <si>
    <t>mineral band</t>
  </si>
  <si>
    <t>corestone</t>
  </si>
  <si>
    <t>Rb (ppm)</t>
  </si>
  <si>
    <t>"oxidized zone"</t>
  </si>
  <si>
    <t>"transition zone"</t>
  </si>
  <si>
    <t>TR6</t>
  </si>
  <si>
    <t>TR7</t>
  </si>
  <si>
    <t>TR8</t>
  </si>
  <si>
    <t>TR3</t>
  </si>
  <si>
    <t>TR4</t>
  </si>
  <si>
    <t>TR5</t>
  </si>
  <si>
    <t>TR2</t>
  </si>
  <si>
    <t>TR1</t>
  </si>
  <si>
    <t>S1-1</t>
  </si>
  <si>
    <t>S1-8</t>
  </si>
  <si>
    <t>S1-3</t>
  </si>
  <si>
    <t>S1-7</t>
  </si>
  <si>
    <t>S1-5</t>
  </si>
  <si>
    <t>S1-2</t>
  </si>
  <si>
    <t>S1-6</t>
  </si>
  <si>
    <t>S1-4</t>
  </si>
  <si>
    <t>S2-1</t>
  </si>
  <si>
    <t>S2-2</t>
  </si>
  <si>
    <t>S2-3</t>
  </si>
  <si>
    <t>S2-4</t>
  </si>
  <si>
    <t>S2-5</t>
  </si>
  <si>
    <t>S2-6</t>
  </si>
  <si>
    <t>S2-7</t>
  </si>
  <si>
    <t>S2-8</t>
  </si>
  <si>
    <t>S2-12</t>
  </si>
  <si>
    <t>T-1</t>
  </si>
  <si>
    <t>T-2</t>
  </si>
  <si>
    <t>T-3</t>
  </si>
  <si>
    <t>T-4</t>
  </si>
  <si>
    <t>T-5</t>
  </si>
  <si>
    <t>T-6</t>
  </si>
  <si>
    <t>T-7</t>
  </si>
  <si>
    <t>T-8</t>
  </si>
  <si>
    <t>T-9</t>
  </si>
  <si>
    <t>T-10</t>
  </si>
  <si>
    <t>T-11</t>
  </si>
  <si>
    <t>T-12</t>
  </si>
  <si>
    <t>"plasmic"</t>
  </si>
  <si>
    <t>ep898 5"</t>
  </si>
  <si>
    <t>ep899</t>
  </si>
  <si>
    <t>ep900</t>
  </si>
  <si>
    <t>ep901</t>
  </si>
  <si>
    <t>ep902</t>
  </si>
  <si>
    <t>ep903</t>
  </si>
  <si>
    <t>ep904</t>
  </si>
  <si>
    <t>ep905</t>
  </si>
  <si>
    <t>ep906</t>
  </si>
  <si>
    <t>ep907</t>
  </si>
  <si>
    <t>ep908pal</t>
  </si>
  <si>
    <t>ep908sap</t>
  </si>
  <si>
    <t>ep909</t>
  </si>
  <si>
    <t>ep910.5</t>
  </si>
  <si>
    <t>ep911.5</t>
  </si>
  <si>
    <t>ep912 1.5"</t>
  </si>
  <si>
    <t>ep913</t>
  </si>
  <si>
    <t>ep1000</t>
  </si>
  <si>
    <t>05-103</t>
  </si>
  <si>
    <t>05-104</t>
  </si>
  <si>
    <t>05-105</t>
  </si>
  <si>
    <t>05-107</t>
  </si>
  <si>
    <t>05-109</t>
  </si>
  <si>
    <t>05-110</t>
  </si>
  <si>
    <t>05-111</t>
  </si>
  <si>
    <t>05-112</t>
  </si>
  <si>
    <t>05-113</t>
  </si>
  <si>
    <t>05-114</t>
  </si>
  <si>
    <t>P2d</t>
  </si>
  <si>
    <t>P2c</t>
  </si>
  <si>
    <t>P2b</t>
  </si>
  <si>
    <t>P2a</t>
  </si>
  <si>
    <t>B2</t>
  </si>
  <si>
    <t>"red horizon"</t>
  </si>
  <si>
    <t>"grayish horizon"</t>
  </si>
  <si>
    <t>gray saprolite</t>
  </si>
  <si>
    <t>red saprolite</t>
  </si>
  <si>
    <t>Data from Babechuk et al. (2014). "Quantifying chemical weathering intensity and trace element release from two contrasting basalt profiles, Deccan Traps, India." Chemical Geology</t>
  </si>
  <si>
    <t>laterite</t>
  </si>
  <si>
    <t>Bidar</t>
  </si>
  <si>
    <t>ΔAl/Ti</t>
  </si>
  <si>
    <t>Expected ΔAl/Ti</t>
  </si>
  <si>
    <t>ΔMg/Ti</t>
  </si>
  <si>
    <t>ΔCa/Ti</t>
  </si>
  <si>
    <t>ΔCr/Ti</t>
  </si>
  <si>
    <t>ΔTh/Ti</t>
  </si>
  <si>
    <t>ΔZr/Ti</t>
  </si>
  <si>
    <t>ΔCr/Th</t>
  </si>
  <si>
    <t>PG17</t>
  </si>
  <si>
    <t>PG18</t>
  </si>
  <si>
    <t>PG12</t>
  </si>
  <si>
    <t>PG19</t>
  </si>
  <si>
    <t>PG11</t>
  </si>
  <si>
    <t>PG20</t>
  </si>
  <si>
    <t>PG21</t>
  </si>
  <si>
    <t>PG22</t>
  </si>
  <si>
    <t>PG23</t>
  </si>
  <si>
    <t>PG24</t>
  </si>
  <si>
    <t>PG25</t>
  </si>
  <si>
    <t>PG3</t>
  </si>
  <si>
    <t>PG4</t>
  </si>
  <si>
    <t>PG7</t>
  </si>
  <si>
    <t>PG5</t>
  </si>
  <si>
    <t>PG8</t>
  </si>
  <si>
    <t>PG6</t>
  </si>
  <si>
    <t>PG9</t>
  </si>
  <si>
    <t>PG10</t>
  </si>
  <si>
    <t>PG13</t>
  </si>
  <si>
    <t>LR-14</t>
  </si>
  <si>
    <t>LR-10</t>
  </si>
  <si>
    <t>LR-11</t>
  </si>
  <si>
    <t>LR-13</t>
  </si>
  <si>
    <t>LR-12</t>
  </si>
  <si>
    <t>LR-9</t>
  </si>
  <si>
    <t>LR-8</t>
  </si>
  <si>
    <t>LR-7</t>
  </si>
  <si>
    <t>LR-6</t>
  </si>
  <si>
    <t>LR-5</t>
  </si>
  <si>
    <t>LR-4</t>
  </si>
  <si>
    <t>LR-3</t>
  </si>
  <si>
    <t>LR-2</t>
  </si>
  <si>
    <t>LR-1</t>
  </si>
  <si>
    <t>W1</t>
  </si>
  <si>
    <t>C1</t>
  </si>
  <si>
    <t>W2</t>
  </si>
  <si>
    <t>W3</t>
  </si>
  <si>
    <t>C2</t>
  </si>
  <si>
    <t>W4</t>
  </si>
  <si>
    <t>C3</t>
  </si>
  <si>
    <t>W5</t>
  </si>
  <si>
    <t>C4</t>
  </si>
  <si>
    <t>W6</t>
  </si>
  <si>
    <t>C5</t>
  </si>
  <si>
    <t>W7</t>
  </si>
  <si>
    <t>W8</t>
  </si>
  <si>
    <t>C6</t>
  </si>
  <si>
    <t>W9</t>
  </si>
  <si>
    <t>W10</t>
  </si>
  <si>
    <t>W11</t>
  </si>
  <si>
    <t>C7</t>
  </si>
  <si>
    <t>W12</t>
  </si>
  <si>
    <t>C8</t>
  </si>
  <si>
    <t>W13</t>
  </si>
  <si>
    <t>W14</t>
  </si>
  <si>
    <t>Rb (ng/g)</t>
  </si>
  <si>
    <t>Anova: Single Factor</t>
  </si>
  <si>
    <t>SUMMARY</t>
  </si>
  <si>
    <t>Groups</t>
  </si>
  <si>
    <t>Count</t>
  </si>
  <si>
    <t>Sum</t>
  </si>
  <si>
    <t>Average</t>
  </si>
  <si>
    <t>Variance</t>
  </si>
  <si>
    <t>Column 1</t>
  </si>
  <si>
    <t>Column 2</t>
  </si>
  <si>
    <t>Column 3</t>
  </si>
  <si>
    <t>ANOVA</t>
  </si>
  <si>
    <t>Source of Variation</t>
  </si>
  <si>
    <t>SS</t>
  </si>
  <si>
    <t>df</t>
  </si>
  <si>
    <t>MS</t>
  </si>
  <si>
    <t>F</t>
  </si>
  <si>
    <t>P-value</t>
  </si>
  <si>
    <t>F crit</t>
  </si>
  <si>
    <t>Between Groups</t>
  </si>
  <si>
    <t>Within Groups</t>
  </si>
  <si>
    <t>New data from XRF</t>
  </si>
  <si>
    <t>SF5 P89-0</t>
  </si>
  <si>
    <t>SF5 P90-0.5</t>
  </si>
  <si>
    <t>SF5 P91-1</t>
  </si>
  <si>
    <t>SF5 P92-1.5</t>
  </si>
  <si>
    <t>SF5 P93-2</t>
  </si>
  <si>
    <t>SF5 P94-2.5</t>
  </si>
  <si>
    <t>SF5 P95-3</t>
  </si>
  <si>
    <t>SF5 P96-3.5</t>
  </si>
  <si>
    <t>SF5 P97-4</t>
  </si>
  <si>
    <t>SF5 P98-5</t>
  </si>
  <si>
    <t>SF5 P99-6</t>
  </si>
  <si>
    <t>SF5 P100-7</t>
  </si>
  <si>
    <t>SF5 P104-12</t>
  </si>
  <si>
    <t>SF5 P105-13</t>
  </si>
  <si>
    <t>15,20</t>
  </si>
  <si>
    <t>SF5 P106-15, SF5 P107-20</t>
  </si>
  <si>
    <t>St. Francois Mtns</t>
  </si>
  <si>
    <t>Beaty, B.J., and Planavsky, N.J., 2020, A 3 b.y. record of a biotic influence on terrestrial weathering: Geology, v. 49, https://doi.org/10.1130/G47986.1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</si>
</sst>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
  </numFmts>
  <fonts count="25">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name val="Calibri"/>
      <family val="2"/>
      <scheme val="minor"/>
    </font>
    <font>
      <i/>
      <sz val="11"/>
      <color theme="1"/>
      <name val="Calibri"/>
      <family val="2"/>
      <scheme val="minor"/>
    </font>
    <font>
      <sz val="10"/>
      <name val="Arial"/>
      <family val="2"/>
    </font>
    <font>
      <b/>
      <sz val="10"/>
      <name val="Arial"/>
      <family val="2"/>
    </font>
    <font>
      <sz val="11"/>
      <color rgb="FFFF0000"/>
      <name val="Calibri"/>
      <family val="2"/>
      <scheme val="minor"/>
    </font>
    <font>
      <sz val="10"/>
      <name val="Verdana"/>
      <family val="2"/>
    </font>
    <font>
      <sz val="11"/>
      <name val="Geneva"/>
    </font>
    <font>
      <sz val="10"/>
      <name val="Verdana"/>
      <family val="2"/>
    </font>
    <font>
      <sz val="11"/>
      <name val="Arial"/>
      <family val="2"/>
    </font>
    <font>
      <sz val="10"/>
      <color theme="1"/>
      <name val="Arial"/>
      <family val="2"/>
    </font>
    <font>
      <sz val="8"/>
      <color rgb="FF000000"/>
      <name val="Times New Roman"/>
      <family val="1"/>
    </font>
    <font>
      <sz val="10"/>
      <color rgb="FF000000"/>
      <name val="Arial"/>
      <family val="2"/>
    </font>
    <font>
      <sz val="11"/>
      <color rgb="FF000000"/>
      <name val="Calibri"/>
      <family val="2"/>
      <scheme val="minor"/>
    </font>
    <font>
      <sz val="9"/>
      <color indexed="81"/>
      <name val="Tahoma"/>
      <family val="2"/>
    </font>
    <font>
      <b/>
      <sz val="9"/>
      <color indexed="81"/>
      <name val="Tahoma"/>
      <family val="2"/>
    </font>
    <font>
      <sz val="11"/>
      <color rgb="FF000000"/>
      <name val="Calibri"/>
      <family val="2"/>
    </font>
    <font>
      <sz val="11"/>
      <color theme="2" tint="-0.249977111117893"/>
      <name val="Calibri"/>
      <family val="2"/>
    </font>
    <font>
      <i/>
      <sz val="9"/>
      <color indexed="81"/>
      <name val="Tahoma"/>
      <family val="2"/>
    </font>
    <font>
      <sz val="8"/>
      <name val="Calibri"/>
      <family val="2"/>
      <scheme val="minor"/>
    </font>
    <font>
      <b/>
      <sz val="11"/>
      <color theme="1"/>
      <name val="Calibri"/>
      <family val="2"/>
    </font>
    <font>
      <sz val="10"/>
      <color rgb="FFFF0000"/>
      <name val="Arial"/>
      <family val="2"/>
    </font>
  </fonts>
  <fills count="8">
    <fill>
      <patternFill patternType="none"/>
    </fill>
    <fill>
      <patternFill patternType="gray125"/>
    </fill>
    <fill>
      <patternFill patternType="solid">
        <fgColor them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s>
  <borders count="4">
    <border>
      <left/>
      <right/>
      <top/>
      <bottom/>
      <diagonal/>
    </border>
    <border>
      <left/>
      <right/>
      <top/>
      <bottom style="thin">
        <color indexed="64"/>
      </bottom>
      <diagonal/>
    </border>
    <border>
      <left/>
      <right/>
      <top/>
      <bottom style="medium">
        <color indexed="64"/>
      </bottom>
      <diagonal/>
    </border>
    <border>
      <left/>
      <right/>
      <top style="medium">
        <color indexed="64"/>
      </top>
      <bottom style="thin">
        <color indexed="64"/>
      </bottom>
      <diagonal/>
    </border>
  </borders>
  <cellStyleXfs count="7">
    <xf numFmtId="0" fontId="0" fillId="0" borderId="0"/>
    <xf numFmtId="0" fontId="3" fillId="0" borderId="0"/>
    <xf numFmtId="0" fontId="3" fillId="0" borderId="0"/>
    <xf numFmtId="0" fontId="1" fillId="0" borderId="0"/>
    <xf numFmtId="0" fontId="6" fillId="0" borderId="0"/>
    <xf numFmtId="0" fontId="9" fillId="0" borderId="0"/>
    <xf numFmtId="0" fontId="11" fillId="0" borderId="0"/>
  </cellStyleXfs>
  <cellXfs count="108">
    <xf numFmtId="0" fontId="0" fillId="0" borderId="0" xfId="0"/>
    <xf numFmtId="0" fontId="2" fillId="0" borderId="0" xfId="0" applyFont="1"/>
    <xf numFmtId="0" fontId="0" fillId="2" borderId="0" xfId="0" applyFill="1"/>
    <xf numFmtId="0" fontId="0" fillId="0" borderId="0" xfId="0" applyFill="1"/>
    <xf numFmtId="0" fontId="0" fillId="2" borderId="0" xfId="0" applyNumberFormat="1" applyFill="1"/>
    <xf numFmtId="0" fontId="0" fillId="0" borderId="0" xfId="0" applyNumberFormat="1"/>
    <xf numFmtId="0" fontId="0" fillId="0" borderId="0" xfId="0"/>
    <xf numFmtId="0" fontId="0" fillId="3" borderId="0" xfId="0" applyFill="1"/>
    <xf numFmtId="0" fontId="0" fillId="4" borderId="0" xfId="0" applyFill="1"/>
    <xf numFmtId="0" fontId="2" fillId="0" borderId="0" xfId="0" applyFont="1" applyAlignment="1"/>
    <xf numFmtId="0" fontId="0" fillId="0" borderId="0" xfId="0" applyAlignment="1"/>
    <xf numFmtId="164" fontId="7" fillId="0" borderId="0" xfId="4" applyNumberFormat="1" applyFont="1"/>
    <xf numFmtId="164" fontId="6" fillId="0" borderId="0" xfId="4" applyNumberFormat="1"/>
    <xf numFmtId="164" fontId="6" fillId="0" borderId="0" xfId="4" applyNumberFormat="1"/>
    <xf numFmtId="164" fontId="6" fillId="0" borderId="0" xfId="4" applyNumberFormat="1"/>
    <xf numFmtId="0" fontId="8" fillId="0" borderId="0" xfId="0" applyFont="1"/>
    <xf numFmtId="0" fontId="0" fillId="3" borderId="0" xfId="0" applyNumberFormat="1" applyFill="1"/>
    <xf numFmtId="164" fontId="3" fillId="0" borderId="0" xfId="4" applyNumberFormat="1" applyFont="1" applyFill="1"/>
    <xf numFmtId="164" fontId="6" fillId="0" borderId="0" xfId="4" applyNumberFormat="1" applyFill="1"/>
    <xf numFmtId="0" fontId="2" fillId="0" borderId="0" xfId="0" applyNumberFormat="1" applyFont="1"/>
    <xf numFmtId="0" fontId="6" fillId="0" borderId="0" xfId="4" applyNumberFormat="1"/>
    <xf numFmtId="0" fontId="0" fillId="0" borderId="0" xfId="0" applyNumberFormat="1" applyFont="1" applyBorder="1" applyAlignment="1">
      <alignment horizontal="right" vertical="top"/>
    </xf>
    <xf numFmtId="0" fontId="4" fillId="0" borderId="0" xfId="0" applyNumberFormat="1" applyFont="1" applyBorder="1" applyAlignment="1">
      <alignment horizontal="right" vertical="top"/>
    </xf>
    <xf numFmtId="0" fontId="4" fillId="2" borderId="0" xfId="0" applyNumberFormat="1" applyFont="1" applyFill="1" applyBorder="1" applyAlignment="1">
      <alignment horizontal="right" vertical="top"/>
    </xf>
    <xf numFmtId="0" fontId="4" fillId="0" borderId="0" xfId="0" applyFont="1"/>
    <xf numFmtId="0" fontId="10" fillId="0" borderId="0" xfId="5" applyFont="1" applyAlignment="1">
      <alignment horizontal="center"/>
    </xf>
    <xf numFmtId="2" fontId="10" fillId="0" borderId="0" xfId="5" applyNumberFormat="1" applyFont="1" applyAlignment="1">
      <alignment horizontal="center"/>
    </xf>
    <xf numFmtId="2" fontId="10" fillId="0" borderId="0" xfId="5" applyNumberFormat="1" applyFont="1" applyFill="1" applyBorder="1" applyAlignment="1">
      <alignment horizontal="center"/>
    </xf>
    <xf numFmtId="0" fontId="10" fillId="0" borderId="0" xfId="5" applyFont="1" applyFill="1" applyAlignment="1">
      <alignment horizontal="center"/>
    </xf>
    <xf numFmtId="0" fontId="10" fillId="2" borderId="0" xfId="5" applyFont="1" applyFill="1" applyAlignment="1">
      <alignment horizontal="center"/>
    </xf>
    <xf numFmtId="2" fontId="10" fillId="2" borderId="0" xfId="5" applyNumberFormat="1" applyFont="1" applyFill="1" applyAlignment="1">
      <alignment horizontal="center"/>
    </xf>
    <xf numFmtId="0" fontId="10" fillId="2" borderId="0" xfId="6" applyFont="1" applyFill="1" applyAlignment="1">
      <alignment horizontal="center"/>
    </xf>
    <xf numFmtId="2" fontId="12" fillId="0" borderId="0" xfId="6" applyNumberFormat="1" applyFont="1" applyAlignment="1">
      <alignment horizontal="center"/>
    </xf>
    <xf numFmtId="0" fontId="10" fillId="0" borderId="0" xfId="6" applyFont="1" applyAlignment="1">
      <alignment horizontal="center"/>
    </xf>
    <xf numFmtId="2" fontId="10" fillId="0" borderId="0" xfId="6" applyNumberFormat="1" applyFont="1" applyAlignment="1">
      <alignment horizontal="center"/>
    </xf>
    <xf numFmtId="2" fontId="10" fillId="2" borderId="0" xfId="6" applyNumberFormat="1" applyFont="1" applyFill="1" applyAlignment="1">
      <alignment horizontal="center"/>
    </xf>
    <xf numFmtId="2" fontId="12" fillId="2" borderId="0" xfId="6" applyNumberFormat="1" applyFont="1" applyFill="1" applyAlignment="1">
      <alignment horizontal="center"/>
    </xf>
    <xf numFmtId="0" fontId="0" fillId="5" borderId="0" xfId="0" applyFill="1"/>
    <xf numFmtId="0" fontId="0" fillId="6" borderId="0" xfId="0" applyFill="1"/>
    <xf numFmtId="0" fontId="2" fillId="0" borderId="0" xfId="0" applyFont="1" applyAlignment="1">
      <alignment horizontal="right"/>
    </xf>
    <xf numFmtId="164" fontId="3" fillId="2" borderId="0" xfId="4" applyNumberFormat="1" applyFont="1" applyFill="1"/>
    <xf numFmtId="164" fontId="6" fillId="2" borderId="0" xfId="4" applyNumberFormat="1" applyFill="1"/>
    <xf numFmtId="0" fontId="6" fillId="2" borderId="0" xfId="4" applyNumberFormat="1" applyFill="1"/>
    <xf numFmtId="0" fontId="13" fillId="0" borderId="0" xfId="0" applyFont="1" applyAlignment="1">
      <alignment horizontal="right" vertical="center"/>
    </xf>
    <xf numFmtId="0" fontId="13" fillId="2" borderId="0" xfId="0" applyFont="1" applyFill="1" applyAlignment="1">
      <alignment horizontal="right" vertical="center"/>
    </xf>
    <xf numFmtId="0" fontId="3" fillId="0" borderId="0" xfId="4" applyNumberFormat="1" applyFont="1" applyFill="1" applyBorder="1"/>
    <xf numFmtId="0" fontId="3" fillId="2" borderId="0" xfId="4" applyNumberFormat="1" applyFont="1" applyFill="1"/>
    <xf numFmtId="0" fontId="14" fillId="0" borderId="0" xfId="0" applyFont="1" applyAlignment="1">
      <alignment horizontal="center" vertical="center"/>
    </xf>
    <xf numFmtId="2" fontId="15" fillId="0" borderId="0" xfId="0" applyNumberFormat="1" applyFont="1" applyAlignment="1"/>
    <xf numFmtId="2" fontId="0" fillId="2" borderId="0" xfId="0" applyNumberFormat="1" applyFill="1" applyAlignment="1"/>
    <xf numFmtId="2" fontId="15" fillId="0" borderId="0" xfId="0" applyNumberFormat="1" applyFont="1" applyAlignment="1">
      <alignment horizontal="right" vertical="center"/>
    </xf>
    <xf numFmtId="2" fontId="0" fillId="2" borderId="0" xfId="0" applyNumberFormat="1" applyFill="1"/>
    <xf numFmtId="2" fontId="0" fillId="0" borderId="0" xfId="0" applyNumberFormat="1"/>
    <xf numFmtId="0" fontId="8" fillId="0" borderId="0" xfId="0" applyFont="1" applyFill="1"/>
    <xf numFmtId="2" fontId="0" fillId="0" borderId="0" xfId="0" applyNumberFormat="1" applyFill="1"/>
    <xf numFmtId="0" fontId="2" fillId="2" borderId="0" xfId="0" applyFont="1" applyFill="1" applyAlignment="1">
      <alignment horizontal="right"/>
    </xf>
    <xf numFmtId="0" fontId="15" fillId="0" borderId="0" xfId="0" applyFont="1" applyAlignment="1">
      <alignment horizontal="right"/>
    </xf>
    <xf numFmtId="0" fontId="15" fillId="2" borderId="0" xfId="0" applyFont="1" applyFill="1" applyAlignment="1">
      <alignment horizontal="right"/>
    </xf>
    <xf numFmtId="1" fontId="16" fillId="0" borderId="0" xfId="0" applyNumberFormat="1" applyFont="1" applyAlignment="1">
      <alignment horizontal="right" wrapText="1"/>
    </xf>
    <xf numFmtId="1" fontId="16" fillId="2" borderId="0" xfId="0" applyNumberFormat="1" applyFont="1" applyFill="1" applyAlignment="1">
      <alignment horizontal="right" wrapText="1"/>
    </xf>
    <xf numFmtId="0" fontId="16" fillId="0" borderId="0" xfId="0" applyFont="1" applyAlignment="1">
      <alignment horizontal="right" wrapText="1"/>
    </xf>
    <xf numFmtId="0" fontId="16" fillId="2" borderId="0" xfId="0" applyFont="1" applyFill="1" applyAlignment="1">
      <alignment horizontal="right" wrapText="1"/>
    </xf>
    <xf numFmtId="165" fontId="16" fillId="0" borderId="0" xfId="0" applyNumberFormat="1" applyFont="1" applyAlignment="1">
      <alignment horizontal="right" wrapText="1"/>
    </xf>
    <xf numFmtId="165" fontId="16" fillId="2" borderId="0" xfId="0" applyNumberFormat="1" applyFont="1" applyFill="1" applyAlignment="1">
      <alignment horizontal="right" wrapText="1"/>
    </xf>
    <xf numFmtId="0" fontId="2" fillId="0" borderId="0" xfId="0" applyFont="1" applyAlignment="1">
      <alignment horizontal="center"/>
    </xf>
    <xf numFmtId="0" fontId="2" fillId="0" borderId="0" xfId="0" applyFont="1" applyAlignment="1">
      <alignment horizontal="center"/>
    </xf>
    <xf numFmtId="0" fontId="2" fillId="0" borderId="0" xfId="0" applyFont="1" applyFill="1"/>
    <xf numFmtId="0" fontId="2" fillId="0" borderId="0" xfId="0" applyFont="1" applyFill="1" applyAlignment="1">
      <alignment horizontal="right"/>
    </xf>
    <xf numFmtId="0" fontId="0" fillId="0" borderId="0" xfId="0" applyFont="1"/>
    <xf numFmtId="0" fontId="0" fillId="0" borderId="0" xfId="0" applyFill="1" applyBorder="1"/>
    <xf numFmtId="0" fontId="2" fillId="0" borderId="0" xfId="0" applyFont="1" applyFill="1" applyBorder="1" applyAlignment="1">
      <alignment horizontal="right"/>
    </xf>
    <xf numFmtId="0" fontId="0" fillId="0" borderId="1" xfId="0" applyFill="1" applyBorder="1"/>
    <xf numFmtId="0" fontId="0" fillId="6" borderId="0" xfId="0" applyFont="1" applyFill="1"/>
    <xf numFmtId="0" fontId="0" fillId="7" borderId="0" xfId="0" applyFont="1" applyFill="1"/>
    <xf numFmtId="0" fontId="0" fillId="5" borderId="0" xfId="0" applyFont="1" applyFill="1"/>
    <xf numFmtId="0" fontId="0" fillId="0" borderId="0" xfId="0" applyFill="1" applyBorder="1" applyAlignment="1"/>
    <xf numFmtId="0" fontId="0" fillId="0" borderId="2" xfId="0" applyFill="1" applyBorder="1" applyAlignment="1"/>
    <xf numFmtId="0" fontId="5" fillId="0" borderId="3" xfId="0" applyFont="1" applyFill="1" applyBorder="1" applyAlignment="1">
      <alignment horizontal="center"/>
    </xf>
    <xf numFmtId="0" fontId="0" fillId="0" borderId="0" xfId="0" applyBorder="1"/>
    <xf numFmtId="2" fontId="3" fillId="0" borderId="0" xfId="4" applyNumberFormat="1" applyFont="1" applyFill="1" applyBorder="1"/>
    <xf numFmtId="0" fontId="0" fillId="0" borderId="0" xfId="0" applyFont="1" applyFill="1"/>
    <xf numFmtId="0" fontId="2" fillId="0" borderId="1" xfId="0" applyFont="1" applyBorder="1" applyAlignment="1">
      <alignment horizontal="left"/>
    </xf>
    <xf numFmtId="0" fontId="19" fillId="0" borderId="0" xfId="0" applyFont="1" applyAlignment="1">
      <alignment wrapText="1"/>
    </xf>
    <xf numFmtId="0" fontId="19" fillId="0" borderId="0" xfId="0" applyFont="1" applyAlignment="1">
      <alignment horizontal="right" wrapText="1"/>
    </xf>
    <xf numFmtId="0" fontId="20" fillId="0" borderId="0" xfId="0" applyFont="1" applyAlignment="1">
      <alignment wrapText="1"/>
    </xf>
    <xf numFmtId="0" fontId="20" fillId="0" borderId="0" xfId="0" applyFont="1" applyAlignment="1">
      <alignment horizontal="right" wrapText="1"/>
    </xf>
    <xf numFmtId="0" fontId="2" fillId="0" borderId="1" xfId="0" applyFont="1" applyBorder="1" applyAlignment="1">
      <alignment horizontal="left"/>
    </xf>
    <xf numFmtId="0" fontId="2" fillId="0" borderId="0" xfId="0" applyFont="1" applyBorder="1" applyAlignment="1">
      <alignment horizontal="left"/>
    </xf>
    <xf numFmtId="0" fontId="0" fillId="0" borderId="0" xfId="0" applyNumberFormat="1" applyFont="1" applyBorder="1" applyAlignment="1">
      <alignment horizontal="right" vertical="center"/>
    </xf>
    <xf numFmtId="0" fontId="4" fillId="0" borderId="0" xfId="0" applyNumberFormat="1" applyFont="1" applyBorder="1" applyAlignment="1">
      <alignment horizontal="right"/>
    </xf>
    <xf numFmtId="0" fontId="4" fillId="2" borderId="0" xfId="0" applyNumberFormat="1" applyFont="1" applyFill="1" applyBorder="1" applyAlignment="1">
      <alignment horizontal="right"/>
    </xf>
    <xf numFmtId="0" fontId="2" fillId="0" borderId="1" xfId="0" applyFont="1" applyBorder="1" applyAlignment="1">
      <alignment horizontal="left"/>
    </xf>
    <xf numFmtId="0" fontId="2" fillId="0" borderId="1" xfId="0" applyFont="1" applyBorder="1" applyAlignment="1">
      <alignment horizontal="left"/>
    </xf>
    <xf numFmtId="164" fontId="0" fillId="2" borderId="0" xfId="0" applyNumberFormat="1" applyFill="1"/>
    <xf numFmtId="0" fontId="23" fillId="0" borderId="0" xfId="0" applyFont="1"/>
    <xf numFmtId="2" fontId="8" fillId="0" borderId="0" xfId="0" applyNumberFormat="1" applyFont="1"/>
    <xf numFmtId="2" fontId="24" fillId="0" borderId="0" xfId="4" applyNumberFormat="1" applyFont="1" applyFill="1" applyBorder="1"/>
    <xf numFmtId="0" fontId="24" fillId="0" borderId="0" xfId="0" applyFont="1" applyAlignment="1">
      <alignment horizontal="right" vertical="center"/>
    </xf>
    <xf numFmtId="0" fontId="2" fillId="0" borderId="1" xfId="0" applyFont="1" applyBorder="1" applyAlignment="1">
      <alignment horizontal="left"/>
    </xf>
    <xf numFmtId="0" fontId="0" fillId="2" borderId="0" xfId="0" applyFill="1" applyAlignment="1">
      <alignment vertical="top" wrapText="1"/>
    </xf>
    <xf numFmtId="0" fontId="0" fillId="2" borderId="0" xfId="0" applyFill="1" applyAlignment="1">
      <alignment vertical="top"/>
    </xf>
    <xf numFmtId="0" fontId="2" fillId="0" borderId="0" xfId="0" applyFont="1" applyAlignment="1">
      <alignment horizontal="center"/>
    </xf>
    <xf numFmtId="0" fontId="0" fillId="0" borderId="0" xfId="0" applyAlignment="1">
      <alignment horizontal="center"/>
    </xf>
    <xf numFmtId="0" fontId="2" fillId="7" borderId="0" xfId="0" applyFont="1" applyFill="1" applyAlignment="1">
      <alignment horizontal="center"/>
    </xf>
    <xf numFmtId="0" fontId="2" fillId="6" borderId="0" xfId="0" applyFont="1" applyFill="1" applyAlignment="1">
      <alignment horizontal="center"/>
    </xf>
    <xf numFmtId="0" fontId="2" fillId="0" borderId="0" xfId="0" applyFont="1" applyFill="1" applyAlignment="1">
      <alignment horizontal="center"/>
    </xf>
    <xf numFmtId="0" fontId="2" fillId="5" borderId="0" xfId="0" applyFont="1" applyFill="1" applyAlignment="1">
      <alignment horizontal="center"/>
    </xf>
    <xf numFmtId="0" fontId="2" fillId="0" borderId="1" xfId="0" applyFont="1" applyBorder="1" applyAlignment="1">
      <alignment horizontal="left"/>
    </xf>
  </cellXfs>
  <cellStyles count="7">
    <cellStyle name="Normal" xfId="0" builtinId="0"/>
    <cellStyle name="Normal 2" xfId="1"/>
    <cellStyle name="Normal 2 3 2" xfId="3"/>
    <cellStyle name="Normal 3" xfId="4"/>
    <cellStyle name="Normal 4" xfId="5"/>
    <cellStyle name="Normal 5" xfId="2"/>
    <cellStyle name="Normal 6" xfId="6"/>
  </cellStyles>
  <dxfs count="0"/>
  <tableStyles count="0" defaultTableStyle="TableStyleMedium2" defaultPivotStyle="PivotStyleLight16"/>
  <colors>
    <mruColors>
      <color rgb="FF5656BF"/>
      <color rgb="FF7373FF"/>
      <color rgb="FFFF7373"/>
      <color rgb="FFBF5656"/>
      <color rgb="FF000000"/>
      <color rgb="FF767171"/>
      <color rgb="FF282828"/>
      <color rgb="FF505050"/>
      <color rgb="FF5A5A5A"/>
      <color rgb="FF6464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9.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0.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1.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2.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3.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4.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5.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6.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7.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8.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69.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70.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1.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2.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3.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4.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5.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chemeClr val="tx1"/>
                </a:solidFill>
                <a:latin typeface="Arial" panose="020B0604020202020204" pitchFamily="34" charset="0"/>
                <a:ea typeface="Tahoma" panose="020B0604030504040204" pitchFamily="34" charset="0"/>
                <a:cs typeface="Arial" panose="020B0604020202020204" pitchFamily="34" charset="0"/>
              </a:rPr>
              <a:t>Basalt</a:t>
            </a:r>
          </a:p>
        </c:rich>
      </c:tx>
      <c:overlay val="0"/>
      <c:spPr>
        <a:noFill/>
        <a:ln>
          <a:noFill/>
        </a:ln>
        <a:effectLst/>
      </c:spPr>
    </c:title>
    <c:autoTitleDeleted val="0"/>
    <c:plotArea>
      <c:layout/>
      <c:barChart>
        <c:barDir val="col"/>
        <c:grouping val="clustered"/>
        <c:varyColors val="0"/>
        <c:ser>
          <c:idx val="0"/>
          <c:order val="0"/>
          <c:tx>
            <c:v>Basalt Al citrate</c:v>
          </c:tx>
          <c:spPr>
            <a:solidFill>
              <a:schemeClr val="accent1">
                <a:lumMod val="75000"/>
              </a:schemeClr>
            </a:solidFill>
            <a:ln>
              <a:noFill/>
            </a:ln>
            <a:effectLst/>
          </c:spPr>
          <c:invertIfNegative val="0"/>
          <c:val>
            <c:numRef>
              <c:f>'Experimental losses'!$E$5</c:f>
              <c:numCache>
                <c:formatCode>General</c:formatCode>
                <c:ptCount val="1"/>
                <c:pt idx="0">
                  <c:v>0.28999999999999998</c:v>
                </c:pt>
              </c:numCache>
            </c:numRef>
          </c:val>
          <c:extLst xmlns:c16r2="http://schemas.microsoft.com/office/drawing/2015/06/chart">
            <c:ext xmlns:c16="http://schemas.microsoft.com/office/drawing/2014/chart" uri="{C3380CC4-5D6E-409C-BE32-E72D297353CC}">
              <c16:uniqueId val="{00000003-0827-480A-B67C-DF42D8574F74}"/>
            </c:ext>
          </c:extLst>
        </c:ser>
        <c:ser>
          <c:idx val="1"/>
          <c:order val="1"/>
          <c:tx>
            <c:v>Basalt Al ligand free</c:v>
          </c:tx>
          <c:spPr>
            <a:solidFill>
              <a:schemeClr val="accent1">
                <a:lumMod val="60000"/>
                <a:lumOff val="40000"/>
              </a:schemeClr>
            </a:solidFill>
            <a:ln>
              <a:noFill/>
            </a:ln>
            <a:effectLst/>
          </c:spPr>
          <c:invertIfNegative val="0"/>
          <c:val>
            <c:numRef>
              <c:f>'Experimental losses'!$E$6</c:f>
              <c:numCache>
                <c:formatCode>General</c:formatCode>
                <c:ptCount val="1"/>
                <c:pt idx="0">
                  <c:v>3.2000000000000002E-3</c:v>
                </c:pt>
              </c:numCache>
            </c:numRef>
          </c:val>
          <c:extLst xmlns:c16r2="http://schemas.microsoft.com/office/drawing/2015/06/chart">
            <c:ext xmlns:c16="http://schemas.microsoft.com/office/drawing/2014/chart" uri="{C3380CC4-5D6E-409C-BE32-E72D297353CC}">
              <c16:uniqueId val="{00000004-0827-480A-B67C-DF42D8574F74}"/>
            </c:ext>
          </c:extLst>
        </c:ser>
        <c:ser>
          <c:idx val="2"/>
          <c:order val="2"/>
          <c:tx>
            <c:v>Basalt Ti citrate</c:v>
          </c:tx>
          <c:spPr>
            <a:solidFill>
              <a:schemeClr val="accent6">
                <a:lumMod val="75000"/>
              </a:schemeClr>
            </a:solidFill>
            <a:ln>
              <a:noFill/>
            </a:ln>
            <a:effectLst/>
          </c:spPr>
          <c:invertIfNegative val="0"/>
          <c:val>
            <c:numRef>
              <c:f>'Experimental losses'!$F$5</c:f>
              <c:numCache>
                <c:formatCode>General</c:formatCode>
                <c:ptCount val="1"/>
                <c:pt idx="0">
                  <c:v>0.14000000000000001</c:v>
                </c:pt>
              </c:numCache>
            </c:numRef>
          </c:val>
          <c:extLst xmlns:c16r2="http://schemas.microsoft.com/office/drawing/2015/06/chart">
            <c:ext xmlns:c16="http://schemas.microsoft.com/office/drawing/2014/chart" uri="{C3380CC4-5D6E-409C-BE32-E72D297353CC}">
              <c16:uniqueId val="{00000005-0827-480A-B67C-DF42D8574F74}"/>
            </c:ext>
          </c:extLst>
        </c:ser>
        <c:ser>
          <c:idx val="3"/>
          <c:order val="3"/>
          <c:tx>
            <c:v>Basalt Ti ligand free</c:v>
          </c:tx>
          <c:spPr>
            <a:solidFill>
              <a:schemeClr val="accent6">
                <a:lumMod val="60000"/>
                <a:lumOff val="40000"/>
              </a:schemeClr>
            </a:solidFill>
            <a:ln>
              <a:noFill/>
            </a:ln>
            <a:effectLst/>
          </c:spPr>
          <c:invertIfNegative val="0"/>
          <c:val>
            <c:numRef>
              <c:f>'Experimental losses'!$F$6</c:f>
              <c:numCache>
                <c:formatCode>General</c:formatCode>
                <c:ptCount val="1"/>
                <c:pt idx="0">
                  <c:v>4.3999999999999999E-5</c:v>
                </c:pt>
              </c:numCache>
            </c:numRef>
          </c:val>
          <c:extLst xmlns:c16r2="http://schemas.microsoft.com/office/drawing/2015/06/chart">
            <c:ext xmlns:c16="http://schemas.microsoft.com/office/drawing/2014/chart" uri="{C3380CC4-5D6E-409C-BE32-E72D297353CC}">
              <c16:uniqueId val="{00000006-0827-480A-B67C-DF42D8574F74}"/>
            </c:ext>
          </c:extLst>
        </c:ser>
        <c:ser>
          <c:idx val="4"/>
          <c:order val="4"/>
          <c:tx>
            <c:v>Basalt Mg citrate</c:v>
          </c:tx>
          <c:spPr>
            <a:solidFill>
              <a:schemeClr val="accent2">
                <a:lumMod val="75000"/>
              </a:schemeClr>
            </a:solidFill>
            <a:ln>
              <a:noFill/>
            </a:ln>
            <a:effectLst/>
          </c:spPr>
          <c:invertIfNegative val="0"/>
          <c:val>
            <c:numRef>
              <c:f>'Experimental losses'!$G$5</c:f>
              <c:numCache>
                <c:formatCode>General</c:formatCode>
                <c:ptCount val="1"/>
                <c:pt idx="0">
                  <c:v>2.2999999999999998</c:v>
                </c:pt>
              </c:numCache>
            </c:numRef>
          </c:val>
          <c:extLst xmlns:c16r2="http://schemas.microsoft.com/office/drawing/2015/06/chart">
            <c:ext xmlns:c16="http://schemas.microsoft.com/office/drawing/2014/chart" uri="{C3380CC4-5D6E-409C-BE32-E72D297353CC}">
              <c16:uniqueId val="{00000007-0827-480A-B67C-DF42D8574F74}"/>
            </c:ext>
          </c:extLst>
        </c:ser>
        <c:ser>
          <c:idx val="5"/>
          <c:order val="5"/>
          <c:tx>
            <c:v>Basalt Mg ligand free</c:v>
          </c:tx>
          <c:spPr>
            <a:solidFill>
              <a:schemeClr val="accent2">
                <a:lumMod val="60000"/>
                <a:lumOff val="40000"/>
              </a:schemeClr>
            </a:solidFill>
            <a:ln>
              <a:noFill/>
            </a:ln>
            <a:effectLst/>
          </c:spPr>
          <c:invertIfNegative val="0"/>
          <c:val>
            <c:numRef>
              <c:f>'Experimental losses'!$G$6</c:f>
              <c:numCache>
                <c:formatCode>General</c:formatCode>
                <c:ptCount val="1"/>
                <c:pt idx="0">
                  <c:v>0.61</c:v>
                </c:pt>
              </c:numCache>
            </c:numRef>
          </c:val>
          <c:extLst xmlns:c16r2="http://schemas.microsoft.com/office/drawing/2015/06/chart">
            <c:ext xmlns:c16="http://schemas.microsoft.com/office/drawing/2014/chart" uri="{C3380CC4-5D6E-409C-BE32-E72D297353CC}">
              <c16:uniqueId val="{00000008-0827-480A-B67C-DF42D8574F74}"/>
            </c:ext>
          </c:extLst>
        </c:ser>
        <c:dLbls>
          <c:showLegendKey val="0"/>
          <c:showVal val="0"/>
          <c:showCatName val="0"/>
          <c:showSerName val="0"/>
          <c:showPercent val="0"/>
          <c:showBubbleSize val="0"/>
        </c:dLbls>
        <c:gapWidth val="219"/>
        <c:overlap val="-27"/>
        <c:axId val="59400576"/>
        <c:axId val="59402112"/>
      </c:barChart>
      <c:catAx>
        <c:axId val="59400576"/>
        <c:scaling>
          <c:orientation val="minMax"/>
        </c:scaling>
        <c:delete val="1"/>
        <c:axPos val="b"/>
        <c:majorTickMark val="none"/>
        <c:minorTickMark val="none"/>
        <c:tickLblPos val="nextTo"/>
        <c:crossAx val="59402112"/>
        <c:crosses val="autoZero"/>
        <c:auto val="1"/>
        <c:lblAlgn val="ctr"/>
        <c:lblOffset val="100"/>
        <c:noMultiLvlLbl val="0"/>
      </c:catAx>
      <c:valAx>
        <c:axId val="59402112"/>
        <c:scaling>
          <c:logBase val="10"/>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solidFill>
                      <a:schemeClr val="tx1"/>
                    </a:solidFill>
                    <a:latin typeface="Arial" panose="020B0604020202020204" pitchFamily="34" charset="0"/>
                    <a:cs typeface="Arial" panose="020B0604020202020204" pitchFamily="34" charset="0"/>
                  </a:rPr>
                  <a:t>Percent loss (%)</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59400576"/>
        <c:crosses val="autoZero"/>
        <c:crossBetween val="between"/>
      </c:valAx>
      <c:spPr>
        <a:noFill/>
        <a:ln>
          <a:solidFill>
            <a:schemeClr val="tx1"/>
          </a:solid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Negative median</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tx1"/>
              </a:solidFill>
              <a:ln w="9525">
                <a:noFill/>
              </a:ln>
              <a:effectLst/>
            </c:spPr>
          </c:marker>
          <c:trendline>
            <c:spPr>
              <a:ln w="19050" cap="rnd">
                <a:solidFill>
                  <a:schemeClr val="tx1"/>
                </a:solidFill>
                <a:prstDash val="sysDot"/>
              </a:ln>
              <a:effectLst/>
            </c:spPr>
            <c:trendlineType val="linear"/>
            <c:dispRSqr val="1"/>
            <c:dispEq val="0"/>
            <c:trendlineLbl>
              <c:layout>
                <c:manualLayout>
                  <c:x val="-0.13557081130875354"/>
                  <c:y val="0.3028493291485417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(Paleolatitudes!$B$3,Paleolatitudes!$B$9,Paleolatitudes!$B$11:$B$12,Paleolatitudes!$B$18,Paleolatitudes!$B$20:$B$21,Paleolatitudes!$B$28:$B$30,Paleolatitudes!$B$33)</c:f>
              <c:numCache>
                <c:formatCode>General</c:formatCode>
                <c:ptCount val="11"/>
                <c:pt idx="0">
                  <c:v>30</c:v>
                </c:pt>
                <c:pt idx="1">
                  <c:v>14</c:v>
                </c:pt>
                <c:pt idx="2">
                  <c:v>14</c:v>
                </c:pt>
                <c:pt idx="3">
                  <c:v>14</c:v>
                </c:pt>
                <c:pt idx="4">
                  <c:v>60</c:v>
                </c:pt>
                <c:pt idx="5">
                  <c:v>26</c:v>
                </c:pt>
                <c:pt idx="6">
                  <c:v>26</c:v>
                </c:pt>
                <c:pt idx="7">
                  <c:v>8</c:v>
                </c:pt>
                <c:pt idx="8">
                  <c:v>48</c:v>
                </c:pt>
                <c:pt idx="9">
                  <c:v>28</c:v>
                </c:pt>
                <c:pt idx="10">
                  <c:v>46</c:v>
                </c:pt>
              </c:numCache>
            </c:numRef>
          </c:xVal>
          <c:yVal>
            <c:numRef>
              <c:f>(Paleolatitudes!$F$3,Paleolatitudes!$F$9,Paleolatitudes!$F$11:$F$12,Paleolatitudes!$F$18,Paleolatitudes!$F$20:$F$21,Paleolatitudes!$F$28:$F$29,Paleolatitudes!$F$30,Paleolatitudes!$F$33)</c:f>
              <c:numCache>
                <c:formatCode>General</c:formatCode>
                <c:ptCount val="11"/>
                <c:pt idx="0">
                  <c:v>-0.148133721</c:v>
                </c:pt>
                <c:pt idx="1">
                  <c:v>-0.19916562400000001</c:v>
                </c:pt>
                <c:pt idx="2">
                  <c:v>-0.105788982</c:v>
                </c:pt>
                <c:pt idx="3">
                  <c:v>-1.7332535E-2</c:v>
                </c:pt>
                <c:pt idx="4">
                  <c:v>-0.18916645000000001</c:v>
                </c:pt>
                <c:pt idx="5">
                  <c:v>-8.4476628999999998E-2</c:v>
                </c:pt>
                <c:pt idx="6">
                  <c:v>-0.43902438999999999</c:v>
                </c:pt>
                <c:pt idx="7">
                  <c:v>-0.38999846100000002</c:v>
                </c:pt>
                <c:pt idx="8">
                  <c:v>-0.207266957</c:v>
                </c:pt>
                <c:pt idx="9">
                  <c:v>-2.7744117803799428E-2</c:v>
                </c:pt>
                <c:pt idx="10">
                  <c:v>-3.552772E-3</c:v>
                </c:pt>
              </c:numCache>
            </c:numRef>
          </c:yVal>
          <c:smooth val="0"/>
          <c:extLst xmlns:c16r2="http://schemas.microsoft.com/office/drawing/2015/06/chart">
            <c:ext xmlns:c16="http://schemas.microsoft.com/office/drawing/2014/chart" uri="{C3380CC4-5D6E-409C-BE32-E72D297353CC}">
              <c16:uniqueId val="{00000001-14F8-4A59-B845-5A2F7E321100}"/>
            </c:ext>
          </c:extLst>
        </c:ser>
        <c:dLbls>
          <c:showLegendKey val="0"/>
          <c:showVal val="0"/>
          <c:showCatName val="0"/>
          <c:showSerName val="0"/>
          <c:showPercent val="0"/>
          <c:showBubbleSize val="0"/>
        </c:dLbls>
        <c:axId val="152996864"/>
        <c:axId val="153007232"/>
      </c:scatterChart>
      <c:valAx>
        <c:axId val="15299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Paleolatitude (degrees)</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007232"/>
        <c:crossesAt val="-1"/>
        <c:crossBetween val="midCat"/>
      </c:valAx>
      <c:valAx>
        <c:axId val="153007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000" b="0" i="0" baseline="0">
                    <a:effectLst/>
                  </a:rPr>
                  <a:t>τ</a:t>
                </a:r>
                <a:r>
                  <a:rPr lang="en-US" sz="1000" b="0" i="0" baseline="-25000">
                    <a:effectLst/>
                  </a:rPr>
                  <a:t>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996864"/>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Positive third quartile</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tx1"/>
              </a:solidFill>
              <a:ln w="9525">
                <a:noFill/>
              </a:ln>
              <a:effectLst/>
            </c:spPr>
          </c:marker>
          <c:trendline>
            <c:spPr>
              <a:ln w="19050" cap="rnd">
                <a:solidFill>
                  <a:schemeClr val="tx1"/>
                </a:solidFill>
                <a:prstDash val="sysDot"/>
              </a:ln>
              <a:effectLst/>
            </c:spPr>
            <c:trendlineType val="linear"/>
            <c:dispRSqr val="1"/>
            <c:dispEq val="0"/>
            <c:trendlineLbl>
              <c:layout>
                <c:manualLayout>
                  <c:x val="-0.22444958655934025"/>
                  <c:y val="-0.1337720022759392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(Paleolatitudes!$B$6,Paleolatitudes!$B$10,Paleolatitudes!$B$12:$B$14,Paleolatitudes!$B$16,Paleolatitudes!$B$19,Paleolatitudes!$B$26:$B$27,Paleolatitudes!$B$29:$B$34)</c:f>
              <c:numCache>
                <c:formatCode>General</c:formatCode>
                <c:ptCount val="15"/>
                <c:pt idx="0">
                  <c:v>49</c:v>
                </c:pt>
                <c:pt idx="1">
                  <c:v>14</c:v>
                </c:pt>
                <c:pt idx="2">
                  <c:v>14</c:v>
                </c:pt>
                <c:pt idx="3">
                  <c:v>14</c:v>
                </c:pt>
                <c:pt idx="4">
                  <c:v>1</c:v>
                </c:pt>
                <c:pt idx="5">
                  <c:v>7</c:v>
                </c:pt>
                <c:pt idx="6">
                  <c:v>26</c:v>
                </c:pt>
                <c:pt idx="7">
                  <c:v>5</c:v>
                </c:pt>
                <c:pt idx="8">
                  <c:v>50</c:v>
                </c:pt>
                <c:pt idx="9">
                  <c:v>48</c:v>
                </c:pt>
                <c:pt idx="10">
                  <c:v>28</c:v>
                </c:pt>
                <c:pt idx="11">
                  <c:v>45</c:v>
                </c:pt>
                <c:pt idx="12">
                  <c:v>46</c:v>
                </c:pt>
                <c:pt idx="13">
                  <c:v>46</c:v>
                </c:pt>
                <c:pt idx="14">
                  <c:v>46</c:v>
                </c:pt>
              </c:numCache>
            </c:numRef>
          </c:xVal>
          <c:yVal>
            <c:numRef>
              <c:f>(Paleolatitudes!$G$6,Paleolatitudes!$G$10,Paleolatitudes!$G$12:$G$14,Paleolatitudes!$G$16,Paleolatitudes!$G$19,Paleolatitudes!$G$26:$G$27,Paleolatitudes!$G$29:$G$34)</c:f>
              <c:numCache>
                <c:formatCode>General</c:formatCode>
                <c:ptCount val="15"/>
                <c:pt idx="0">
                  <c:v>9.4042598000000005E-2</c:v>
                </c:pt>
                <c:pt idx="1">
                  <c:v>7.2446688999999995E-2</c:v>
                </c:pt>
                <c:pt idx="2">
                  <c:v>4.9420695000000001E-2</c:v>
                </c:pt>
                <c:pt idx="3">
                  <c:v>0.108160486</c:v>
                </c:pt>
                <c:pt idx="4">
                  <c:v>0.282782125</c:v>
                </c:pt>
                <c:pt idx="5">
                  <c:v>6.6137743999999998E-2</c:v>
                </c:pt>
                <c:pt idx="6">
                  <c:v>0.154069909</c:v>
                </c:pt>
                <c:pt idx="7">
                  <c:v>0.27000269999999998</c:v>
                </c:pt>
                <c:pt idx="8">
                  <c:v>0.98120148900000004</c:v>
                </c:pt>
                <c:pt idx="9">
                  <c:v>1.0852541E-2</c:v>
                </c:pt>
                <c:pt idx="10">
                  <c:v>0.24903356646512514</c:v>
                </c:pt>
                <c:pt idx="11">
                  <c:v>0.88759474100000002</c:v>
                </c:pt>
                <c:pt idx="12">
                  <c:v>0.12163897799999999</c:v>
                </c:pt>
                <c:pt idx="13">
                  <c:v>2.2966919999999998E-2</c:v>
                </c:pt>
                <c:pt idx="14">
                  <c:v>3.2743609999999999E-2</c:v>
                </c:pt>
              </c:numCache>
            </c:numRef>
          </c:yVal>
          <c:smooth val="0"/>
          <c:extLst xmlns:c16r2="http://schemas.microsoft.com/office/drawing/2015/06/chart">
            <c:ext xmlns:c16="http://schemas.microsoft.com/office/drawing/2014/chart" uri="{C3380CC4-5D6E-409C-BE32-E72D297353CC}">
              <c16:uniqueId val="{00000001-9BB1-4DBA-AECF-43E20AAF8DE8}"/>
            </c:ext>
          </c:extLst>
        </c:ser>
        <c:dLbls>
          <c:showLegendKey val="0"/>
          <c:showVal val="0"/>
          <c:showCatName val="0"/>
          <c:showSerName val="0"/>
          <c:showPercent val="0"/>
          <c:showBubbleSize val="0"/>
        </c:dLbls>
        <c:axId val="153172608"/>
        <c:axId val="153174784"/>
      </c:scatterChart>
      <c:valAx>
        <c:axId val="1531726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Paleolatitude (degrees)</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174784"/>
        <c:crossesAt val="-1"/>
        <c:crossBetween val="midCat"/>
      </c:valAx>
      <c:valAx>
        <c:axId val="153174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000" b="0" i="0" baseline="0">
                    <a:effectLst/>
                  </a:rPr>
                  <a:t>τ</a:t>
                </a:r>
                <a:r>
                  <a:rPr lang="en-US" sz="1000" b="0" i="0" baseline="-25000">
                    <a:effectLst/>
                  </a:rPr>
                  <a:t>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172608"/>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Negative third quartile</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tx1"/>
              </a:solidFill>
              <a:ln w="9525">
                <a:noFill/>
              </a:ln>
              <a:effectLst/>
            </c:spPr>
          </c:marker>
          <c:trendline>
            <c:spPr>
              <a:ln w="19050" cap="rnd">
                <a:solidFill>
                  <a:schemeClr val="tx1"/>
                </a:solidFill>
                <a:prstDash val="sysDot"/>
              </a:ln>
              <a:effectLst/>
            </c:spPr>
            <c:trendlineType val="linear"/>
            <c:dispRSqr val="1"/>
            <c:dispEq val="0"/>
            <c:trendlineLbl>
              <c:layout>
                <c:manualLayout>
                  <c:x val="-0.17138488224278148"/>
                  <c:y val="0.1839170506912442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strRef>
              <c:f>('[1]Paleolatitude correlation'!$B$3,'[1]Paleolatitude correlation'!$B$9,'[1]Paleolatitude correlation'!$B$11,'[1]Paleolatitude correlation'!$B$19,'[1]Paleolatitude correlation'!$B$20,'[1]Paleolatitude correlation'!$B$22,'[1]Paleolatitude correlation'!$B$29)</c:f>
              <c:strCache>
                <c:ptCount val="7"/>
                <c:pt idx="0">
                  <c:v>30</c:v>
                </c:pt>
                <c:pt idx="1">
                  <c:v>14</c:v>
                </c:pt>
                <c:pt idx="2">
                  <c:v>14</c:v>
                </c:pt>
                <c:pt idx="3">
                  <c:v>26</c:v>
                </c:pt>
                <c:pt idx="4">
                  <c:v>26</c:v>
                </c:pt>
                <c:pt idx="5">
                  <c:v>NA</c:v>
                </c:pt>
                <c:pt idx="6">
                  <c:v>48</c:v>
                </c:pt>
              </c:strCache>
            </c:strRef>
          </c:xVal>
          <c:yVal>
            <c:numRef>
              <c:f>('[1]Paleolatitude correlation'!$G$3,'[1]Paleolatitude correlation'!$G$9,'[1]Paleolatitude correlation'!$G$11,'[1]Paleolatitude correlation'!$G$19,'[1]Paleolatitude correlation'!$G$20,'[1]Paleolatitude correlation'!$G$22,'[1]Paleolatitude correlation'!$G$29)</c:f>
              <c:numCache>
                <c:formatCode>General</c:formatCode>
                <c:ptCount val="7"/>
                <c:pt idx="0">
                  <c:v>-3.3788203124265365E-2</c:v>
                </c:pt>
                <c:pt idx="1">
                  <c:v>-8.6976852934299992E-2</c:v>
                </c:pt>
                <c:pt idx="2">
                  <c:v>-6.3741967375185393E-2</c:v>
                </c:pt>
                <c:pt idx="3">
                  <c:v>0.15406990886523075</c:v>
                </c:pt>
                <c:pt idx="4">
                  <c:v>-3.0329377034595706E-2</c:v>
                </c:pt>
                <c:pt idx="5">
                  <c:v>0.12949955227169396</c:v>
                </c:pt>
                <c:pt idx="6">
                  <c:v>1.0852541121347786E-2</c:v>
                </c:pt>
              </c:numCache>
            </c:numRef>
          </c:yVal>
          <c:smooth val="0"/>
          <c:extLst xmlns:c16r2="http://schemas.microsoft.com/office/drawing/2015/06/chart">
            <c:ext xmlns:c16="http://schemas.microsoft.com/office/drawing/2014/chart" uri="{C3380CC4-5D6E-409C-BE32-E72D297353CC}">
              <c16:uniqueId val="{00000001-B198-4468-8EB7-63814E6083F8}"/>
            </c:ext>
          </c:extLst>
        </c:ser>
        <c:dLbls>
          <c:showLegendKey val="0"/>
          <c:showVal val="0"/>
          <c:showCatName val="0"/>
          <c:showSerName val="0"/>
          <c:showPercent val="0"/>
          <c:showBubbleSize val="0"/>
        </c:dLbls>
        <c:axId val="153216512"/>
        <c:axId val="153218432"/>
      </c:scatterChart>
      <c:valAx>
        <c:axId val="1532165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Paleolatitude (degrees)</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218432"/>
        <c:crossesAt val="-1"/>
        <c:crossBetween val="midCat"/>
      </c:valAx>
      <c:valAx>
        <c:axId val="153218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000" b="0" i="0" baseline="0">
                    <a:effectLst/>
                  </a:rPr>
                  <a:t>τ</a:t>
                </a:r>
                <a:r>
                  <a:rPr lang="en-US" sz="1000" b="0" i="0" baseline="-25000">
                    <a:effectLst/>
                  </a:rPr>
                  <a:t>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216512"/>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Positive maximum</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tx1"/>
              </a:solidFill>
              <a:ln w="9525">
                <a:noFill/>
              </a:ln>
              <a:effectLst/>
            </c:spPr>
          </c:marker>
          <c:trendline>
            <c:spPr>
              <a:ln w="19050" cap="rnd">
                <a:solidFill>
                  <a:schemeClr val="tx1"/>
                </a:solidFill>
                <a:prstDash val="sysDot"/>
              </a:ln>
              <a:effectLst/>
            </c:spPr>
            <c:trendlineType val="linear"/>
            <c:dispRSqr val="1"/>
            <c:dispEq val="0"/>
            <c:trendlineLbl>
              <c:layout>
                <c:manualLayout>
                  <c:x val="-0.22444958655934025"/>
                  <c:y val="-0.1337720022759392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(Paleolatitudes!$B$3,Paleolatitudes!$B$6,Paleolatitudes!$B$9:$B$14,Paleolatitudes!$B$16,Paleolatitudes!$B$18:$B$20,Paleolatitudes!$B$26:$B$27,Paleolatitudes!$B$29:$B$34)</c:f>
              <c:numCache>
                <c:formatCode>General</c:formatCode>
                <c:ptCount val="20"/>
                <c:pt idx="0">
                  <c:v>30</c:v>
                </c:pt>
                <c:pt idx="1">
                  <c:v>49</c:v>
                </c:pt>
                <c:pt idx="2">
                  <c:v>14</c:v>
                </c:pt>
                <c:pt idx="3">
                  <c:v>14</c:v>
                </c:pt>
                <c:pt idx="4">
                  <c:v>14</c:v>
                </c:pt>
                <c:pt idx="5">
                  <c:v>14</c:v>
                </c:pt>
                <c:pt idx="6">
                  <c:v>14</c:v>
                </c:pt>
                <c:pt idx="7">
                  <c:v>1</c:v>
                </c:pt>
                <c:pt idx="8">
                  <c:v>7</c:v>
                </c:pt>
                <c:pt idx="9">
                  <c:v>60</c:v>
                </c:pt>
                <c:pt idx="10">
                  <c:v>26</c:v>
                </c:pt>
                <c:pt idx="11">
                  <c:v>26</c:v>
                </c:pt>
                <c:pt idx="12">
                  <c:v>5</c:v>
                </c:pt>
                <c:pt idx="13">
                  <c:v>50</c:v>
                </c:pt>
                <c:pt idx="14">
                  <c:v>48</c:v>
                </c:pt>
                <c:pt idx="15">
                  <c:v>28</c:v>
                </c:pt>
                <c:pt idx="16">
                  <c:v>45</c:v>
                </c:pt>
                <c:pt idx="17">
                  <c:v>46</c:v>
                </c:pt>
                <c:pt idx="18">
                  <c:v>46</c:v>
                </c:pt>
                <c:pt idx="19">
                  <c:v>46</c:v>
                </c:pt>
              </c:numCache>
            </c:numRef>
          </c:xVal>
          <c:yVal>
            <c:numRef>
              <c:f>(Paleolatitudes!$H$3,Paleolatitudes!$H$6,Paleolatitudes!$H$9:$H$14,Paleolatitudes!$H$16,Paleolatitudes!$H$18:$H$20,Paleolatitudes!$H$26:$H$27,Paleolatitudes!$H$29:$H$34)</c:f>
              <c:numCache>
                <c:formatCode>General</c:formatCode>
                <c:ptCount val="20"/>
                <c:pt idx="0">
                  <c:v>0.168823959</c:v>
                </c:pt>
                <c:pt idx="1">
                  <c:v>0.13389380100000001</c:v>
                </c:pt>
                <c:pt idx="2">
                  <c:v>0.31063829799999998</c:v>
                </c:pt>
                <c:pt idx="3">
                  <c:v>0.32631874300000002</c:v>
                </c:pt>
                <c:pt idx="4">
                  <c:v>4.7058819999999998E-3</c:v>
                </c:pt>
                <c:pt idx="5">
                  <c:v>0.188559695</c:v>
                </c:pt>
                <c:pt idx="6">
                  <c:v>0.22437979899999999</c:v>
                </c:pt>
                <c:pt idx="7">
                  <c:v>0.32501264000000002</c:v>
                </c:pt>
                <c:pt idx="8">
                  <c:v>0.117637045</c:v>
                </c:pt>
                <c:pt idx="9">
                  <c:v>0.24196630199999999</c:v>
                </c:pt>
                <c:pt idx="10">
                  <c:v>0.28909853200000002</c:v>
                </c:pt>
                <c:pt idx="11">
                  <c:v>1.7581020000000001E-3</c:v>
                </c:pt>
                <c:pt idx="12">
                  <c:v>0.50272858899999995</c:v>
                </c:pt>
                <c:pt idx="13">
                  <c:v>1.1542565330000001</c:v>
                </c:pt>
                <c:pt idx="14">
                  <c:v>0.65104659099999995</c:v>
                </c:pt>
                <c:pt idx="15">
                  <c:v>1.019547865984801</c:v>
                </c:pt>
                <c:pt idx="16">
                  <c:v>1.210535989</c:v>
                </c:pt>
                <c:pt idx="17">
                  <c:v>0.53979121399999996</c:v>
                </c:pt>
                <c:pt idx="18">
                  <c:v>1.0169142280000001</c:v>
                </c:pt>
                <c:pt idx="19">
                  <c:v>8.7521173999999993E-2</c:v>
                </c:pt>
              </c:numCache>
            </c:numRef>
          </c:yVal>
          <c:smooth val="0"/>
          <c:extLst xmlns:c16r2="http://schemas.microsoft.com/office/drawing/2015/06/chart">
            <c:ext xmlns:c16="http://schemas.microsoft.com/office/drawing/2014/chart" uri="{C3380CC4-5D6E-409C-BE32-E72D297353CC}">
              <c16:uniqueId val="{00000001-6DE3-4242-8D31-3203D1B586FA}"/>
            </c:ext>
          </c:extLst>
        </c:ser>
        <c:dLbls>
          <c:showLegendKey val="0"/>
          <c:showVal val="0"/>
          <c:showCatName val="0"/>
          <c:showSerName val="0"/>
          <c:showPercent val="0"/>
          <c:showBubbleSize val="0"/>
        </c:dLbls>
        <c:axId val="153077632"/>
        <c:axId val="153079808"/>
      </c:scatterChart>
      <c:valAx>
        <c:axId val="153077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Paleolatitude (degrees)</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079808"/>
        <c:crossesAt val="-1"/>
        <c:crossBetween val="midCat"/>
      </c:valAx>
      <c:valAx>
        <c:axId val="153079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000" b="0" i="0" baseline="0">
                    <a:effectLst/>
                  </a:rPr>
                  <a:t>τ</a:t>
                </a:r>
                <a:r>
                  <a:rPr lang="en-US" sz="1000" b="0" i="0" baseline="-25000">
                    <a:effectLst/>
                  </a:rPr>
                  <a:t>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077632"/>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Negative maximum</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tx1"/>
              </a:solidFill>
              <a:ln w="9525">
                <a:noFill/>
              </a:ln>
              <a:effectLst/>
            </c:spPr>
          </c:marker>
          <c:xVal>
            <c:strRef>
              <c:f>('[1]Paleolatitude correlation'!$B$22,'[1]Paleolatitude correlation'!$B$29)</c:f>
              <c:strCache>
                <c:ptCount val="2"/>
                <c:pt idx="0">
                  <c:v>NA</c:v>
                </c:pt>
                <c:pt idx="1">
                  <c:v>48</c:v>
                </c:pt>
              </c:strCache>
            </c:strRef>
          </c:xVal>
          <c:yVal>
            <c:numRef>
              <c:f>('[1]Paleolatitude correlation'!$H$22,'[1]Paleolatitude correlation'!$H$29)</c:f>
              <c:numCache>
                <c:formatCode>General</c:formatCode>
                <c:ptCount val="2"/>
                <c:pt idx="0">
                  <c:v>1.1819946743832941</c:v>
                </c:pt>
                <c:pt idx="1">
                  <c:v>0.65104659066936499</c:v>
                </c:pt>
              </c:numCache>
            </c:numRef>
          </c:yVal>
          <c:smooth val="0"/>
          <c:extLst xmlns:c16r2="http://schemas.microsoft.com/office/drawing/2015/06/chart">
            <c:ext xmlns:c16="http://schemas.microsoft.com/office/drawing/2014/chart" uri="{C3380CC4-5D6E-409C-BE32-E72D297353CC}">
              <c16:uniqueId val="{00000000-2652-4EA4-BDE6-1E260477B58E}"/>
            </c:ext>
          </c:extLst>
        </c:ser>
        <c:dLbls>
          <c:showLegendKey val="0"/>
          <c:showVal val="0"/>
          <c:showCatName val="0"/>
          <c:showSerName val="0"/>
          <c:showPercent val="0"/>
          <c:showBubbleSize val="0"/>
        </c:dLbls>
        <c:axId val="153369984"/>
        <c:axId val="153372544"/>
      </c:scatterChart>
      <c:valAx>
        <c:axId val="1533699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Paleolatitude (degrees)</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72544"/>
        <c:crossesAt val="-1"/>
        <c:crossBetween val="midCat"/>
      </c:valAx>
      <c:valAx>
        <c:axId val="153372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000" b="0" i="0" baseline="0">
                    <a:effectLst/>
                  </a:rPr>
                  <a:t>τ</a:t>
                </a:r>
                <a:r>
                  <a:rPr lang="en-US" sz="1000" b="0" i="0" baseline="-25000">
                    <a:effectLst/>
                  </a:rPr>
                  <a:t>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69984"/>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average</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tx1"/>
              </a:solidFill>
              <a:ln w="9525">
                <a:noFill/>
              </a:ln>
              <a:effectLst/>
            </c:spPr>
          </c:marker>
          <c:xVal>
            <c:numRef>
              <c:f>(Paleolatitudes!$B$3,Paleolatitudes!$B$6,Paleolatitudes!$B$9:$B$14,Paleolatitudes!$B$16,Paleolatitudes!$B$18:$B$21,Paleolatitudes!$B$26:$B$34)</c:f>
              <c:numCache>
                <c:formatCode>General</c:formatCode>
                <c:ptCount val="22"/>
                <c:pt idx="0">
                  <c:v>30</c:v>
                </c:pt>
                <c:pt idx="1">
                  <c:v>49</c:v>
                </c:pt>
                <c:pt idx="2">
                  <c:v>14</c:v>
                </c:pt>
                <c:pt idx="3">
                  <c:v>14</c:v>
                </c:pt>
                <c:pt idx="4">
                  <c:v>14</c:v>
                </c:pt>
                <c:pt idx="5">
                  <c:v>14</c:v>
                </c:pt>
                <c:pt idx="6">
                  <c:v>14</c:v>
                </c:pt>
                <c:pt idx="7">
                  <c:v>1</c:v>
                </c:pt>
                <c:pt idx="8">
                  <c:v>7</c:v>
                </c:pt>
                <c:pt idx="9">
                  <c:v>60</c:v>
                </c:pt>
                <c:pt idx="10">
                  <c:v>26</c:v>
                </c:pt>
                <c:pt idx="11">
                  <c:v>26</c:v>
                </c:pt>
                <c:pt idx="12">
                  <c:v>26</c:v>
                </c:pt>
                <c:pt idx="13">
                  <c:v>5</c:v>
                </c:pt>
                <c:pt idx="14">
                  <c:v>50</c:v>
                </c:pt>
                <c:pt idx="15">
                  <c:v>8</c:v>
                </c:pt>
                <c:pt idx="16">
                  <c:v>48</c:v>
                </c:pt>
                <c:pt idx="17">
                  <c:v>28</c:v>
                </c:pt>
                <c:pt idx="18">
                  <c:v>45</c:v>
                </c:pt>
                <c:pt idx="19">
                  <c:v>46</c:v>
                </c:pt>
                <c:pt idx="20">
                  <c:v>46</c:v>
                </c:pt>
                <c:pt idx="21">
                  <c:v>46</c:v>
                </c:pt>
              </c:numCache>
            </c:numRef>
          </c:xVal>
          <c:yVal>
            <c:numRef>
              <c:f>(Paleolatitudes!$C$3,Paleolatitudes!$C$6,Paleolatitudes!$C$9:$C$14,Paleolatitudes!$C$16,Paleolatitudes!$C$18:$C$21,Paleolatitudes!$C$26:$C$34)</c:f>
              <c:numCache>
                <c:formatCode>General</c:formatCode>
                <c:ptCount val="22"/>
                <c:pt idx="0">
                  <c:v>-0.14646029999999999</c:v>
                </c:pt>
                <c:pt idx="1">
                  <c:v>7.6777780000000004E-2</c:v>
                </c:pt>
                <c:pt idx="2">
                  <c:v>-0.14393677274510466</c:v>
                </c:pt>
                <c:pt idx="3">
                  <c:v>7.0755000000000002E-3</c:v>
                </c:pt>
                <c:pt idx="4">
                  <c:v>-0.21407509999999999</c:v>
                </c:pt>
                <c:pt idx="5">
                  <c:v>3.1364800000000001E-3</c:v>
                </c:pt>
                <c:pt idx="6">
                  <c:v>5.840948E-2</c:v>
                </c:pt>
                <c:pt idx="7">
                  <c:v>0.19439893</c:v>
                </c:pt>
                <c:pt idx="8">
                  <c:v>4.6301059999999998E-2</c:v>
                </c:pt>
                <c:pt idx="9">
                  <c:v>-0.1309285</c:v>
                </c:pt>
                <c:pt idx="10">
                  <c:v>8.0963259999999995E-2</c:v>
                </c:pt>
                <c:pt idx="11">
                  <c:v>-6.5538700000000005E-2</c:v>
                </c:pt>
                <c:pt idx="12">
                  <c:v>-0.3679383</c:v>
                </c:pt>
                <c:pt idx="13">
                  <c:v>0.11597242000000001</c:v>
                </c:pt>
                <c:pt idx="14">
                  <c:v>0.46168467000000002</c:v>
                </c:pt>
                <c:pt idx="15">
                  <c:v>-0.398949</c:v>
                </c:pt>
                <c:pt idx="16">
                  <c:v>-5.8951000000000003E-3</c:v>
                </c:pt>
                <c:pt idx="17">
                  <c:v>0.13865979329358685</c:v>
                </c:pt>
                <c:pt idx="18">
                  <c:v>0.52659964000000004</c:v>
                </c:pt>
                <c:pt idx="19">
                  <c:v>8.0559699999999998E-2</c:v>
                </c:pt>
                <c:pt idx="20">
                  <c:v>0.14361467</c:v>
                </c:pt>
                <c:pt idx="21">
                  <c:v>2.009704E-2</c:v>
                </c:pt>
              </c:numCache>
            </c:numRef>
          </c:yVal>
          <c:smooth val="0"/>
          <c:extLst xmlns:c16r2="http://schemas.microsoft.com/office/drawing/2015/06/chart">
            <c:ext xmlns:c16="http://schemas.microsoft.com/office/drawing/2014/chart" uri="{C3380CC4-5D6E-409C-BE32-E72D297353CC}">
              <c16:uniqueId val="{00000000-0630-4BB2-9D23-087DE33CB02C}"/>
            </c:ext>
          </c:extLst>
        </c:ser>
        <c:dLbls>
          <c:showLegendKey val="0"/>
          <c:showVal val="0"/>
          <c:showCatName val="0"/>
          <c:showSerName val="0"/>
          <c:showPercent val="0"/>
          <c:showBubbleSize val="0"/>
        </c:dLbls>
        <c:axId val="153223168"/>
        <c:axId val="153225088"/>
      </c:scatterChart>
      <c:valAx>
        <c:axId val="1532231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Paleolatitude (degrees)</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225088"/>
        <c:crossesAt val="-1"/>
        <c:crossBetween val="midCat"/>
      </c:valAx>
      <c:valAx>
        <c:axId val="1532250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000" b="0" i="0" baseline="0">
                    <a:effectLst/>
                  </a:rPr>
                  <a:t>τ</a:t>
                </a:r>
                <a:r>
                  <a:rPr lang="en-US" sz="1000" b="0" i="0" baseline="-25000">
                    <a:effectLst/>
                  </a:rPr>
                  <a:t>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223168"/>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minimum</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tx1"/>
              </a:solidFill>
              <a:ln w="9525">
                <a:noFill/>
              </a:ln>
              <a:effectLst/>
            </c:spPr>
          </c:marker>
          <c:xVal>
            <c:numRef>
              <c:f>(Paleolatitudes!$B$3,Paleolatitudes!$B$6,Paleolatitudes!$B$9:$B$14,Paleolatitudes!$B$16,Paleolatitudes!$B$18:$B$21,Paleolatitudes!$B$26:$B$34)</c:f>
              <c:numCache>
                <c:formatCode>General</c:formatCode>
                <c:ptCount val="22"/>
                <c:pt idx="0">
                  <c:v>30</c:v>
                </c:pt>
                <c:pt idx="1">
                  <c:v>49</c:v>
                </c:pt>
                <c:pt idx="2">
                  <c:v>14</c:v>
                </c:pt>
                <c:pt idx="3">
                  <c:v>14</c:v>
                </c:pt>
                <c:pt idx="4">
                  <c:v>14</c:v>
                </c:pt>
                <c:pt idx="5">
                  <c:v>14</c:v>
                </c:pt>
                <c:pt idx="6">
                  <c:v>14</c:v>
                </c:pt>
                <c:pt idx="7">
                  <c:v>1</c:v>
                </c:pt>
                <c:pt idx="8">
                  <c:v>7</c:v>
                </c:pt>
                <c:pt idx="9">
                  <c:v>60</c:v>
                </c:pt>
                <c:pt idx="10">
                  <c:v>26</c:v>
                </c:pt>
                <c:pt idx="11">
                  <c:v>26</c:v>
                </c:pt>
                <c:pt idx="12">
                  <c:v>26</c:v>
                </c:pt>
                <c:pt idx="13">
                  <c:v>5</c:v>
                </c:pt>
                <c:pt idx="14">
                  <c:v>50</c:v>
                </c:pt>
                <c:pt idx="15">
                  <c:v>8</c:v>
                </c:pt>
                <c:pt idx="16">
                  <c:v>48</c:v>
                </c:pt>
                <c:pt idx="17">
                  <c:v>28</c:v>
                </c:pt>
                <c:pt idx="18">
                  <c:v>45</c:v>
                </c:pt>
                <c:pt idx="19">
                  <c:v>46</c:v>
                </c:pt>
                <c:pt idx="20">
                  <c:v>46</c:v>
                </c:pt>
                <c:pt idx="21">
                  <c:v>46</c:v>
                </c:pt>
              </c:numCache>
            </c:numRef>
          </c:xVal>
          <c:yVal>
            <c:numRef>
              <c:f>(Paleolatitudes!$D$3,Paleolatitudes!$D$6,Paleolatitudes!$D$9:$D$14,Paleolatitudes!$D$16,Paleolatitudes!$D$18:$D$21,Paleolatitudes!$D$26:$D$34)</c:f>
              <c:numCache>
                <c:formatCode>General</c:formatCode>
                <c:ptCount val="22"/>
                <c:pt idx="0">
                  <c:v>-0.43372145200000001</c:v>
                </c:pt>
                <c:pt idx="1">
                  <c:v>1.6088735999999999E-2</c:v>
                </c:pt>
                <c:pt idx="2">
                  <c:v>-0.420621931</c:v>
                </c:pt>
                <c:pt idx="3">
                  <c:v>-0.38973064000000002</c:v>
                </c:pt>
                <c:pt idx="4">
                  <c:v>-0.57543780899999997</c:v>
                </c:pt>
                <c:pt idx="5">
                  <c:v>-0.11299043</c:v>
                </c:pt>
                <c:pt idx="6">
                  <c:v>-0.33174757700000002</c:v>
                </c:pt>
                <c:pt idx="7">
                  <c:v>-3.1373617999999999E-2</c:v>
                </c:pt>
                <c:pt idx="8">
                  <c:v>-1.8677951000000002E-2</c:v>
                </c:pt>
                <c:pt idx="9">
                  <c:v>-0.31779763300000002</c:v>
                </c:pt>
                <c:pt idx="10">
                  <c:v>-4.6623782000000003E-2</c:v>
                </c:pt>
                <c:pt idx="11">
                  <c:v>-0.12794476399999999</c:v>
                </c:pt>
                <c:pt idx="12">
                  <c:v>-0.53846153799999996</c:v>
                </c:pt>
                <c:pt idx="13">
                  <c:v>-0.17219931499999999</c:v>
                </c:pt>
                <c:pt idx="14">
                  <c:v>-0.116677777</c:v>
                </c:pt>
                <c:pt idx="15">
                  <c:v>-0.59637613199999995</c:v>
                </c:pt>
                <c:pt idx="16">
                  <c:v>-0.26009303499999997</c:v>
                </c:pt>
                <c:pt idx="17">
                  <c:v>-0.29400510204081642</c:v>
                </c:pt>
                <c:pt idx="18">
                  <c:v>-8.8292308999999999E-2</c:v>
                </c:pt>
                <c:pt idx="19">
                  <c:v>-7.6005664000000001E-2</c:v>
                </c:pt>
                <c:pt idx="20">
                  <c:v>-3.1619464999999999E-2</c:v>
                </c:pt>
                <c:pt idx="21">
                  <c:v>-1.459032E-2</c:v>
                </c:pt>
              </c:numCache>
            </c:numRef>
          </c:yVal>
          <c:smooth val="0"/>
          <c:extLst xmlns:c16r2="http://schemas.microsoft.com/office/drawing/2015/06/chart">
            <c:ext xmlns:c16="http://schemas.microsoft.com/office/drawing/2014/chart" uri="{C3380CC4-5D6E-409C-BE32-E72D297353CC}">
              <c16:uniqueId val="{00000000-0250-4977-8EBB-7AEF38F1954B}"/>
            </c:ext>
          </c:extLst>
        </c:ser>
        <c:dLbls>
          <c:showLegendKey val="0"/>
          <c:showVal val="0"/>
          <c:showCatName val="0"/>
          <c:showSerName val="0"/>
          <c:showPercent val="0"/>
          <c:showBubbleSize val="0"/>
        </c:dLbls>
        <c:axId val="153258240"/>
        <c:axId val="153281280"/>
      </c:scatterChart>
      <c:valAx>
        <c:axId val="1532582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Paleolatitude (degrees)</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281280"/>
        <c:crossesAt val="-1"/>
        <c:crossBetween val="midCat"/>
      </c:valAx>
      <c:valAx>
        <c:axId val="153281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000" b="0" i="0" baseline="0">
                    <a:effectLst/>
                  </a:rPr>
                  <a:t>τ</a:t>
                </a:r>
                <a:r>
                  <a:rPr lang="en-US" sz="1000" b="0" i="0" baseline="-25000">
                    <a:effectLst/>
                  </a:rPr>
                  <a:t>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258240"/>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first quartile</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tx1"/>
              </a:solidFill>
              <a:ln w="9525">
                <a:noFill/>
              </a:ln>
              <a:effectLst/>
            </c:spPr>
          </c:marker>
          <c:xVal>
            <c:numRef>
              <c:f>(Paleolatitudes!$B$3,Paleolatitudes!$B$6,Paleolatitudes!$B$9:$B$14,Paleolatitudes!$B$16,Paleolatitudes!$B$18:$B$21,Paleolatitudes!$B$26:$B$34)</c:f>
              <c:numCache>
                <c:formatCode>General</c:formatCode>
                <c:ptCount val="22"/>
                <c:pt idx="0">
                  <c:v>30</c:v>
                </c:pt>
                <c:pt idx="1">
                  <c:v>49</c:v>
                </c:pt>
                <c:pt idx="2">
                  <c:v>14</c:v>
                </c:pt>
                <c:pt idx="3">
                  <c:v>14</c:v>
                </c:pt>
                <c:pt idx="4">
                  <c:v>14</c:v>
                </c:pt>
                <c:pt idx="5">
                  <c:v>14</c:v>
                </c:pt>
                <c:pt idx="6">
                  <c:v>14</c:v>
                </c:pt>
                <c:pt idx="7">
                  <c:v>1</c:v>
                </c:pt>
                <c:pt idx="8">
                  <c:v>7</c:v>
                </c:pt>
                <c:pt idx="9">
                  <c:v>60</c:v>
                </c:pt>
                <c:pt idx="10">
                  <c:v>26</c:v>
                </c:pt>
                <c:pt idx="11">
                  <c:v>26</c:v>
                </c:pt>
                <c:pt idx="12">
                  <c:v>26</c:v>
                </c:pt>
                <c:pt idx="13">
                  <c:v>5</c:v>
                </c:pt>
                <c:pt idx="14">
                  <c:v>50</c:v>
                </c:pt>
                <c:pt idx="15">
                  <c:v>8</c:v>
                </c:pt>
                <c:pt idx="16">
                  <c:v>48</c:v>
                </c:pt>
                <c:pt idx="17">
                  <c:v>28</c:v>
                </c:pt>
                <c:pt idx="18">
                  <c:v>45</c:v>
                </c:pt>
                <c:pt idx="19">
                  <c:v>46</c:v>
                </c:pt>
                <c:pt idx="20">
                  <c:v>46</c:v>
                </c:pt>
                <c:pt idx="21">
                  <c:v>46</c:v>
                </c:pt>
              </c:numCache>
            </c:numRef>
          </c:xVal>
          <c:yVal>
            <c:numRef>
              <c:f>(Paleolatitudes!$E$3,Paleolatitudes!$E$6,Paleolatitudes!$E$9:$E$14,Paleolatitudes!$E$16,Paleolatitudes!$E$18:$E$21,Paleolatitudes!$E$26:$E$34)</c:f>
              <c:numCache>
                <c:formatCode>General</c:formatCode>
                <c:ptCount val="22"/>
                <c:pt idx="0">
                  <c:v>-0.28042365800000002</c:v>
                </c:pt>
                <c:pt idx="1">
                  <c:v>6.0112405000000001E-2</c:v>
                </c:pt>
                <c:pt idx="2">
                  <c:v>-0.241755319</c:v>
                </c:pt>
                <c:pt idx="3">
                  <c:v>-1.6245790999999999E-2</c:v>
                </c:pt>
                <c:pt idx="4">
                  <c:v>-0.32330883700000002</c:v>
                </c:pt>
                <c:pt idx="5">
                  <c:v>-3.9292767999999999E-2</c:v>
                </c:pt>
                <c:pt idx="6">
                  <c:v>3.4184879000000001E-2</c:v>
                </c:pt>
                <c:pt idx="7">
                  <c:v>0.132397347</c:v>
                </c:pt>
                <c:pt idx="8">
                  <c:v>1.4637132000000001E-2</c:v>
                </c:pt>
                <c:pt idx="9">
                  <c:v>-0.23395932699999999</c:v>
                </c:pt>
                <c:pt idx="10">
                  <c:v>-1.7871292E-2</c:v>
                </c:pt>
                <c:pt idx="11">
                  <c:v>-8.6701011999999994E-2</c:v>
                </c:pt>
                <c:pt idx="12">
                  <c:v>-0.476547842</c:v>
                </c:pt>
                <c:pt idx="13">
                  <c:v>-4.4658192999999999E-2</c:v>
                </c:pt>
                <c:pt idx="14">
                  <c:v>1.9404243000000002E-2</c:v>
                </c:pt>
                <c:pt idx="15">
                  <c:v>-0.499656357</c:v>
                </c:pt>
                <c:pt idx="16">
                  <c:v>-0.22401458799999999</c:v>
                </c:pt>
                <c:pt idx="17">
                  <c:v>-0.22117472604805472</c:v>
                </c:pt>
                <c:pt idx="18">
                  <c:v>4.2930211000000003E-2</c:v>
                </c:pt>
                <c:pt idx="19">
                  <c:v>-8.5295809999999996E-3</c:v>
                </c:pt>
                <c:pt idx="20">
                  <c:v>-1.118657E-2</c:v>
                </c:pt>
                <c:pt idx="21">
                  <c:v>-8.9179250000000002E-3</c:v>
                </c:pt>
              </c:numCache>
            </c:numRef>
          </c:yVal>
          <c:smooth val="0"/>
          <c:extLst xmlns:c16r2="http://schemas.microsoft.com/office/drawing/2015/06/chart">
            <c:ext xmlns:c16="http://schemas.microsoft.com/office/drawing/2014/chart" uri="{C3380CC4-5D6E-409C-BE32-E72D297353CC}">
              <c16:uniqueId val="{00000000-D38F-43AA-96BF-FEFE14F560D9}"/>
            </c:ext>
          </c:extLst>
        </c:ser>
        <c:dLbls>
          <c:showLegendKey val="0"/>
          <c:showVal val="0"/>
          <c:showCatName val="0"/>
          <c:showSerName val="0"/>
          <c:showPercent val="0"/>
          <c:showBubbleSize val="0"/>
        </c:dLbls>
        <c:axId val="153449600"/>
        <c:axId val="153451904"/>
      </c:scatterChart>
      <c:valAx>
        <c:axId val="1534496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Paleolatitude (degrees)</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51904"/>
        <c:crossesAt val="-1"/>
        <c:crossBetween val="midCat"/>
      </c:valAx>
      <c:valAx>
        <c:axId val="15345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000" b="0" i="0" baseline="0">
                    <a:effectLst/>
                  </a:rPr>
                  <a:t>τ</a:t>
                </a:r>
                <a:r>
                  <a:rPr lang="en-US" sz="1000" b="0" i="0" baseline="-25000">
                    <a:effectLst/>
                  </a:rPr>
                  <a:t>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49600"/>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median</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tx1"/>
              </a:solidFill>
              <a:ln w="9525">
                <a:noFill/>
              </a:ln>
              <a:effectLst/>
            </c:spPr>
          </c:marker>
          <c:xVal>
            <c:numRef>
              <c:f>(Paleolatitudes!$B$3,Paleolatitudes!$B$6,Paleolatitudes!$B$9:$B$14,Paleolatitudes!$B$16,Paleolatitudes!$B$18:$B$21,Paleolatitudes!$B$26:$B$34)</c:f>
              <c:numCache>
                <c:formatCode>General</c:formatCode>
                <c:ptCount val="22"/>
                <c:pt idx="0">
                  <c:v>30</c:v>
                </c:pt>
                <c:pt idx="1">
                  <c:v>49</c:v>
                </c:pt>
                <c:pt idx="2">
                  <c:v>14</c:v>
                </c:pt>
                <c:pt idx="3">
                  <c:v>14</c:v>
                </c:pt>
                <c:pt idx="4">
                  <c:v>14</c:v>
                </c:pt>
                <c:pt idx="5">
                  <c:v>14</c:v>
                </c:pt>
                <c:pt idx="6">
                  <c:v>14</c:v>
                </c:pt>
                <c:pt idx="7">
                  <c:v>1</c:v>
                </c:pt>
                <c:pt idx="8">
                  <c:v>7</c:v>
                </c:pt>
                <c:pt idx="9">
                  <c:v>60</c:v>
                </c:pt>
                <c:pt idx="10">
                  <c:v>26</c:v>
                </c:pt>
                <c:pt idx="11">
                  <c:v>26</c:v>
                </c:pt>
                <c:pt idx="12">
                  <c:v>26</c:v>
                </c:pt>
                <c:pt idx="13">
                  <c:v>5</c:v>
                </c:pt>
                <c:pt idx="14">
                  <c:v>50</c:v>
                </c:pt>
                <c:pt idx="15">
                  <c:v>8</c:v>
                </c:pt>
                <c:pt idx="16">
                  <c:v>48</c:v>
                </c:pt>
                <c:pt idx="17">
                  <c:v>28</c:v>
                </c:pt>
                <c:pt idx="18">
                  <c:v>45</c:v>
                </c:pt>
                <c:pt idx="19">
                  <c:v>46</c:v>
                </c:pt>
                <c:pt idx="20">
                  <c:v>46</c:v>
                </c:pt>
                <c:pt idx="21">
                  <c:v>46</c:v>
                </c:pt>
              </c:numCache>
            </c:numRef>
          </c:xVal>
          <c:yVal>
            <c:numRef>
              <c:f>(Paleolatitudes!$F$3,Paleolatitudes!$F$6,Paleolatitudes!$F$9:$F$14,Paleolatitudes!$F$16,Paleolatitudes!$F$18:$F$21,Paleolatitudes!$F$26:$F$34)</c:f>
              <c:numCache>
                <c:formatCode>General</c:formatCode>
                <c:ptCount val="22"/>
                <c:pt idx="0">
                  <c:v>-0.148133721</c:v>
                </c:pt>
                <c:pt idx="1">
                  <c:v>7.9748959999999994E-2</c:v>
                </c:pt>
                <c:pt idx="2">
                  <c:v>-0.19916562400000001</c:v>
                </c:pt>
                <c:pt idx="3">
                  <c:v>1.5488215E-2</c:v>
                </c:pt>
                <c:pt idx="4">
                  <c:v>-0.105788982</c:v>
                </c:pt>
                <c:pt idx="5">
                  <c:v>-1.7332535E-2</c:v>
                </c:pt>
                <c:pt idx="6">
                  <c:v>5.3387250999999997E-2</c:v>
                </c:pt>
                <c:pt idx="7">
                  <c:v>0.23679455999999999</c:v>
                </c:pt>
                <c:pt idx="8">
                  <c:v>5.3360578999999998E-2</c:v>
                </c:pt>
                <c:pt idx="9">
                  <c:v>-0.18916645000000001</c:v>
                </c:pt>
                <c:pt idx="10">
                  <c:v>5.1870833999999998E-2</c:v>
                </c:pt>
                <c:pt idx="11">
                  <c:v>-8.4476628999999998E-2</c:v>
                </c:pt>
                <c:pt idx="12">
                  <c:v>-0.43902438999999999</c:v>
                </c:pt>
                <c:pt idx="13">
                  <c:v>2.9091978000000001E-2</c:v>
                </c:pt>
                <c:pt idx="14">
                  <c:v>0.457190769</c:v>
                </c:pt>
                <c:pt idx="15">
                  <c:v>-0.38999846100000002</c:v>
                </c:pt>
                <c:pt idx="16">
                  <c:v>-0.207266957</c:v>
                </c:pt>
                <c:pt idx="17">
                  <c:v>-2.7744117803799428E-2</c:v>
                </c:pt>
                <c:pt idx="18">
                  <c:v>0.73528652800000005</c:v>
                </c:pt>
                <c:pt idx="19">
                  <c:v>8.1028479999999993E-3</c:v>
                </c:pt>
                <c:pt idx="20">
                  <c:v>-3.552772E-3</c:v>
                </c:pt>
                <c:pt idx="21">
                  <c:v>3.7286480000000002E-3</c:v>
                </c:pt>
              </c:numCache>
            </c:numRef>
          </c:yVal>
          <c:smooth val="0"/>
          <c:extLst xmlns:c16r2="http://schemas.microsoft.com/office/drawing/2015/06/chart">
            <c:ext xmlns:c16="http://schemas.microsoft.com/office/drawing/2014/chart" uri="{C3380CC4-5D6E-409C-BE32-E72D297353CC}">
              <c16:uniqueId val="{00000000-3575-4247-95A3-8177B401077A}"/>
            </c:ext>
          </c:extLst>
        </c:ser>
        <c:dLbls>
          <c:showLegendKey val="0"/>
          <c:showVal val="0"/>
          <c:showCatName val="0"/>
          <c:showSerName val="0"/>
          <c:showPercent val="0"/>
          <c:showBubbleSize val="0"/>
        </c:dLbls>
        <c:axId val="153481216"/>
        <c:axId val="153483520"/>
      </c:scatterChart>
      <c:valAx>
        <c:axId val="1534812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Paleolatitude (degrees)</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83520"/>
        <c:crossesAt val="-1"/>
        <c:crossBetween val="midCat"/>
      </c:valAx>
      <c:valAx>
        <c:axId val="153483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000" b="0" i="0" baseline="0">
                    <a:effectLst/>
                  </a:rPr>
                  <a:t>τ</a:t>
                </a:r>
                <a:r>
                  <a:rPr lang="en-US" sz="1000" b="0" i="0" baseline="-25000">
                    <a:effectLst/>
                  </a:rPr>
                  <a:t>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81216"/>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third quartile</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tx1"/>
              </a:solidFill>
              <a:ln w="9525">
                <a:noFill/>
              </a:ln>
              <a:effectLst/>
            </c:spPr>
          </c:marker>
          <c:xVal>
            <c:numRef>
              <c:f>(Paleolatitudes!$B$3,Paleolatitudes!$B$6,Paleolatitudes!$B$9:$B$14,Paleolatitudes!$B$16,Paleolatitudes!$B$18:$B$21,Paleolatitudes!$B$26:$B$34)</c:f>
              <c:numCache>
                <c:formatCode>General</c:formatCode>
                <c:ptCount val="22"/>
                <c:pt idx="0">
                  <c:v>30</c:v>
                </c:pt>
                <c:pt idx="1">
                  <c:v>49</c:v>
                </c:pt>
                <c:pt idx="2">
                  <c:v>14</c:v>
                </c:pt>
                <c:pt idx="3">
                  <c:v>14</c:v>
                </c:pt>
                <c:pt idx="4">
                  <c:v>14</c:v>
                </c:pt>
                <c:pt idx="5">
                  <c:v>14</c:v>
                </c:pt>
                <c:pt idx="6">
                  <c:v>14</c:v>
                </c:pt>
                <c:pt idx="7">
                  <c:v>1</c:v>
                </c:pt>
                <c:pt idx="8">
                  <c:v>7</c:v>
                </c:pt>
                <c:pt idx="9">
                  <c:v>60</c:v>
                </c:pt>
                <c:pt idx="10">
                  <c:v>26</c:v>
                </c:pt>
                <c:pt idx="11">
                  <c:v>26</c:v>
                </c:pt>
                <c:pt idx="12">
                  <c:v>26</c:v>
                </c:pt>
                <c:pt idx="13">
                  <c:v>5</c:v>
                </c:pt>
                <c:pt idx="14">
                  <c:v>50</c:v>
                </c:pt>
                <c:pt idx="15">
                  <c:v>8</c:v>
                </c:pt>
                <c:pt idx="16">
                  <c:v>48</c:v>
                </c:pt>
                <c:pt idx="17">
                  <c:v>28</c:v>
                </c:pt>
                <c:pt idx="18">
                  <c:v>45</c:v>
                </c:pt>
                <c:pt idx="19">
                  <c:v>46</c:v>
                </c:pt>
                <c:pt idx="20">
                  <c:v>46</c:v>
                </c:pt>
                <c:pt idx="21">
                  <c:v>46</c:v>
                </c:pt>
              </c:numCache>
            </c:numRef>
          </c:xVal>
          <c:yVal>
            <c:numRef>
              <c:f>(Paleolatitudes!$G$3,Paleolatitudes!$G$6,Paleolatitudes!$G$9:$G$14,Paleolatitudes!$G$16,Paleolatitudes!$G$18:$G$21,Paleolatitudes!$G$26:$G$34)</c:f>
              <c:numCache>
                <c:formatCode>General</c:formatCode>
                <c:ptCount val="22"/>
                <c:pt idx="0">
                  <c:v>-3.3788203000000003E-2</c:v>
                </c:pt>
                <c:pt idx="1">
                  <c:v>9.4042598000000005E-2</c:v>
                </c:pt>
                <c:pt idx="2">
                  <c:v>-8.6976853000000007E-2</c:v>
                </c:pt>
                <c:pt idx="3">
                  <c:v>7.2446688999999995E-2</c:v>
                </c:pt>
                <c:pt idx="4">
                  <c:v>-6.3741966999999997E-2</c:v>
                </c:pt>
                <c:pt idx="5">
                  <c:v>4.9420695000000001E-2</c:v>
                </c:pt>
                <c:pt idx="6">
                  <c:v>0.108160486</c:v>
                </c:pt>
                <c:pt idx="7">
                  <c:v>0.282782125</c:v>
                </c:pt>
                <c:pt idx="8">
                  <c:v>6.6137743999999998E-2</c:v>
                </c:pt>
                <c:pt idx="9">
                  <c:v>-6.7774635E-2</c:v>
                </c:pt>
                <c:pt idx="10">
                  <c:v>0.154069909</c:v>
                </c:pt>
                <c:pt idx="11">
                  <c:v>-3.0329377000000001E-2</c:v>
                </c:pt>
                <c:pt idx="12">
                  <c:v>-0.24932249300000001</c:v>
                </c:pt>
                <c:pt idx="13">
                  <c:v>0.27000269999999998</c:v>
                </c:pt>
                <c:pt idx="14">
                  <c:v>0.98120148900000004</c:v>
                </c:pt>
                <c:pt idx="15">
                  <c:v>-0.36637589199999998</c:v>
                </c:pt>
                <c:pt idx="16">
                  <c:v>1.0852541E-2</c:v>
                </c:pt>
                <c:pt idx="17">
                  <c:v>0.24903356646512514</c:v>
                </c:pt>
                <c:pt idx="18">
                  <c:v>0.88759474100000002</c:v>
                </c:pt>
                <c:pt idx="19">
                  <c:v>0.12163897799999999</c:v>
                </c:pt>
                <c:pt idx="20">
                  <c:v>2.2966919999999998E-2</c:v>
                </c:pt>
                <c:pt idx="21">
                  <c:v>3.2743609999999999E-2</c:v>
                </c:pt>
              </c:numCache>
            </c:numRef>
          </c:yVal>
          <c:smooth val="0"/>
          <c:extLst xmlns:c16r2="http://schemas.microsoft.com/office/drawing/2015/06/chart">
            <c:ext xmlns:c16="http://schemas.microsoft.com/office/drawing/2014/chart" uri="{C3380CC4-5D6E-409C-BE32-E72D297353CC}">
              <c16:uniqueId val="{00000000-5C9B-4C4F-9F05-45D386CE90D5}"/>
            </c:ext>
          </c:extLst>
        </c:ser>
        <c:dLbls>
          <c:showLegendKey val="0"/>
          <c:showVal val="0"/>
          <c:showCatName val="0"/>
          <c:showSerName val="0"/>
          <c:showPercent val="0"/>
          <c:showBubbleSize val="0"/>
        </c:dLbls>
        <c:axId val="153578112"/>
        <c:axId val="153588864"/>
      </c:scatterChart>
      <c:valAx>
        <c:axId val="153578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Paleolatitude (degrees)</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588864"/>
        <c:crossesAt val="-1"/>
        <c:crossBetween val="midCat"/>
      </c:valAx>
      <c:valAx>
        <c:axId val="153588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000" b="0" i="0" baseline="0">
                    <a:effectLst/>
                  </a:rPr>
                  <a:t>τ</a:t>
                </a:r>
                <a:r>
                  <a:rPr lang="en-US" sz="1000" b="0" i="0" baseline="-25000">
                    <a:effectLst/>
                  </a:rPr>
                  <a:t>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578112"/>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chemeClr val="tx1"/>
                </a:solidFill>
                <a:latin typeface="Arial" panose="020B0604020202020204" pitchFamily="34" charset="0"/>
                <a:ea typeface="Tahoma" panose="020B0604030504040204" pitchFamily="34" charset="0"/>
                <a:cs typeface="Arial" panose="020B0604020202020204" pitchFamily="34" charset="0"/>
              </a:rPr>
              <a:t>Granite</a:t>
            </a:r>
          </a:p>
        </c:rich>
      </c:tx>
      <c:overlay val="0"/>
      <c:spPr>
        <a:noFill/>
        <a:ln>
          <a:noFill/>
        </a:ln>
        <a:effectLst/>
      </c:spPr>
    </c:title>
    <c:autoTitleDeleted val="0"/>
    <c:plotArea>
      <c:layout/>
      <c:barChart>
        <c:barDir val="col"/>
        <c:grouping val="clustered"/>
        <c:varyColors val="0"/>
        <c:ser>
          <c:idx val="0"/>
          <c:order val="0"/>
          <c:tx>
            <c:v>Granite Al citrate</c:v>
          </c:tx>
          <c:spPr>
            <a:solidFill>
              <a:schemeClr val="accent1">
                <a:lumMod val="75000"/>
              </a:schemeClr>
            </a:solidFill>
            <a:ln>
              <a:noFill/>
            </a:ln>
            <a:effectLst/>
          </c:spPr>
          <c:invertIfNegative val="0"/>
          <c:val>
            <c:numRef>
              <c:f>'Experimental losses'!$E$8</c:f>
              <c:numCache>
                <c:formatCode>General</c:formatCode>
                <c:ptCount val="1"/>
                <c:pt idx="0">
                  <c:v>0.28000000000000003</c:v>
                </c:pt>
              </c:numCache>
            </c:numRef>
          </c:val>
          <c:extLst xmlns:c16r2="http://schemas.microsoft.com/office/drawing/2015/06/chart">
            <c:ext xmlns:c16="http://schemas.microsoft.com/office/drawing/2014/chart" uri="{C3380CC4-5D6E-409C-BE32-E72D297353CC}">
              <c16:uniqueId val="{00000000-6214-4E79-BF97-C44B4252B7AE}"/>
            </c:ext>
          </c:extLst>
        </c:ser>
        <c:ser>
          <c:idx val="1"/>
          <c:order val="1"/>
          <c:tx>
            <c:v>Granite Al ligand free</c:v>
          </c:tx>
          <c:spPr>
            <a:solidFill>
              <a:schemeClr val="accent1">
                <a:lumMod val="60000"/>
                <a:lumOff val="40000"/>
              </a:schemeClr>
            </a:solidFill>
            <a:ln>
              <a:noFill/>
            </a:ln>
            <a:effectLst/>
          </c:spPr>
          <c:invertIfNegative val="0"/>
          <c:val>
            <c:numRef>
              <c:f>'Experimental losses'!$E$9</c:f>
              <c:numCache>
                <c:formatCode>General</c:formatCode>
                <c:ptCount val="1"/>
                <c:pt idx="0">
                  <c:v>1.8E-3</c:v>
                </c:pt>
              </c:numCache>
            </c:numRef>
          </c:val>
          <c:extLst xmlns:c16r2="http://schemas.microsoft.com/office/drawing/2015/06/chart">
            <c:ext xmlns:c16="http://schemas.microsoft.com/office/drawing/2014/chart" uri="{C3380CC4-5D6E-409C-BE32-E72D297353CC}">
              <c16:uniqueId val="{00000001-6214-4E79-BF97-C44B4252B7AE}"/>
            </c:ext>
          </c:extLst>
        </c:ser>
        <c:ser>
          <c:idx val="2"/>
          <c:order val="2"/>
          <c:tx>
            <c:v>Granite Ti citrate</c:v>
          </c:tx>
          <c:spPr>
            <a:solidFill>
              <a:schemeClr val="accent6">
                <a:lumMod val="75000"/>
              </a:schemeClr>
            </a:solidFill>
            <a:ln>
              <a:noFill/>
            </a:ln>
            <a:effectLst/>
          </c:spPr>
          <c:invertIfNegative val="0"/>
          <c:val>
            <c:numRef>
              <c:f>'Experimental losses'!$F$8</c:f>
              <c:numCache>
                <c:formatCode>General</c:formatCode>
                <c:ptCount val="1"/>
                <c:pt idx="0">
                  <c:v>0.35</c:v>
                </c:pt>
              </c:numCache>
            </c:numRef>
          </c:val>
          <c:extLst xmlns:c16r2="http://schemas.microsoft.com/office/drawing/2015/06/chart">
            <c:ext xmlns:c16="http://schemas.microsoft.com/office/drawing/2014/chart" uri="{C3380CC4-5D6E-409C-BE32-E72D297353CC}">
              <c16:uniqueId val="{00000002-6214-4E79-BF97-C44B4252B7AE}"/>
            </c:ext>
          </c:extLst>
        </c:ser>
        <c:ser>
          <c:idx val="3"/>
          <c:order val="3"/>
          <c:tx>
            <c:v>Granite Ti ligand free</c:v>
          </c:tx>
          <c:spPr>
            <a:solidFill>
              <a:schemeClr val="accent6">
                <a:lumMod val="60000"/>
                <a:lumOff val="40000"/>
              </a:schemeClr>
            </a:solidFill>
            <a:ln>
              <a:noFill/>
            </a:ln>
            <a:effectLst/>
          </c:spPr>
          <c:invertIfNegative val="0"/>
          <c:val>
            <c:numRef>
              <c:f>'Experimental losses'!$F$9</c:f>
              <c:numCache>
                <c:formatCode>General</c:formatCode>
                <c:ptCount val="1"/>
                <c:pt idx="0">
                  <c:v>1.4999999999999999E-4</c:v>
                </c:pt>
              </c:numCache>
            </c:numRef>
          </c:val>
          <c:extLst xmlns:c16r2="http://schemas.microsoft.com/office/drawing/2015/06/chart">
            <c:ext xmlns:c16="http://schemas.microsoft.com/office/drawing/2014/chart" uri="{C3380CC4-5D6E-409C-BE32-E72D297353CC}">
              <c16:uniqueId val="{00000003-6214-4E79-BF97-C44B4252B7AE}"/>
            </c:ext>
          </c:extLst>
        </c:ser>
        <c:ser>
          <c:idx val="4"/>
          <c:order val="4"/>
          <c:tx>
            <c:v>Granite Mg citrate</c:v>
          </c:tx>
          <c:spPr>
            <a:solidFill>
              <a:schemeClr val="accent2">
                <a:lumMod val="75000"/>
              </a:schemeClr>
            </a:solidFill>
            <a:ln>
              <a:noFill/>
            </a:ln>
            <a:effectLst/>
          </c:spPr>
          <c:invertIfNegative val="0"/>
          <c:val>
            <c:numRef>
              <c:f>'Experimental losses'!$G$8</c:f>
              <c:numCache>
                <c:formatCode>General</c:formatCode>
                <c:ptCount val="1"/>
                <c:pt idx="0">
                  <c:v>1.6</c:v>
                </c:pt>
              </c:numCache>
            </c:numRef>
          </c:val>
          <c:extLst xmlns:c16r2="http://schemas.microsoft.com/office/drawing/2015/06/chart">
            <c:ext xmlns:c16="http://schemas.microsoft.com/office/drawing/2014/chart" uri="{C3380CC4-5D6E-409C-BE32-E72D297353CC}">
              <c16:uniqueId val="{00000004-6214-4E79-BF97-C44B4252B7AE}"/>
            </c:ext>
          </c:extLst>
        </c:ser>
        <c:ser>
          <c:idx val="5"/>
          <c:order val="5"/>
          <c:tx>
            <c:v>Granite Mg ligand free</c:v>
          </c:tx>
          <c:spPr>
            <a:solidFill>
              <a:schemeClr val="accent2">
                <a:lumMod val="60000"/>
                <a:lumOff val="40000"/>
              </a:schemeClr>
            </a:solidFill>
            <a:ln>
              <a:noFill/>
            </a:ln>
            <a:effectLst/>
          </c:spPr>
          <c:invertIfNegative val="0"/>
          <c:val>
            <c:numRef>
              <c:f>'Experimental losses'!$G$9</c:f>
              <c:numCache>
                <c:formatCode>General</c:formatCode>
                <c:ptCount val="1"/>
                <c:pt idx="0">
                  <c:v>0.13</c:v>
                </c:pt>
              </c:numCache>
            </c:numRef>
          </c:val>
          <c:extLst xmlns:c16r2="http://schemas.microsoft.com/office/drawing/2015/06/chart">
            <c:ext xmlns:c16="http://schemas.microsoft.com/office/drawing/2014/chart" uri="{C3380CC4-5D6E-409C-BE32-E72D297353CC}">
              <c16:uniqueId val="{00000005-6214-4E79-BF97-C44B4252B7AE}"/>
            </c:ext>
          </c:extLst>
        </c:ser>
        <c:dLbls>
          <c:showLegendKey val="0"/>
          <c:showVal val="0"/>
          <c:showCatName val="0"/>
          <c:showSerName val="0"/>
          <c:showPercent val="0"/>
          <c:showBubbleSize val="0"/>
        </c:dLbls>
        <c:gapWidth val="219"/>
        <c:overlap val="-27"/>
        <c:axId val="59970688"/>
        <c:axId val="59972224"/>
      </c:barChart>
      <c:catAx>
        <c:axId val="59970688"/>
        <c:scaling>
          <c:orientation val="minMax"/>
        </c:scaling>
        <c:delete val="1"/>
        <c:axPos val="b"/>
        <c:majorTickMark val="none"/>
        <c:minorTickMark val="none"/>
        <c:tickLblPos val="nextTo"/>
        <c:crossAx val="59972224"/>
        <c:crosses val="autoZero"/>
        <c:auto val="1"/>
        <c:lblAlgn val="ctr"/>
        <c:lblOffset val="100"/>
        <c:noMultiLvlLbl val="0"/>
      </c:catAx>
      <c:valAx>
        <c:axId val="59972224"/>
        <c:scaling>
          <c:logBase val="10"/>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solidFill>
                      <a:schemeClr val="tx1"/>
                    </a:solidFill>
                    <a:latin typeface="Arial" panose="020B0604020202020204" pitchFamily="34" charset="0"/>
                    <a:cs typeface="Arial" panose="020B0604020202020204" pitchFamily="34" charset="0"/>
                  </a:rPr>
                  <a:t>Percent loss (%)</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59970688"/>
        <c:crosses val="autoZero"/>
        <c:crossBetween val="between"/>
      </c:valAx>
      <c:spPr>
        <a:noFill/>
        <a:ln>
          <a:solidFill>
            <a:schemeClr val="tx1"/>
          </a:solid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maximum</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tx1"/>
              </a:solidFill>
              <a:ln w="9525">
                <a:noFill/>
              </a:ln>
              <a:effectLst/>
            </c:spPr>
          </c:marker>
          <c:xVal>
            <c:numRef>
              <c:f>(Paleolatitudes!$B$3,Paleolatitudes!$B$6,Paleolatitudes!$B$9:$B$14,Paleolatitudes!$B$16,Paleolatitudes!$B$18:$B$21,Paleolatitudes!$B$26:$B$34)</c:f>
              <c:numCache>
                <c:formatCode>General</c:formatCode>
                <c:ptCount val="22"/>
                <c:pt idx="0">
                  <c:v>30</c:v>
                </c:pt>
                <c:pt idx="1">
                  <c:v>49</c:v>
                </c:pt>
                <c:pt idx="2">
                  <c:v>14</c:v>
                </c:pt>
                <c:pt idx="3">
                  <c:v>14</c:v>
                </c:pt>
                <c:pt idx="4">
                  <c:v>14</c:v>
                </c:pt>
                <c:pt idx="5">
                  <c:v>14</c:v>
                </c:pt>
                <c:pt idx="6">
                  <c:v>14</c:v>
                </c:pt>
                <c:pt idx="7">
                  <c:v>1</c:v>
                </c:pt>
                <c:pt idx="8">
                  <c:v>7</c:v>
                </c:pt>
                <c:pt idx="9">
                  <c:v>60</c:v>
                </c:pt>
                <c:pt idx="10">
                  <c:v>26</c:v>
                </c:pt>
                <c:pt idx="11">
                  <c:v>26</c:v>
                </c:pt>
                <c:pt idx="12">
                  <c:v>26</c:v>
                </c:pt>
                <c:pt idx="13">
                  <c:v>5</c:v>
                </c:pt>
                <c:pt idx="14">
                  <c:v>50</c:v>
                </c:pt>
                <c:pt idx="15">
                  <c:v>8</c:v>
                </c:pt>
                <c:pt idx="16">
                  <c:v>48</c:v>
                </c:pt>
                <c:pt idx="17">
                  <c:v>28</c:v>
                </c:pt>
                <c:pt idx="18">
                  <c:v>45</c:v>
                </c:pt>
                <c:pt idx="19">
                  <c:v>46</c:v>
                </c:pt>
                <c:pt idx="20">
                  <c:v>46</c:v>
                </c:pt>
                <c:pt idx="21">
                  <c:v>46</c:v>
                </c:pt>
              </c:numCache>
            </c:numRef>
          </c:xVal>
          <c:yVal>
            <c:numRef>
              <c:f>(Paleolatitudes!$H$3,Paleolatitudes!$H$6,Paleolatitudes!$H$9:$H$14,Paleolatitudes!$H$16,Paleolatitudes!$H$18:$H$21,Paleolatitudes!$H$26:$H$34)</c:f>
              <c:numCache>
                <c:formatCode>General</c:formatCode>
                <c:ptCount val="22"/>
                <c:pt idx="0">
                  <c:v>0.168823959</c:v>
                </c:pt>
                <c:pt idx="1">
                  <c:v>0.13389380100000001</c:v>
                </c:pt>
                <c:pt idx="2">
                  <c:v>0.31063829799999998</c:v>
                </c:pt>
                <c:pt idx="3">
                  <c:v>0.32631874300000002</c:v>
                </c:pt>
                <c:pt idx="4">
                  <c:v>4.7058819999999998E-3</c:v>
                </c:pt>
                <c:pt idx="5">
                  <c:v>0.188559695</c:v>
                </c:pt>
                <c:pt idx="6">
                  <c:v>0.22437979899999999</c:v>
                </c:pt>
                <c:pt idx="7">
                  <c:v>0.32501264000000002</c:v>
                </c:pt>
                <c:pt idx="8">
                  <c:v>0.117637045</c:v>
                </c:pt>
                <c:pt idx="9">
                  <c:v>0.24196630199999999</c:v>
                </c:pt>
                <c:pt idx="10">
                  <c:v>0.28909853200000002</c:v>
                </c:pt>
                <c:pt idx="11">
                  <c:v>1.7581020000000001E-3</c:v>
                </c:pt>
                <c:pt idx="12">
                  <c:v>-0.146341463</c:v>
                </c:pt>
                <c:pt idx="13">
                  <c:v>0.50272858899999995</c:v>
                </c:pt>
                <c:pt idx="14">
                  <c:v>1.1542565330000001</c:v>
                </c:pt>
                <c:pt idx="15">
                  <c:v>-0.11615120299999999</c:v>
                </c:pt>
                <c:pt idx="16">
                  <c:v>0.65104659099999995</c:v>
                </c:pt>
                <c:pt idx="17">
                  <c:v>1.019547865984801</c:v>
                </c:pt>
                <c:pt idx="18">
                  <c:v>1.210535989</c:v>
                </c:pt>
                <c:pt idx="19">
                  <c:v>0.53979121399999996</c:v>
                </c:pt>
                <c:pt idx="20">
                  <c:v>1.0169142280000001</c:v>
                </c:pt>
                <c:pt idx="21">
                  <c:v>8.7521173999999993E-2</c:v>
                </c:pt>
              </c:numCache>
            </c:numRef>
          </c:yVal>
          <c:smooth val="0"/>
          <c:extLst xmlns:c16r2="http://schemas.microsoft.com/office/drawing/2015/06/chart">
            <c:ext xmlns:c16="http://schemas.microsoft.com/office/drawing/2014/chart" uri="{C3380CC4-5D6E-409C-BE32-E72D297353CC}">
              <c16:uniqueId val="{00000000-CA9C-4DA8-AF5D-08E840E6C3E8}"/>
            </c:ext>
          </c:extLst>
        </c:ser>
        <c:dLbls>
          <c:showLegendKey val="0"/>
          <c:showVal val="0"/>
          <c:showCatName val="0"/>
          <c:showSerName val="0"/>
          <c:showPercent val="0"/>
          <c:showBubbleSize val="0"/>
        </c:dLbls>
        <c:axId val="153622016"/>
        <c:axId val="153628672"/>
      </c:scatterChart>
      <c:valAx>
        <c:axId val="1536220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Paleolatitude (degrees)</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628672"/>
        <c:crossesAt val="-1"/>
        <c:crossBetween val="midCat"/>
      </c:valAx>
      <c:valAx>
        <c:axId val="153628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000" b="0" i="0" baseline="0">
                    <a:effectLst/>
                  </a:rPr>
                  <a:t>τ</a:t>
                </a:r>
                <a:r>
                  <a:rPr lang="en-US" sz="1000" b="0" i="0" baseline="-25000">
                    <a:effectLst/>
                  </a:rPr>
                  <a:t>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622016"/>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Mt.</a:t>
            </a:r>
            <a:r>
              <a:rPr lang="en-US" sz="1500" baseline="0">
                <a:solidFill>
                  <a:sysClr val="windowText" lastClr="000000"/>
                </a:solidFill>
                <a:latin typeface="Arial" panose="020B0604020202020204" pitchFamily="34" charset="0"/>
                <a:cs typeface="Arial" panose="020B0604020202020204" pitchFamily="34" charset="0"/>
              </a:rPr>
              <a:t> Roe #2</a:t>
            </a:r>
            <a:endParaRPr lang="en-US" sz="1500">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itle>
    <c:autoTitleDeleted val="0"/>
    <c:plotArea>
      <c:layout/>
      <c:scatterChart>
        <c:scatterStyle val="lineMarker"/>
        <c:varyColors val="0"/>
        <c:ser>
          <c:idx val="0"/>
          <c:order val="0"/>
          <c:tx>
            <c:v>Total 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1"/>
            <c:trendlineLbl>
              <c:layout>
                <c:manualLayout>
                  <c:x val="-0.18695749577579043"/>
                  <c:y val="2.8217283415691647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'Mt. Roe #2'!$R$3:$R$16</c:f>
              <c:numCache>
                <c:formatCode>General</c:formatCode>
                <c:ptCount val="14"/>
                <c:pt idx="0">
                  <c:v>885</c:v>
                </c:pt>
                <c:pt idx="1">
                  <c:v>829</c:v>
                </c:pt>
                <c:pt idx="2">
                  <c:v>870</c:v>
                </c:pt>
                <c:pt idx="3">
                  <c:v>837</c:v>
                </c:pt>
                <c:pt idx="4">
                  <c:v>817</c:v>
                </c:pt>
                <c:pt idx="5">
                  <c:v>872</c:v>
                </c:pt>
                <c:pt idx="6">
                  <c:v>921</c:v>
                </c:pt>
                <c:pt idx="7">
                  <c:v>865</c:v>
                </c:pt>
                <c:pt idx="8">
                  <c:v>902</c:v>
                </c:pt>
                <c:pt idx="9">
                  <c:v>912</c:v>
                </c:pt>
                <c:pt idx="11">
                  <c:v>629</c:v>
                </c:pt>
                <c:pt idx="12">
                  <c:v>269</c:v>
                </c:pt>
                <c:pt idx="13">
                  <c:v>342</c:v>
                </c:pt>
              </c:numCache>
            </c:numRef>
          </c:xVal>
          <c:yVal>
            <c:numRef>
              <c:f>'Mt. Roe #2'!$S$3:$S$16</c:f>
              <c:numCache>
                <c:formatCode>General</c:formatCode>
                <c:ptCount val="14"/>
                <c:pt idx="0">
                  <c:v>18</c:v>
                </c:pt>
                <c:pt idx="1">
                  <c:v>17</c:v>
                </c:pt>
                <c:pt idx="2">
                  <c:v>18</c:v>
                </c:pt>
                <c:pt idx="3">
                  <c:v>18</c:v>
                </c:pt>
                <c:pt idx="4">
                  <c:v>17</c:v>
                </c:pt>
                <c:pt idx="5">
                  <c:v>20</c:v>
                </c:pt>
                <c:pt idx="7">
                  <c:v>18</c:v>
                </c:pt>
                <c:pt idx="8">
                  <c:v>17</c:v>
                </c:pt>
                <c:pt idx="9">
                  <c:v>19</c:v>
                </c:pt>
                <c:pt idx="10">
                  <c:v>17</c:v>
                </c:pt>
                <c:pt idx="11">
                  <c:v>13</c:v>
                </c:pt>
                <c:pt idx="12">
                  <c:v>6</c:v>
                </c:pt>
                <c:pt idx="13">
                  <c:v>6.7666666666666666</c:v>
                </c:pt>
              </c:numCache>
            </c:numRef>
          </c:yVal>
          <c:smooth val="0"/>
          <c:extLst xmlns:c16r2="http://schemas.microsoft.com/office/drawing/2015/06/chart">
            <c:ext xmlns:c16="http://schemas.microsoft.com/office/drawing/2014/chart" uri="{C3380CC4-5D6E-409C-BE32-E72D297353CC}">
              <c16:uniqueId val="{00000001-9372-4B49-BDA5-F44F70BBE3FB}"/>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'Mt. Roe #2'!$R$16</c:f>
              <c:numCache>
                <c:formatCode>General</c:formatCode>
                <c:ptCount val="1"/>
                <c:pt idx="0">
                  <c:v>342</c:v>
                </c:pt>
              </c:numCache>
            </c:numRef>
          </c:xVal>
          <c:yVal>
            <c:numRef>
              <c:f>'Mt. Roe #2'!$S$16</c:f>
              <c:numCache>
                <c:formatCode>General</c:formatCode>
                <c:ptCount val="1"/>
                <c:pt idx="0">
                  <c:v>6.7666666666666666</c:v>
                </c:pt>
              </c:numCache>
            </c:numRef>
          </c:yVal>
          <c:smooth val="0"/>
          <c:extLst xmlns:c16r2="http://schemas.microsoft.com/office/drawing/2015/06/chart">
            <c:ext xmlns:c16="http://schemas.microsoft.com/office/drawing/2014/chart" uri="{C3380CC4-5D6E-409C-BE32-E72D297353CC}">
              <c16:uniqueId val="{00000002-9372-4B49-BDA5-F44F70BBE3FB}"/>
            </c:ext>
          </c:extLst>
        </c:ser>
        <c:dLbls>
          <c:showLegendKey val="0"/>
          <c:showVal val="0"/>
          <c:showCatName val="0"/>
          <c:showSerName val="0"/>
          <c:showPercent val="0"/>
          <c:showBubbleSize val="0"/>
        </c:dLbls>
        <c:axId val="152602496"/>
        <c:axId val="152617344"/>
        <c:extLst xmlns:c16r2="http://schemas.microsoft.com/office/drawing/2015/06/chart"/>
      </c:scatterChart>
      <c:valAx>
        <c:axId val="152602496"/>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Zr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17344"/>
        <c:crossesAt val="-1"/>
        <c:crossBetween val="midCat"/>
      </c:valAx>
      <c:valAx>
        <c:axId val="152617344"/>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02496"/>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Mt. Roe #2</a:t>
            </a:r>
          </a:p>
        </c:rich>
      </c:tx>
      <c:overlay val="0"/>
      <c:spPr>
        <a:noFill/>
        <a:ln>
          <a:noFill/>
        </a:ln>
        <a:effectLst/>
      </c:spPr>
    </c:title>
    <c:autoTitleDeleted val="0"/>
    <c:plotArea>
      <c:layout/>
      <c:scatterChart>
        <c:scatterStyle val="lineMarker"/>
        <c:varyColors val="0"/>
        <c:ser>
          <c:idx val="0"/>
          <c:order val="0"/>
          <c:tx>
            <c:v>Total 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2841000856292224"/>
                  <c:y val="9.7102659906432437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'Mt. Roe #2'!$N$3:$N$16</c:f>
              <c:numCache>
                <c:formatCode>General</c:formatCode>
                <c:ptCount val="14"/>
                <c:pt idx="0">
                  <c:v>4.0758525053078554</c:v>
                </c:pt>
                <c:pt idx="1">
                  <c:v>4.0343468789808918</c:v>
                </c:pt>
                <c:pt idx="2">
                  <c:v>4.1007558811040346</c:v>
                </c:pt>
                <c:pt idx="3">
                  <c:v>4.0800030679405523</c:v>
                </c:pt>
                <c:pt idx="4">
                  <c:v>4.0592502547770701</c:v>
                </c:pt>
                <c:pt idx="5">
                  <c:v>3.9388839384288747</c:v>
                </c:pt>
                <c:pt idx="6">
                  <c:v>4.3788435774946919</c:v>
                </c:pt>
                <c:pt idx="7">
                  <c:v>4.0260457537154988</c:v>
                </c:pt>
                <c:pt idx="8">
                  <c:v>4.216971634819533</c:v>
                </c:pt>
                <c:pt idx="9">
                  <c:v>4.1837671337579625</c:v>
                </c:pt>
                <c:pt idx="10">
                  <c:v>4.1920682590233547</c:v>
                </c:pt>
                <c:pt idx="11">
                  <c:v>3.3204501061571126</c:v>
                </c:pt>
                <c:pt idx="12">
                  <c:v>0.24073263269639064</c:v>
                </c:pt>
                <c:pt idx="13">
                  <c:v>0.72634846072186843</c:v>
                </c:pt>
              </c:numCache>
            </c:numRef>
          </c:xVal>
          <c:yVal>
            <c:numRef>
              <c:f>'Mt. Roe #2'!$T$3:$T$16</c:f>
              <c:numCache>
                <c:formatCode>General</c:formatCode>
                <c:ptCount val="14"/>
                <c:pt idx="0">
                  <c:v>242</c:v>
                </c:pt>
                <c:pt idx="1">
                  <c:v>217</c:v>
                </c:pt>
                <c:pt idx="2">
                  <c:v>245</c:v>
                </c:pt>
                <c:pt idx="3">
                  <c:v>239</c:v>
                </c:pt>
                <c:pt idx="4">
                  <c:v>245</c:v>
                </c:pt>
                <c:pt idx="5">
                  <c:v>221</c:v>
                </c:pt>
                <c:pt idx="6">
                  <c:v>227</c:v>
                </c:pt>
                <c:pt idx="7">
                  <c:v>237</c:v>
                </c:pt>
                <c:pt idx="8">
                  <c:v>226</c:v>
                </c:pt>
                <c:pt idx="9">
                  <c:v>236</c:v>
                </c:pt>
                <c:pt idx="10">
                  <c:v>238</c:v>
                </c:pt>
                <c:pt idx="11">
                  <c:v>198</c:v>
                </c:pt>
                <c:pt idx="12">
                  <c:v>13</c:v>
                </c:pt>
                <c:pt idx="13">
                  <c:v>28</c:v>
                </c:pt>
              </c:numCache>
            </c:numRef>
          </c:yVal>
          <c:smooth val="0"/>
          <c:extLst xmlns:c16r2="http://schemas.microsoft.com/office/drawing/2015/06/chart">
            <c:ext xmlns:c16="http://schemas.microsoft.com/office/drawing/2014/chart" uri="{C3380CC4-5D6E-409C-BE32-E72D297353CC}">
              <c16:uniqueId val="{00000001-7502-4B16-881F-2FAA3D4C8253}"/>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'Mt. Roe #2'!$N$16</c:f>
              <c:numCache>
                <c:formatCode>General</c:formatCode>
                <c:ptCount val="1"/>
                <c:pt idx="0">
                  <c:v>0.72634846072186843</c:v>
                </c:pt>
              </c:numCache>
            </c:numRef>
          </c:xVal>
          <c:yVal>
            <c:numRef>
              <c:f>'Mt. Roe #2'!$T$16</c:f>
              <c:numCache>
                <c:formatCode>General</c:formatCode>
                <c:ptCount val="1"/>
                <c:pt idx="0">
                  <c:v>28</c:v>
                </c:pt>
              </c:numCache>
            </c:numRef>
          </c:yVal>
          <c:smooth val="0"/>
          <c:extLst xmlns:c16r2="http://schemas.microsoft.com/office/drawing/2015/06/chart">
            <c:ext xmlns:c16="http://schemas.microsoft.com/office/drawing/2014/chart" uri="{C3380CC4-5D6E-409C-BE32-E72D297353CC}">
              <c16:uniqueId val="{00000002-7502-4B16-881F-2FAA3D4C8253}"/>
            </c:ext>
          </c:extLst>
        </c:ser>
        <c:dLbls>
          <c:showLegendKey val="0"/>
          <c:showVal val="0"/>
          <c:showCatName val="0"/>
          <c:showSerName val="0"/>
          <c:showPercent val="0"/>
          <c:showBubbleSize val="0"/>
        </c:dLbls>
        <c:axId val="153692800"/>
        <c:axId val="153711744"/>
        <c:extLst xmlns:c16r2="http://schemas.microsoft.com/office/drawing/2015/06/chart"/>
      </c:scatterChart>
      <c:valAx>
        <c:axId val="153692800"/>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K (wt%)</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711744"/>
        <c:crossesAt val="-1"/>
        <c:crossBetween val="midCat"/>
      </c:valAx>
      <c:valAx>
        <c:axId val="153711744"/>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Rb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692800"/>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Mt.</a:t>
            </a:r>
            <a:r>
              <a:rPr lang="en-US" sz="1500" baseline="0">
                <a:solidFill>
                  <a:sysClr val="windowText" lastClr="000000"/>
                </a:solidFill>
                <a:latin typeface="Arial" panose="020B0604020202020204" pitchFamily="34" charset="0"/>
                <a:cs typeface="Arial" panose="020B0604020202020204" pitchFamily="34" charset="0"/>
              </a:rPr>
              <a:t> Roe #2</a:t>
            </a:r>
            <a:endParaRPr lang="en-US" sz="1500">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itle>
    <c:autoTitleDeleted val="0"/>
    <c:plotArea>
      <c:layout/>
      <c:scatterChart>
        <c:scatterStyle val="lineMarker"/>
        <c:varyColors val="0"/>
        <c:ser>
          <c:idx val="0"/>
          <c:order val="0"/>
          <c:tx>
            <c:v>Total 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2841000856292224"/>
                  <c:y val="9.7102659906432437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'Mt. Roe #2'!$T$3:$T$16</c:f>
              <c:numCache>
                <c:formatCode>General</c:formatCode>
                <c:ptCount val="14"/>
                <c:pt idx="0">
                  <c:v>242</c:v>
                </c:pt>
                <c:pt idx="1">
                  <c:v>217</c:v>
                </c:pt>
                <c:pt idx="2">
                  <c:v>245</c:v>
                </c:pt>
                <c:pt idx="3">
                  <c:v>239</c:v>
                </c:pt>
                <c:pt idx="4">
                  <c:v>245</c:v>
                </c:pt>
                <c:pt idx="5">
                  <c:v>221</c:v>
                </c:pt>
                <c:pt idx="6">
                  <c:v>227</c:v>
                </c:pt>
                <c:pt idx="7">
                  <c:v>237</c:v>
                </c:pt>
                <c:pt idx="8">
                  <c:v>226</c:v>
                </c:pt>
                <c:pt idx="9">
                  <c:v>236</c:v>
                </c:pt>
                <c:pt idx="10">
                  <c:v>238</c:v>
                </c:pt>
                <c:pt idx="11">
                  <c:v>198</c:v>
                </c:pt>
                <c:pt idx="12">
                  <c:v>13</c:v>
                </c:pt>
                <c:pt idx="13">
                  <c:v>28</c:v>
                </c:pt>
              </c:numCache>
            </c:numRef>
          </c:xVal>
          <c:yVal>
            <c:numRef>
              <c:f>'Mt. Roe #2'!$S$3:$S$16</c:f>
              <c:numCache>
                <c:formatCode>General</c:formatCode>
                <c:ptCount val="14"/>
                <c:pt idx="0">
                  <c:v>18</c:v>
                </c:pt>
                <c:pt idx="1">
                  <c:v>17</c:v>
                </c:pt>
                <c:pt idx="2">
                  <c:v>18</c:v>
                </c:pt>
                <c:pt idx="3">
                  <c:v>18</c:v>
                </c:pt>
                <c:pt idx="4">
                  <c:v>17</c:v>
                </c:pt>
                <c:pt idx="5">
                  <c:v>20</c:v>
                </c:pt>
                <c:pt idx="7">
                  <c:v>18</c:v>
                </c:pt>
                <c:pt idx="8">
                  <c:v>17</c:v>
                </c:pt>
                <c:pt idx="9">
                  <c:v>19</c:v>
                </c:pt>
                <c:pt idx="10">
                  <c:v>17</c:v>
                </c:pt>
                <c:pt idx="11">
                  <c:v>13</c:v>
                </c:pt>
                <c:pt idx="12">
                  <c:v>6</c:v>
                </c:pt>
                <c:pt idx="13">
                  <c:v>6.7666666666666666</c:v>
                </c:pt>
              </c:numCache>
            </c:numRef>
          </c:yVal>
          <c:smooth val="0"/>
          <c:extLst xmlns:c16r2="http://schemas.microsoft.com/office/drawing/2015/06/chart">
            <c:ext xmlns:c16="http://schemas.microsoft.com/office/drawing/2014/chart" uri="{C3380CC4-5D6E-409C-BE32-E72D297353CC}">
              <c16:uniqueId val="{00000001-5993-4E28-95D1-63C9D6DCB047}"/>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'Mt. Roe #2'!$T$16</c:f>
              <c:numCache>
                <c:formatCode>General</c:formatCode>
                <c:ptCount val="1"/>
                <c:pt idx="0">
                  <c:v>28</c:v>
                </c:pt>
              </c:numCache>
            </c:numRef>
          </c:xVal>
          <c:yVal>
            <c:numRef>
              <c:f>'Mt. Roe #2'!$S$16</c:f>
              <c:numCache>
                <c:formatCode>General</c:formatCode>
                <c:ptCount val="1"/>
                <c:pt idx="0">
                  <c:v>6.7666666666666666</c:v>
                </c:pt>
              </c:numCache>
            </c:numRef>
          </c:yVal>
          <c:smooth val="0"/>
          <c:extLst xmlns:c16r2="http://schemas.microsoft.com/office/drawing/2015/06/chart">
            <c:ext xmlns:c16="http://schemas.microsoft.com/office/drawing/2014/chart" uri="{C3380CC4-5D6E-409C-BE32-E72D297353CC}">
              <c16:uniqueId val="{00000002-5993-4E28-95D1-63C9D6DCB047}"/>
            </c:ext>
          </c:extLst>
        </c:ser>
        <c:dLbls>
          <c:showLegendKey val="0"/>
          <c:showVal val="0"/>
          <c:showCatName val="0"/>
          <c:showSerName val="0"/>
          <c:showPercent val="0"/>
          <c:showBubbleSize val="0"/>
        </c:dLbls>
        <c:axId val="152767872"/>
        <c:axId val="152778624"/>
        <c:extLst xmlns:c16r2="http://schemas.microsoft.com/office/drawing/2015/06/chart"/>
      </c:scatterChart>
      <c:valAx>
        <c:axId val="152767872"/>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Rb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778624"/>
        <c:crossesAt val="-1"/>
        <c:crossBetween val="midCat"/>
      </c:valAx>
      <c:valAx>
        <c:axId val="152778624"/>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767872"/>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Black Reef</a:t>
            </a:r>
          </a:p>
        </c:rich>
      </c:tx>
      <c:overlay val="0"/>
      <c:spPr>
        <a:noFill/>
        <a:ln>
          <a:noFill/>
        </a:ln>
        <a:effectLst/>
      </c:spPr>
    </c:title>
    <c:autoTitleDeleted val="0"/>
    <c:plotArea>
      <c:layout/>
      <c:scatterChart>
        <c:scatterStyle val="lineMarker"/>
        <c:varyColors val="0"/>
        <c:ser>
          <c:idx val="0"/>
          <c:order val="0"/>
          <c:tx>
            <c:v>Profile minus outlier</c:v>
          </c:tx>
          <c:spPr>
            <a:ln w="25400" cap="rnd">
              <a:noFill/>
              <a:round/>
            </a:ln>
            <a:effectLst/>
          </c:spPr>
          <c:marker>
            <c:symbol val="circle"/>
            <c:size val="8"/>
            <c:spPr>
              <a:solidFill>
                <a:schemeClr val="accent1"/>
              </a:solidFill>
              <a:ln w="9525">
                <a:solidFill>
                  <a:schemeClr val="tx1"/>
                </a:solidFill>
              </a:ln>
              <a:effectLst/>
            </c:spPr>
          </c:marker>
          <c:dPt>
            <c:idx val="11"/>
            <c:bubble3D val="0"/>
            <c:extLst xmlns:c16r2="http://schemas.microsoft.com/office/drawing/2015/06/chart">
              <c:ext xmlns:c16="http://schemas.microsoft.com/office/drawing/2014/chart" uri="{C3380CC4-5D6E-409C-BE32-E72D297353CC}">
                <c16:uniqueId val="{00000001-1D8B-446F-AF66-C32D8C8FE268}"/>
              </c:ext>
            </c:extLst>
          </c:dPt>
          <c:trendline>
            <c:spPr>
              <a:ln w="19050" cap="rnd">
                <a:solidFill>
                  <a:schemeClr val="tx1"/>
                </a:solidFill>
                <a:prstDash val="sysDot"/>
              </a:ln>
              <a:effectLst/>
            </c:spPr>
            <c:trendlineType val="linear"/>
            <c:dispRSqr val="1"/>
            <c:dispEq val="0"/>
            <c:trendlineLbl>
              <c:layout>
                <c:manualLayout>
                  <c:x val="0.24418707179599611"/>
                  <c:y val="0.15729986359924117"/>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'Black Reef'!$R$5:$R$24</c:f>
              <c:numCache>
                <c:formatCode>General</c:formatCode>
                <c:ptCount val="20"/>
                <c:pt idx="0">
                  <c:v>160</c:v>
                </c:pt>
                <c:pt idx="1">
                  <c:v>99</c:v>
                </c:pt>
                <c:pt idx="2">
                  <c:v>130</c:v>
                </c:pt>
                <c:pt idx="3">
                  <c:v>210</c:v>
                </c:pt>
                <c:pt idx="4">
                  <c:v>220</c:v>
                </c:pt>
                <c:pt idx="5">
                  <c:v>130</c:v>
                </c:pt>
                <c:pt idx="6">
                  <c:v>150</c:v>
                </c:pt>
                <c:pt idx="7">
                  <c:v>79</c:v>
                </c:pt>
                <c:pt idx="8">
                  <c:v>110</c:v>
                </c:pt>
                <c:pt idx="9">
                  <c:v>120</c:v>
                </c:pt>
                <c:pt idx="10">
                  <c:v>95</c:v>
                </c:pt>
                <c:pt idx="11">
                  <c:v>150</c:v>
                </c:pt>
                <c:pt idx="12">
                  <c:v>110</c:v>
                </c:pt>
                <c:pt idx="13">
                  <c:v>140</c:v>
                </c:pt>
                <c:pt idx="14">
                  <c:v>120</c:v>
                </c:pt>
                <c:pt idx="15">
                  <c:v>170</c:v>
                </c:pt>
                <c:pt idx="16">
                  <c:v>130</c:v>
                </c:pt>
                <c:pt idx="17">
                  <c:v>120</c:v>
                </c:pt>
                <c:pt idx="18">
                  <c:v>91</c:v>
                </c:pt>
                <c:pt idx="19">
                  <c:v>140</c:v>
                </c:pt>
              </c:numCache>
            </c:numRef>
          </c:xVal>
          <c:yVal>
            <c:numRef>
              <c:f>'Black Reef'!$S$5:$S$24</c:f>
              <c:numCache>
                <c:formatCode>General</c:formatCode>
                <c:ptCount val="20"/>
                <c:pt idx="0">
                  <c:v>11</c:v>
                </c:pt>
                <c:pt idx="1">
                  <c:v>8.8699999999999992</c:v>
                </c:pt>
                <c:pt idx="3">
                  <c:v>18.899999999999999</c:v>
                </c:pt>
                <c:pt idx="5">
                  <c:v>10.5</c:v>
                </c:pt>
                <c:pt idx="7">
                  <c:v>11.6</c:v>
                </c:pt>
                <c:pt idx="9">
                  <c:v>12.9</c:v>
                </c:pt>
                <c:pt idx="10">
                  <c:v>4.09</c:v>
                </c:pt>
                <c:pt idx="12">
                  <c:v>10.7</c:v>
                </c:pt>
                <c:pt idx="13">
                  <c:v>9.6300000000000008</c:v>
                </c:pt>
                <c:pt idx="14">
                  <c:v>8.98</c:v>
                </c:pt>
                <c:pt idx="16">
                  <c:v>10.199999999999999</c:v>
                </c:pt>
                <c:pt idx="18">
                  <c:v>10.199999999999999</c:v>
                </c:pt>
                <c:pt idx="19">
                  <c:v>9</c:v>
                </c:pt>
              </c:numCache>
            </c:numRef>
          </c:yVal>
          <c:smooth val="0"/>
          <c:extLst xmlns:c16r2="http://schemas.microsoft.com/office/drawing/2015/06/chart">
            <c:ext xmlns:c16="http://schemas.microsoft.com/office/drawing/2014/chart" uri="{C3380CC4-5D6E-409C-BE32-E72D297353CC}">
              <c16:uniqueId val="{00000001-2C94-4545-8B93-738847908965}"/>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'Black Reef'!$R$24</c:f>
              <c:numCache>
                <c:formatCode>General</c:formatCode>
                <c:ptCount val="1"/>
                <c:pt idx="0">
                  <c:v>140</c:v>
                </c:pt>
              </c:numCache>
            </c:numRef>
          </c:xVal>
          <c:yVal>
            <c:numRef>
              <c:f>'Black Reef'!$S$24</c:f>
              <c:numCache>
                <c:formatCode>General</c:formatCode>
                <c:ptCount val="1"/>
                <c:pt idx="0">
                  <c:v>9</c:v>
                </c:pt>
              </c:numCache>
            </c:numRef>
          </c:yVal>
          <c:smooth val="0"/>
          <c:extLst xmlns:c16r2="http://schemas.microsoft.com/office/drawing/2015/06/chart">
            <c:ext xmlns:c16="http://schemas.microsoft.com/office/drawing/2014/chart" uri="{C3380CC4-5D6E-409C-BE32-E72D297353CC}">
              <c16:uniqueId val="{00000002-2C94-4545-8B93-738847908965}"/>
            </c:ext>
          </c:extLst>
        </c:ser>
        <c:ser>
          <c:idx val="2"/>
          <c:order val="2"/>
          <c:tx>
            <c:v>Outlier</c:v>
          </c:tx>
          <c:spPr>
            <a:ln w="25400" cap="rnd">
              <a:noFill/>
              <a:round/>
            </a:ln>
            <a:effectLst/>
          </c:spPr>
          <c:marker>
            <c:symbol val="circle"/>
            <c:size val="8"/>
            <c:spPr>
              <a:solidFill>
                <a:schemeClr val="accent3"/>
              </a:solidFill>
              <a:ln w="9525">
                <a:solidFill>
                  <a:schemeClr val="tx1"/>
                </a:solidFill>
              </a:ln>
              <a:effectLst/>
            </c:spPr>
          </c:marker>
          <c:xVal>
            <c:numRef>
              <c:f>'Black Reef'!$R$3</c:f>
              <c:numCache>
                <c:formatCode>General</c:formatCode>
                <c:ptCount val="1"/>
                <c:pt idx="0">
                  <c:v>500</c:v>
                </c:pt>
              </c:numCache>
            </c:numRef>
          </c:xVal>
          <c:yVal>
            <c:numRef>
              <c:f>'Black Reef'!$S$3</c:f>
              <c:numCache>
                <c:formatCode>General</c:formatCode>
                <c:ptCount val="1"/>
                <c:pt idx="0">
                  <c:v>10.199999999999999</c:v>
                </c:pt>
              </c:numCache>
            </c:numRef>
          </c:yVal>
          <c:smooth val="0"/>
          <c:extLst xmlns:c16r2="http://schemas.microsoft.com/office/drawing/2015/06/chart">
            <c:ext xmlns:c16="http://schemas.microsoft.com/office/drawing/2014/chart" uri="{C3380CC4-5D6E-409C-BE32-E72D297353CC}">
              <c16:uniqueId val="{00000004-2C94-4545-8B93-738847908965}"/>
            </c:ext>
          </c:extLst>
        </c:ser>
        <c:dLbls>
          <c:showLegendKey val="0"/>
          <c:showVal val="0"/>
          <c:showCatName val="0"/>
          <c:showSerName val="0"/>
          <c:showPercent val="0"/>
          <c:showBubbleSize val="0"/>
        </c:dLbls>
        <c:axId val="153946752"/>
        <c:axId val="153953408"/>
        <c:extLst xmlns:c16r2="http://schemas.microsoft.com/office/drawing/2015/06/chart"/>
      </c:scatterChart>
      <c:valAx>
        <c:axId val="153946752"/>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Zr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953408"/>
        <c:crossesAt val="-1"/>
        <c:crossBetween val="midCat"/>
      </c:valAx>
      <c:valAx>
        <c:axId val="153953408"/>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946752"/>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Black Reef</a:t>
            </a:r>
          </a:p>
        </c:rich>
      </c:tx>
      <c:overlay val="0"/>
      <c:spPr>
        <a:noFill/>
        <a:ln>
          <a:noFill/>
        </a:ln>
        <a:effectLst/>
      </c:spPr>
    </c:title>
    <c:autoTitleDeleted val="0"/>
    <c:plotArea>
      <c:layout/>
      <c:scatterChart>
        <c:scatterStyle val="lineMarker"/>
        <c:varyColors val="0"/>
        <c:ser>
          <c:idx val="0"/>
          <c:order val="0"/>
          <c:tx>
            <c:v>Profile minus outliers</c:v>
          </c:tx>
          <c:spPr>
            <a:ln w="25400" cap="rnd">
              <a:noFill/>
              <a:round/>
            </a:ln>
            <a:effectLst/>
          </c:spPr>
          <c:marker>
            <c:symbol val="circle"/>
            <c:size val="8"/>
            <c:spPr>
              <a:solidFill>
                <a:schemeClr val="accent1"/>
              </a:solidFill>
              <a:ln w="9525">
                <a:solidFill>
                  <a:schemeClr val="tx1"/>
                </a:solidFill>
              </a:ln>
              <a:effectLst/>
            </c:spPr>
          </c:marker>
          <c:dPt>
            <c:idx val="11"/>
            <c:bubble3D val="0"/>
            <c:extLst xmlns:c16r2="http://schemas.microsoft.com/office/drawing/2015/06/chart">
              <c:ext xmlns:c16="http://schemas.microsoft.com/office/drawing/2014/chart" uri="{C3380CC4-5D6E-409C-BE32-E72D297353CC}">
                <c16:uniqueId val="{00000000-32F6-4C19-A1C4-50E9B1898658}"/>
              </c:ext>
            </c:extLst>
          </c:dPt>
          <c:trendline>
            <c:spPr>
              <a:ln w="19050" cap="rnd">
                <a:solidFill>
                  <a:schemeClr val="tx1"/>
                </a:solidFill>
                <a:prstDash val="sysDot"/>
              </a:ln>
              <a:effectLst/>
            </c:spPr>
            <c:trendlineType val="linear"/>
            <c:dispRSqr val="1"/>
            <c:dispEq val="0"/>
            <c:trendlineLbl>
              <c:layout>
                <c:manualLayout>
                  <c:x val="-0.2841000856292224"/>
                  <c:y val="9.7102659906432437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'Black Reef'!$N$5:$N$24</c:f>
              <c:numCache>
                <c:formatCode>General</c:formatCode>
                <c:ptCount val="20"/>
                <c:pt idx="0">
                  <c:v>1.8677531847133757</c:v>
                </c:pt>
                <c:pt idx="1">
                  <c:v>1.527407048832272</c:v>
                </c:pt>
                <c:pt idx="2">
                  <c:v>1.5896654883227175</c:v>
                </c:pt>
                <c:pt idx="3">
                  <c:v>2.1209375053078561</c:v>
                </c:pt>
                <c:pt idx="4">
                  <c:v>2.1582925690021235</c:v>
                </c:pt>
                <c:pt idx="5">
                  <c:v>2.4446813906581739</c:v>
                </c:pt>
                <c:pt idx="6">
                  <c:v>2.3243150743099785</c:v>
                </c:pt>
                <c:pt idx="7">
                  <c:v>2.4363802653927813</c:v>
                </c:pt>
                <c:pt idx="8">
                  <c:v>2.4405308280254778</c:v>
                </c:pt>
                <c:pt idx="9">
                  <c:v>2.6812634607218682</c:v>
                </c:pt>
                <c:pt idx="10">
                  <c:v>2.6439083970276007</c:v>
                </c:pt>
                <c:pt idx="11">
                  <c:v>2.6024027707006367</c:v>
                </c:pt>
                <c:pt idx="12">
                  <c:v>2.5442948938428875</c:v>
                </c:pt>
                <c:pt idx="13">
                  <c:v>1.9258610615711251</c:v>
                </c:pt>
                <c:pt idx="14">
                  <c:v>2.755973588110403</c:v>
                </c:pt>
                <c:pt idx="15">
                  <c:v>2.3990252016985139</c:v>
                </c:pt>
                <c:pt idx="16">
                  <c:v>2.7518230254777065</c:v>
                </c:pt>
                <c:pt idx="17">
                  <c:v>2.6646612101910829</c:v>
                </c:pt>
                <c:pt idx="18">
                  <c:v>2.9967062208067943</c:v>
                </c:pt>
                <c:pt idx="19">
                  <c:v>1.7473868683651805</c:v>
                </c:pt>
              </c:numCache>
            </c:numRef>
          </c:xVal>
          <c:yVal>
            <c:numRef>
              <c:f>'Black Reef'!$T$5:$T$24</c:f>
              <c:numCache>
                <c:formatCode>General</c:formatCode>
                <c:ptCount val="20"/>
                <c:pt idx="0">
                  <c:v>150</c:v>
                </c:pt>
                <c:pt idx="1">
                  <c:v>120</c:v>
                </c:pt>
                <c:pt idx="2">
                  <c:v>170</c:v>
                </c:pt>
                <c:pt idx="3">
                  <c:v>220</c:v>
                </c:pt>
                <c:pt idx="4">
                  <c:v>240</c:v>
                </c:pt>
                <c:pt idx="5">
                  <c:v>200</c:v>
                </c:pt>
                <c:pt idx="6">
                  <c:v>220</c:v>
                </c:pt>
                <c:pt idx="7">
                  <c:v>190</c:v>
                </c:pt>
                <c:pt idx="8">
                  <c:v>210</c:v>
                </c:pt>
                <c:pt idx="9">
                  <c:v>210</c:v>
                </c:pt>
                <c:pt idx="10">
                  <c:v>91</c:v>
                </c:pt>
                <c:pt idx="11">
                  <c:v>230</c:v>
                </c:pt>
                <c:pt idx="12">
                  <c:v>190</c:v>
                </c:pt>
                <c:pt idx="13">
                  <c:v>160</c:v>
                </c:pt>
                <c:pt idx="14">
                  <c:v>230</c:v>
                </c:pt>
                <c:pt idx="15">
                  <c:v>240</c:v>
                </c:pt>
                <c:pt idx="16">
                  <c:v>230</c:v>
                </c:pt>
                <c:pt idx="17">
                  <c:v>230</c:v>
                </c:pt>
                <c:pt idx="18">
                  <c:v>270</c:v>
                </c:pt>
                <c:pt idx="19">
                  <c:v>160</c:v>
                </c:pt>
              </c:numCache>
            </c:numRef>
          </c:yVal>
          <c:smooth val="0"/>
          <c:extLst xmlns:c16r2="http://schemas.microsoft.com/office/drawing/2015/06/chart">
            <c:ext xmlns:c16="http://schemas.microsoft.com/office/drawing/2014/chart" uri="{C3380CC4-5D6E-409C-BE32-E72D297353CC}">
              <c16:uniqueId val="{00000001-1753-4509-A853-9A5FE34324AD}"/>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'Black Reef'!$N$24</c:f>
              <c:numCache>
                <c:formatCode>General</c:formatCode>
                <c:ptCount val="1"/>
                <c:pt idx="0">
                  <c:v>1.7473868683651805</c:v>
                </c:pt>
              </c:numCache>
            </c:numRef>
          </c:xVal>
          <c:yVal>
            <c:numRef>
              <c:f>'Black Reef'!$T$24</c:f>
              <c:numCache>
                <c:formatCode>General</c:formatCode>
                <c:ptCount val="1"/>
                <c:pt idx="0">
                  <c:v>160</c:v>
                </c:pt>
              </c:numCache>
            </c:numRef>
          </c:yVal>
          <c:smooth val="0"/>
          <c:extLst xmlns:c16r2="http://schemas.microsoft.com/office/drawing/2015/06/chart">
            <c:ext xmlns:c16="http://schemas.microsoft.com/office/drawing/2014/chart" uri="{C3380CC4-5D6E-409C-BE32-E72D297353CC}">
              <c16:uniqueId val="{00000002-1753-4509-A853-9A5FE34324AD}"/>
            </c:ext>
          </c:extLst>
        </c:ser>
        <c:ser>
          <c:idx val="2"/>
          <c:order val="2"/>
          <c:tx>
            <c:v>Outliers</c:v>
          </c:tx>
          <c:spPr>
            <a:ln w="25400" cap="rnd">
              <a:noFill/>
              <a:round/>
            </a:ln>
            <a:effectLst/>
          </c:spPr>
          <c:marker>
            <c:symbol val="circle"/>
            <c:size val="8"/>
            <c:spPr>
              <a:solidFill>
                <a:schemeClr val="accent3"/>
              </a:solidFill>
              <a:ln w="9525">
                <a:solidFill>
                  <a:schemeClr val="tx1"/>
                </a:solidFill>
              </a:ln>
              <a:effectLst/>
            </c:spPr>
          </c:marker>
          <c:xVal>
            <c:numRef>
              <c:f>'Black Reef'!$N$3:$N$4</c:f>
              <c:numCache>
                <c:formatCode>General</c:formatCode>
                <c:ptCount val="2"/>
                <c:pt idx="0">
                  <c:v>2.5608971443736732</c:v>
                </c:pt>
                <c:pt idx="1">
                  <c:v>3.050663535031847</c:v>
                </c:pt>
              </c:numCache>
            </c:numRef>
          </c:xVal>
          <c:yVal>
            <c:numRef>
              <c:f>'Black Reef'!$T$3:$T$4</c:f>
              <c:numCache>
                <c:formatCode>General</c:formatCode>
                <c:ptCount val="2"/>
                <c:pt idx="0">
                  <c:v>170</c:v>
                </c:pt>
                <c:pt idx="1">
                  <c:v>230</c:v>
                </c:pt>
              </c:numCache>
            </c:numRef>
          </c:yVal>
          <c:smooth val="0"/>
          <c:extLst xmlns:c16r2="http://schemas.microsoft.com/office/drawing/2015/06/chart">
            <c:ext xmlns:c16="http://schemas.microsoft.com/office/drawing/2014/chart" uri="{C3380CC4-5D6E-409C-BE32-E72D297353CC}">
              <c16:uniqueId val="{00000004-1753-4509-A853-9A5FE34324AD}"/>
            </c:ext>
          </c:extLst>
        </c:ser>
        <c:dLbls>
          <c:showLegendKey val="0"/>
          <c:showVal val="0"/>
          <c:showCatName val="0"/>
          <c:showSerName val="0"/>
          <c:showPercent val="0"/>
          <c:showBubbleSize val="0"/>
        </c:dLbls>
        <c:axId val="153990656"/>
        <c:axId val="153997312"/>
        <c:extLst xmlns:c16r2="http://schemas.microsoft.com/office/drawing/2015/06/chart"/>
      </c:scatterChart>
      <c:valAx>
        <c:axId val="153990656"/>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K (wt%)</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997312"/>
        <c:crossesAt val="-1"/>
        <c:crossBetween val="midCat"/>
      </c:valAx>
      <c:valAx>
        <c:axId val="153997312"/>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Rb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990656"/>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Black Reef</a:t>
            </a:r>
          </a:p>
        </c:rich>
      </c:tx>
      <c:overlay val="0"/>
      <c:spPr>
        <a:noFill/>
        <a:ln>
          <a:noFill/>
        </a:ln>
        <a:effectLst/>
      </c:spPr>
    </c:title>
    <c:autoTitleDeleted val="0"/>
    <c:plotArea>
      <c:layout/>
      <c:scatterChart>
        <c:scatterStyle val="lineMarker"/>
        <c:varyColors val="0"/>
        <c:ser>
          <c:idx val="0"/>
          <c:order val="0"/>
          <c:tx>
            <c:v>Profile minus outlier</c:v>
          </c:tx>
          <c:spPr>
            <a:ln w="25400" cap="rnd">
              <a:noFill/>
              <a:round/>
            </a:ln>
            <a:effectLst/>
          </c:spPr>
          <c:marker>
            <c:symbol val="circle"/>
            <c:size val="8"/>
            <c:spPr>
              <a:solidFill>
                <a:schemeClr val="accent1"/>
              </a:solidFill>
              <a:ln w="9525">
                <a:solidFill>
                  <a:schemeClr val="tx1"/>
                </a:solidFill>
              </a:ln>
              <a:effectLst/>
            </c:spPr>
          </c:marker>
          <c:dPt>
            <c:idx val="11"/>
            <c:bubble3D val="0"/>
            <c:extLst xmlns:c16r2="http://schemas.microsoft.com/office/drawing/2015/06/chart">
              <c:ext xmlns:c16="http://schemas.microsoft.com/office/drawing/2014/chart" uri="{C3380CC4-5D6E-409C-BE32-E72D297353CC}">
                <c16:uniqueId val="{00000001-2887-4104-A716-C36C1583C5A4}"/>
              </c:ext>
            </c:extLst>
          </c:dPt>
          <c:trendline>
            <c:spPr>
              <a:ln w="19050" cap="rnd">
                <a:solidFill>
                  <a:schemeClr val="tx1"/>
                </a:solidFill>
                <a:prstDash val="sysDot"/>
              </a:ln>
              <a:effectLst/>
            </c:spPr>
            <c:trendlineType val="linear"/>
            <c:dispRSqr val="1"/>
            <c:dispEq val="0"/>
            <c:trendlineLbl>
              <c:layout>
                <c:manualLayout>
                  <c:x val="-0.35886568025939403"/>
                  <c:y val="-3.1460899161783844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'Black Reef'!$T$5:$T$24</c:f>
              <c:numCache>
                <c:formatCode>General</c:formatCode>
                <c:ptCount val="20"/>
                <c:pt idx="0">
                  <c:v>150</c:v>
                </c:pt>
                <c:pt idx="1">
                  <c:v>120</c:v>
                </c:pt>
                <c:pt idx="2">
                  <c:v>170</c:v>
                </c:pt>
                <c:pt idx="3">
                  <c:v>220</c:v>
                </c:pt>
                <c:pt idx="4">
                  <c:v>240</c:v>
                </c:pt>
                <c:pt idx="5">
                  <c:v>200</c:v>
                </c:pt>
                <c:pt idx="6">
                  <c:v>220</c:v>
                </c:pt>
                <c:pt idx="7">
                  <c:v>190</c:v>
                </c:pt>
                <c:pt idx="8">
                  <c:v>210</c:v>
                </c:pt>
                <c:pt idx="9">
                  <c:v>210</c:v>
                </c:pt>
                <c:pt idx="10">
                  <c:v>91</c:v>
                </c:pt>
                <c:pt idx="11">
                  <c:v>230</c:v>
                </c:pt>
                <c:pt idx="12">
                  <c:v>190</c:v>
                </c:pt>
                <c:pt idx="13">
                  <c:v>160</c:v>
                </c:pt>
                <c:pt idx="14">
                  <c:v>230</c:v>
                </c:pt>
                <c:pt idx="15">
                  <c:v>240</c:v>
                </c:pt>
                <c:pt idx="16">
                  <c:v>230</c:v>
                </c:pt>
                <c:pt idx="17">
                  <c:v>230</c:v>
                </c:pt>
                <c:pt idx="18">
                  <c:v>270</c:v>
                </c:pt>
                <c:pt idx="19">
                  <c:v>160</c:v>
                </c:pt>
              </c:numCache>
            </c:numRef>
          </c:xVal>
          <c:yVal>
            <c:numRef>
              <c:f>'Black Reef'!$S$5:$S$24</c:f>
              <c:numCache>
                <c:formatCode>General</c:formatCode>
                <c:ptCount val="20"/>
                <c:pt idx="0">
                  <c:v>11</c:v>
                </c:pt>
                <c:pt idx="1">
                  <c:v>8.8699999999999992</c:v>
                </c:pt>
                <c:pt idx="3">
                  <c:v>18.899999999999999</c:v>
                </c:pt>
                <c:pt idx="5">
                  <c:v>10.5</c:v>
                </c:pt>
                <c:pt idx="7">
                  <c:v>11.6</c:v>
                </c:pt>
                <c:pt idx="9">
                  <c:v>12.9</c:v>
                </c:pt>
                <c:pt idx="10">
                  <c:v>4.09</c:v>
                </c:pt>
                <c:pt idx="12">
                  <c:v>10.7</c:v>
                </c:pt>
                <c:pt idx="13">
                  <c:v>9.6300000000000008</c:v>
                </c:pt>
                <c:pt idx="14">
                  <c:v>8.98</c:v>
                </c:pt>
                <c:pt idx="16">
                  <c:v>10.199999999999999</c:v>
                </c:pt>
                <c:pt idx="18">
                  <c:v>10.199999999999999</c:v>
                </c:pt>
                <c:pt idx="19">
                  <c:v>9</c:v>
                </c:pt>
              </c:numCache>
            </c:numRef>
          </c:yVal>
          <c:smooth val="0"/>
          <c:extLst xmlns:c16r2="http://schemas.microsoft.com/office/drawing/2015/06/chart">
            <c:ext xmlns:c16="http://schemas.microsoft.com/office/drawing/2014/chart" uri="{C3380CC4-5D6E-409C-BE32-E72D297353CC}">
              <c16:uniqueId val="{00000003-2887-4104-A716-C36C1583C5A4}"/>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'Black Reef'!$T$24</c:f>
              <c:numCache>
                <c:formatCode>General</c:formatCode>
                <c:ptCount val="1"/>
                <c:pt idx="0">
                  <c:v>160</c:v>
                </c:pt>
              </c:numCache>
            </c:numRef>
          </c:xVal>
          <c:yVal>
            <c:numRef>
              <c:f>'Black Reef'!$S$24</c:f>
              <c:numCache>
                <c:formatCode>General</c:formatCode>
                <c:ptCount val="1"/>
                <c:pt idx="0">
                  <c:v>9</c:v>
                </c:pt>
              </c:numCache>
            </c:numRef>
          </c:yVal>
          <c:smooth val="0"/>
          <c:extLst xmlns:c16r2="http://schemas.microsoft.com/office/drawing/2015/06/chart">
            <c:ext xmlns:c16="http://schemas.microsoft.com/office/drawing/2014/chart" uri="{C3380CC4-5D6E-409C-BE32-E72D297353CC}">
              <c16:uniqueId val="{00000004-2887-4104-A716-C36C1583C5A4}"/>
            </c:ext>
          </c:extLst>
        </c:ser>
        <c:ser>
          <c:idx val="2"/>
          <c:order val="2"/>
          <c:tx>
            <c:v>Outlier</c:v>
          </c:tx>
          <c:spPr>
            <a:ln w="25400" cap="rnd">
              <a:noFill/>
              <a:round/>
            </a:ln>
            <a:effectLst/>
          </c:spPr>
          <c:marker>
            <c:symbol val="circle"/>
            <c:size val="8"/>
            <c:spPr>
              <a:solidFill>
                <a:schemeClr val="accent3"/>
              </a:solidFill>
              <a:ln w="9525">
                <a:solidFill>
                  <a:schemeClr val="tx1"/>
                </a:solidFill>
              </a:ln>
              <a:effectLst/>
            </c:spPr>
          </c:marker>
          <c:xVal>
            <c:numRef>
              <c:f>'Black Reef'!$T$3</c:f>
              <c:numCache>
                <c:formatCode>General</c:formatCode>
                <c:ptCount val="1"/>
                <c:pt idx="0">
                  <c:v>170</c:v>
                </c:pt>
              </c:numCache>
            </c:numRef>
          </c:xVal>
          <c:yVal>
            <c:numRef>
              <c:f>'Black Reef'!$S$3</c:f>
              <c:numCache>
                <c:formatCode>General</c:formatCode>
                <c:ptCount val="1"/>
                <c:pt idx="0">
                  <c:v>10.199999999999999</c:v>
                </c:pt>
              </c:numCache>
            </c:numRef>
          </c:yVal>
          <c:smooth val="0"/>
          <c:extLst xmlns:c16r2="http://schemas.microsoft.com/office/drawing/2015/06/chart">
            <c:ext xmlns:c16="http://schemas.microsoft.com/office/drawing/2014/chart" uri="{C3380CC4-5D6E-409C-BE32-E72D297353CC}">
              <c16:uniqueId val="{00000005-2887-4104-A716-C36C1583C5A4}"/>
            </c:ext>
          </c:extLst>
        </c:ser>
        <c:dLbls>
          <c:showLegendKey val="0"/>
          <c:showVal val="0"/>
          <c:showCatName val="0"/>
          <c:showSerName val="0"/>
          <c:showPercent val="0"/>
          <c:showBubbleSize val="0"/>
        </c:dLbls>
        <c:axId val="154669824"/>
        <c:axId val="154672128"/>
        <c:extLst xmlns:c16r2="http://schemas.microsoft.com/office/drawing/2015/06/chart"/>
      </c:scatterChart>
      <c:valAx>
        <c:axId val="154669824"/>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Rb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4672128"/>
        <c:crossesAt val="-1"/>
        <c:crossBetween val="midCat"/>
      </c:valAx>
      <c:valAx>
        <c:axId val="154672128"/>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4669824"/>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Saganaga</a:t>
            </a:r>
          </a:p>
        </c:rich>
      </c:tx>
      <c:overlay val="0"/>
      <c:spPr>
        <a:noFill/>
        <a:ln>
          <a:noFill/>
        </a:ln>
        <a:effectLst/>
      </c:spPr>
    </c:title>
    <c:autoTitleDeleted val="0"/>
    <c:plotArea>
      <c:layout/>
      <c:scatterChart>
        <c:scatterStyle val="lineMarker"/>
        <c:varyColors val="0"/>
        <c:ser>
          <c:idx val="0"/>
          <c:order val="0"/>
          <c:tx>
            <c:v>Total 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16441792776095449"/>
                  <c:y val="-9.3535715761912969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Saganaga!$R$3:$R$8</c:f>
              <c:numCache>
                <c:formatCode>General</c:formatCode>
                <c:ptCount val="6"/>
                <c:pt idx="0">
                  <c:v>55</c:v>
                </c:pt>
                <c:pt idx="1">
                  <c:v>95</c:v>
                </c:pt>
                <c:pt idx="2">
                  <c:v>104</c:v>
                </c:pt>
                <c:pt idx="3">
                  <c:v>95</c:v>
                </c:pt>
                <c:pt idx="4">
                  <c:v>106</c:v>
                </c:pt>
                <c:pt idx="5">
                  <c:v>96</c:v>
                </c:pt>
              </c:numCache>
            </c:numRef>
          </c:xVal>
          <c:yVal>
            <c:numRef>
              <c:f>Saganaga!$S$3:$S$8</c:f>
              <c:numCache>
                <c:formatCode>General</c:formatCode>
                <c:ptCount val="6"/>
                <c:pt idx="0">
                  <c:v>2</c:v>
                </c:pt>
                <c:pt idx="1">
                  <c:v>6</c:v>
                </c:pt>
                <c:pt idx="2">
                  <c:v>12</c:v>
                </c:pt>
                <c:pt idx="3">
                  <c:v>5</c:v>
                </c:pt>
                <c:pt idx="4">
                  <c:v>5</c:v>
                </c:pt>
                <c:pt idx="5">
                  <c:v>6</c:v>
                </c:pt>
              </c:numCache>
            </c:numRef>
          </c:yVal>
          <c:smooth val="0"/>
          <c:extLst xmlns:c16r2="http://schemas.microsoft.com/office/drawing/2015/06/chart">
            <c:ext xmlns:c16="http://schemas.microsoft.com/office/drawing/2014/chart" uri="{C3380CC4-5D6E-409C-BE32-E72D297353CC}">
              <c16:uniqueId val="{00000001-534F-46F2-88C3-E920DDADA2DA}"/>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Saganaga!$R$6:$R$8</c:f>
              <c:numCache>
                <c:formatCode>General</c:formatCode>
                <c:ptCount val="3"/>
                <c:pt idx="0">
                  <c:v>95</c:v>
                </c:pt>
                <c:pt idx="1">
                  <c:v>106</c:v>
                </c:pt>
                <c:pt idx="2">
                  <c:v>96</c:v>
                </c:pt>
              </c:numCache>
            </c:numRef>
          </c:xVal>
          <c:yVal>
            <c:numRef>
              <c:f>Saganaga!$S$6:$S$8</c:f>
              <c:numCache>
                <c:formatCode>General</c:formatCode>
                <c:ptCount val="3"/>
                <c:pt idx="0">
                  <c:v>5</c:v>
                </c:pt>
                <c:pt idx="1">
                  <c:v>5</c:v>
                </c:pt>
                <c:pt idx="2">
                  <c:v>6</c:v>
                </c:pt>
              </c:numCache>
            </c:numRef>
          </c:yVal>
          <c:smooth val="0"/>
          <c:extLst xmlns:c16r2="http://schemas.microsoft.com/office/drawing/2015/06/chart">
            <c:ext xmlns:c16="http://schemas.microsoft.com/office/drawing/2014/chart" uri="{C3380CC4-5D6E-409C-BE32-E72D297353CC}">
              <c16:uniqueId val="{00000002-534F-46F2-88C3-E920DDADA2DA}"/>
            </c:ext>
          </c:extLst>
        </c:ser>
        <c:dLbls>
          <c:showLegendKey val="0"/>
          <c:showVal val="0"/>
          <c:showCatName val="0"/>
          <c:showSerName val="0"/>
          <c:showPercent val="0"/>
          <c:showBubbleSize val="0"/>
        </c:dLbls>
        <c:axId val="154355584"/>
        <c:axId val="154362240"/>
        <c:extLst xmlns:c16r2="http://schemas.microsoft.com/office/drawing/2015/06/chart"/>
      </c:scatterChart>
      <c:valAx>
        <c:axId val="154355584"/>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Zr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4362240"/>
        <c:crossesAt val="-1"/>
        <c:crossBetween val="midCat"/>
      </c:valAx>
      <c:valAx>
        <c:axId val="154362240"/>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4355584"/>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Saganaga</a:t>
            </a:r>
          </a:p>
        </c:rich>
      </c:tx>
      <c:overlay val="0"/>
      <c:spPr>
        <a:noFill/>
        <a:ln>
          <a:noFill/>
        </a:ln>
        <a:effectLst/>
      </c:spPr>
    </c:title>
    <c:autoTitleDeleted val="0"/>
    <c:plotArea>
      <c:layout/>
      <c:scatterChart>
        <c:scatterStyle val="lineMarker"/>
        <c:varyColors val="0"/>
        <c:ser>
          <c:idx val="0"/>
          <c:order val="0"/>
          <c:tx>
            <c:v>Total 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2841000856292224"/>
                  <c:y val="9.7102659906432437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Saganaga!$N$3:$N$8</c:f>
              <c:numCache>
                <c:formatCode>General</c:formatCode>
                <c:ptCount val="6"/>
                <c:pt idx="0">
                  <c:v>1.0002855944798301</c:v>
                </c:pt>
                <c:pt idx="1">
                  <c:v>1.4277935456475583</c:v>
                </c:pt>
                <c:pt idx="2">
                  <c:v>1.1953620382165604</c:v>
                </c:pt>
                <c:pt idx="3">
                  <c:v>1.1289530360934183</c:v>
                </c:pt>
                <c:pt idx="4">
                  <c:v>0.89652152866242041</c:v>
                </c:pt>
                <c:pt idx="5">
                  <c:v>0.93802715498938416</c:v>
                </c:pt>
              </c:numCache>
            </c:numRef>
          </c:xVal>
          <c:yVal>
            <c:numRef>
              <c:f>Saganaga!$T$3:$T$8</c:f>
              <c:numCache>
                <c:formatCode>General</c:formatCode>
                <c:ptCount val="6"/>
                <c:pt idx="0">
                  <c:v>50</c:v>
                </c:pt>
                <c:pt idx="1">
                  <c:v>73</c:v>
                </c:pt>
                <c:pt idx="2">
                  <c:v>67</c:v>
                </c:pt>
                <c:pt idx="3">
                  <c:v>82</c:v>
                </c:pt>
                <c:pt idx="4">
                  <c:v>68</c:v>
                </c:pt>
                <c:pt idx="5">
                  <c:v>69</c:v>
                </c:pt>
              </c:numCache>
            </c:numRef>
          </c:yVal>
          <c:smooth val="0"/>
          <c:extLst xmlns:c16r2="http://schemas.microsoft.com/office/drawing/2015/06/chart">
            <c:ext xmlns:c16="http://schemas.microsoft.com/office/drawing/2014/chart" uri="{C3380CC4-5D6E-409C-BE32-E72D297353CC}">
              <c16:uniqueId val="{00000001-D6AA-4B1F-AC5A-77E42B2A1C80}"/>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Saganaga!$N$6:$N$8</c:f>
              <c:numCache>
                <c:formatCode>General</c:formatCode>
                <c:ptCount val="3"/>
                <c:pt idx="0">
                  <c:v>1.1289530360934183</c:v>
                </c:pt>
                <c:pt idx="1">
                  <c:v>0.89652152866242041</c:v>
                </c:pt>
                <c:pt idx="2">
                  <c:v>0.93802715498938416</c:v>
                </c:pt>
              </c:numCache>
            </c:numRef>
          </c:xVal>
          <c:yVal>
            <c:numRef>
              <c:f>Saganaga!$T$6:$T$8</c:f>
              <c:numCache>
                <c:formatCode>General</c:formatCode>
                <c:ptCount val="3"/>
                <c:pt idx="0">
                  <c:v>82</c:v>
                </c:pt>
                <c:pt idx="1">
                  <c:v>68</c:v>
                </c:pt>
                <c:pt idx="2">
                  <c:v>69</c:v>
                </c:pt>
              </c:numCache>
            </c:numRef>
          </c:yVal>
          <c:smooth val="0"/>
          <c:extLst xmlns:c16r2="http://schemas.microsoft.com/office/drawing/2015/06/chart">
            <c:ext xmlns:c16="http://schemas.microsoft.com/office/drawing/2014/chart" uri="{C3380CC4-5D6E-409C-BE32-E72D297353CC}">
              <c16:uniqueId val="{00000002-D6AA-4B1F-AC5A-77E42B2A1C80}"/>
            </c:ext>
          </c:extLst>
        </c:ser>
        <c:dLbls>
          <c:showLegendKey val="0"/>
          <c:showVal val="0"/>
          <c:showCatName val="0"/>
          <c:showSerName val="0"/>
          <c:showPercent val="0"/>
          <c:showBubbleSize val="0"/>
        </c:dLbls>
        <c:axId val="154713472"/>
        <c:axId val="151848448"/>
        <c:extLst xmlns:c16r2="http://schemas.microsoft.com/office/drawing/2015/06/chart"/>
      </c:scatterChart>
      <c:valAx>
        <c:axId val="154713472"/>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K (wt%)</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1848448"/>
        <c:crossesAt val="-1"/>
        <c:crossBetween val="midCat"/>
      </c:valAx>
      <c:valAx>
        <c:axId val="151848448"/>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Rb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4713472"/>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Saganaga</a:t>
            </a:r>
          </a:p>
        </c:rich>
      </c:tx>
      <c:overlay val="0"/>
      <c:spPr>
        <a:noFill/>
        <a:ln>
          <a:noFill/>
        </a:ln>
        <a:effectLst/>
      </c:spPr>
    </c:title>
    <c:autoTitleDeleted val="0"/>
    <c:plotArea>
      <c:layout/>
      <c:scatterChart>
        <c:scatterStyle val="lineMarker"/>
        <c:varyColors val="0"/>
        <c:ser>
          <c:idx val="0"/>
          <c:order val="0"/>
          <c:tx>
            <c:v>Total 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16441792776095449"/>
                  <c:y val="-9.3535715761912969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Saganaga!$T$3:$T$8</c:f>
              <c:numCache>
                <c:formatCode>General</c:formatCode>
                <c:ptCount val="6"/>
                <c:pt idx="0">
                  <c:v>50</c:v>
                </c:pt>
                <c:pt idx="1">
                  <c:v>73</c:v>
                </c:pt>
                <c:pt idx="2">
                  <c:v>67</c:v>
                </c:pt>
                <c:pt idx="3">
                  <c:v>82</c:v>
                </c:pt>
                <c:pt idx="4">
                  <c:v>68</c:v>
                </c:pt>
                <c:pt idx="5">
                  <c:v>69</c:v>
                </c:pt>
              </c:numCache>
            </c:numRef>
          </c:xVal>
          <c:yVal>
            <c:numRef>
              <c:f>Saganaga!$S$3:$S$8</c:f>
              <c:numCache>
                <c:formatCode>General</c:formatCode>
                <c:ptCount val="6"/>
                <c:pt idx="0">
                  <c:v>2</c:v>
                </c:pt>
                <c:pt idx="1">
                  <c:v>6</c:v>
                </c:pt>
                <c:pt idx="2">
                  <c:v>12</c:v>
                </c:pt>
                <c:pt idx="3">
                  <c:v>5</c:v>
                </c:pt>
                <c:pt idx="4">
                  <c:v>5</c:v>
                </c:pt>
                <c:pt idx="5">
                  <c:v>6</c:v>
                </c:pt>
              </c:numCache>
            </c:numRef>
          </c:yVal>
          <c:smooth val="0"/>
          <c:extLst xmlns:c16r2="http://schemas.microsoft.com/office/drawing/2015/06/chart">
            <c:ext xmlns:c16="http://schemas.microsoft.com/office/drawing/2014/chart" uri="{C3380CC4-5D6E-409C-BE32-E72D297353CC}">
              <c16:uniqueId val="{00000001-A681-44D9-81A4-0423E3D94F8F}"/>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Saganaga!$T$6:$T$8</c:f>
              <c:numCache>
                <c:formatCode>General</c:formatCode>
                <c:ptCount val="3"/>
                <c:pt idx="0">
                  <c:v>82</c:v>
                </c:pt>
                <c:pt idx="1">
                  <c:v>68</c:v>
                </c:pt>
                <c:pt idx="2">
                  <c:v>69</c:v>
                </c:pt>
              </c:numCache>
            </c:numRef>
          </c:xVal>
          <c:yVal>
            <c:numRef>
              <c:f>Saganaga!$S$6:$S$8</c:f>
              <c:numCache>
                <c:formatCode>General</c:formatCode>
                <c:ptCount val="3"/>
                <c:pt idx="0">
                  <c:v>5</c:v>
                </c:pt>
                <c:pt idx="1">
                  <c:v>5</c:v>
                </c:pt>
                <c:pt idx="2">
                  <c:v>6</c:v>
                </c:pt>
              </c:numCache>
            </c:numRef>
          </c:yVal>
          <c:smooth val="0"/>
          <c:extLst xmlns:c16r2="http://schemas.microsoft.com/office/drawing/2015/06/chart">
            <c:ext xmlns:c16="http://schemas.microsoft.com/office/drawing/2014/chart" uri="{C3380CC4-5D6E-409C-BE32-E72D297353CC}">
              <c16:uniqueId val="{00000002-A681-44D9-81A4-0423E3D94F8F}"/>
            </c:ext>
          </c:extLst>
        </c:ser>
        <c:dLbls>
          <c:showLegendKey val="0"/>
          <c:showVal val="0"/>
          <c:showCatName val="0"/>
          <c:showSerName val="0"/>
          <c:showPercent val="0"/>
          <c:showBubbleSize val="0"/>
        </c:dLbls>
        <c:axId val="151879040"/>
        <c:axId val="151897984"/>
        <c:extLst xmlns:c16r2="http://schemas.microsoft.com/office/drawing/2015/06/chart"/>
      </c:scatterChart>
      <c:valAx>
        <c:axId val="151879040"/>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Rb</a:t>
                </a:r>
                <a:r>
                  <a:rPr lang="en-US" sz="1500" baseline="0">
                    <a:solidFill>
                      <a:sysClr val="windowText" lastClr="000000"/>
                    </a:solidFill>
                    <a:latin typeface="Arial" panose="020B0604020202020204" pitchFamily="34" charset="0"/>
                    <a:cs typeface="Arial" panose="020B0604020202020204" pitchFamily="34" charset="0"/>
                  </a:rPr>
                  <a:t> </a:t>
                </a:r>
                <a:r>
                  <a:rPr lang="en-US" sz="1500">
                    <a:solidFill>
                      <a:sysClr val="windowText" lastClr="000000"/>
                    </a:solidFill>
                    <a:latin typeface="Arial" panose="020B0604020202020204" pitchFamily="34" charset="0"/>
                    <a:cs typeface="Arial" panose="020B0604020202020204" pitchFamily="34" charset="0"/>
                  </a:rPr>
                  <a:t>(ppm)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1897984"/>
        <c:crossesAt val="-1"/>
        <c:crossBetween val="midCat"/>
      </c:valAx>
      <c:valAx>
        <c:axId val="151897984"/>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1879040"/>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Positive</a:t>
            </a:r>
            <a:r>
              <a:rPr lang="en-US" baseline="0"/>
              <a:t> average</a:t>
            </a:r>
            <a:endParaRPr lang="en-US"/>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tx1"/>
              </a:solidFill>
              <a:ln w="9525">
                <a:noFill/>
              </a:ln>
              <a:effectLst/>
            </c:spPr>
          </c:marker>
          <c:trendline>
            <c:spPr>
              <a:ln w="19050" cap="rnd">
                <a:solidFill>
                  <a:schemeClr val="tx1"/>
                </a:solidFill>
                <a:prstDash val="sysDot"/>
              </a:ln>
              <a:effectLst/>
            </c:spPr>
            <c:trendlineType val="linear"/>
            <c:dispRSqr val="1"/>
            <c:dispEq val="0"/>
            <c:trendlineLbl>
              <c:layout>
                <c:manualLayout>
                  <c:x val="-0.22444958655934025"/>
                  <c:y val="-0.1337720022759392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(Paleolatitudes!$B$6,Paleolatitudes!$B$9:$B$10,Paleolatitudes!$B$12:$B$14,Paleolatitudes!$B$16,Paleolatitudes!$B$19,Paleolatitudes!$B$26:$B$27,Paleolatitudes!$B$30:$B$34)</c:f>
              <c:numCache>
                <c:formatCode>General</c:formatCode>
                <c:ptCount val="15"/>
                <c:pt idx="0">
                  <c:v>49</c:v>
                </c:pt>
                <c:pt idx="1">
                  <c:v>14</c:v>
                </c:pt>
                <c:pt idx="2">
                  <c:v>14</c:v>
                </c:pt>
                <c:pt idx="3">
                  <c:v>14</c:v>
                </c:pt>
                <c:pt idx="4">
                  <c:v>14</c:v>
                </c:pt>
                <c:pt idx="5">
                  <c:v>1</c:v>
                </c:pt>
                <c:pt idx="6">
                  <c:v>7</c:v>
                </c:pt>
                <c:pt idx="7">
                  <c:v>26</c:v>
                </c:pt>
                <c:pt idx="8">
                  <c:v>5</c:v>
                </c:pt>
                <c:pt idx="9">
                  <c:v>50</c:v>
                </c:pt>
                <c:pt idx="10">
                  <c:v>28</c:v>
                </c:pt>
                <c:pt idx="11">
                  <c:v>45</c:v>
                </c:pt>
                <c:pt idx="12">
                  <c:v>46</c:v>
                </c:pt>
                <c:pt idx="13">
                  <c:v>46</c:v>
                </c:pt>
                <c:pt idx="14">
                  <c:v>46</c:v>
                </c:pt>
              </c:numCache>
            </c:numRef>
          </c:xVal>
          <c:yVal>
            <c:numRef>
              <c:f>(Paleolatitudes!$C$6,Paleolatitudes!$C$9:$C$10,Paleolatitudes!$C$12:$C$14,Paleolatitudes!$C$16,Paleolatitudes!$C$19,Paleolatitudes!$C$26:$C$27,Paleolatitudes!$C$30:$C$34)</c:f>
              <c:numCache>
                <c:formatCode>General</c:formatCode>
                <c:ptCount val="15"/>
                <c:pt idx="0">
                  <c:v>7.6777780000000004E-2</c:v>
                </c:pt>
                <c:pt idx="1">
                  <c:v>-0.14393677274510466</c:v>
                </c:pt>
                <c:pt idx="2">
                  <c:v>7.0755000000000002E-3</c:v>
                </c:pt>
                <c:pt idx="3">
                  <c:v>3.1364800000000001E-3</c:v>
                </c:pt>
                <c:pt idx="4">
                  <c:v>5.840948E-2</c:v>
                </c:pt>
                <c:pt idx="5">
                  <c:v>0.19439893</c:v>
                </c:pt>
                <c:pt idx="6">
                  <c:v>4.6301059999999998E-2</c:v>
                </c:pt>
                <c:pt idx="7">
                  <c:v>8.0963259999999995E-2</c:v>
                </c:pt>
                <c:pt idx="8">
                  <c:v>0.11597242000000001</c:v>
                </c:pt>
                <c:pt idx="9">
                  <c:v>0.46168467000000002</c:v>
                </c:pt>
                <c:pt idx="10">
                  <c:v>0.13865979329358685</c:v>
                </c:pt>
                <c:pt idx="11">
                  <c:v>0.52659964000000004</c:v>
                </c:pt>
                <c:pt idx="12">
                  <c:v>8.0559699999999998E-2</c:v>
                </c:pt>
                <c:pt idx="13">
                  <c:v>0.14361467</c:v>
                </c:pt>
                <c:pt idx="14">
                  <c:v>2.009704E-2</c:v>
                </c:pt>
              </c:numCache>
            </c:numRef>
          </c:yVal>
          <c:smooth val="0"/>
          <c:extLst xmlns:c16r2="http://schemas.microsoft.com/office/drawing/2015/06/chart">
            <c:ext xmlns:c16="http://schemas.microsoft.com/office/drawing/2014/chart" uri="{C3380CC4-5D6E-409C-BE32-E72D297353CC}">
              <c16:uniqueId val="{00000001-1A69-4881-9139-C0BB56918A0D}"/>
            </c:ext>
          </c:extLst>
        </c:ser>
        <c:dLbls>
          <c:showLegendKey val="0"/>
          <c:showVal val="0"/>
          <c:showCatName val="0"/>
          <c:showSerName val="0"/>
          <c:showPercent val="0"/>
          <c:showBubbleSize val="0"/>
        </c:dLbls>
        <c:axId val="152221568"/>
        <c:axId val="152227840"/>
      </c:scatterChart>
      <c:valAx>
        <c:axId val="1522215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Paleolatitude (degrees)</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7840"/>
        <c:crossesAt val="-1"/>
        <c:crossBetween val="midCat"/>
      </c:valAx>
      <c:valAx>
        <c:axId val="152227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000" b="0" i="0" baseline="0">
                    <a:effectLst/>
                  </a:rPr>
                  <a:t>τ</a:t>
                </a:r>
                <a:r>
                  <a:rPr lang="en-US" sz="1000" b="0" i="0" baseline="-25000">
                    <a:effectLst/>
                  </a:rPr>
                  <a:t>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1568"/>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Lauzon Bay</a:t>
            </a:r>
          </a:p>
        </c:rich>
      </c:tx>
      <c:overlay val="0"/>
      <c:spPr>
        <a:noFill/>
        <a:ln>
          <a:noFill/>
        </a:ln>
        <a:effectLst/>
      </c:spPr>
    </c:title>
    <c:autoTitleDeleted val="0"/>
    <c:plotArea>
      <c:layout/>
      <c:scatterChart>
        <c:scatterStyle val="lineMarker"/>
        <c:varyColors val="0"/>
        <c:ser>
          <c:idx val="0"/>
          <c:order val="0"/>
          <c:tx>
            <c:v>Total 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2841000856292224"/>
                  <c:y val="9.7102659906432437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'Lauzon Bay XRF'!$M$3:$M$17</c:f>
              <c:numCache>
                <c:formatCode>General</c:formatCode>
                <c:ptCount val="15"/>
                <c:pt idx="0">
                  <c:v>3.0133084713375795</c:v>
                </c:pt>
                <c:pt idx="1">
                  <c:v>3.6773984925690018</c:v>
                </c:pt>
                <c:pt idx="2">
                  <c:v>3.0382118471337582</c:v>
                </c:pt>
                <c:pt idx="3">
                  <c:v>2.8721893418259028</c:v>
                </c:pt>
                <c:pt idx="4">
                  <c:v>2.4944881422505309</c:v>
                </c:pt>
                <c:pt idx="5">
                  <c:v>1.7598385562632699</c:v>
                </c:pt>
                <c:pt idx="6">
                  <c:v>1.6892789915074311</c:v>
                </c:pt>
                <c:pt idx="7">
                  <c:v>1.8553014968152863</c:v>
                </c:pt>
                <c:pt idx="8">
                  <c:v>1.7515374309978766</c:v>
                </c:pt>
                <c:pt idx="9">
                  <c:v>1.4568474840764329</c:v>
                </c:pt>
                <c:pt idx="10">
                  <c:v>1.4443957961783438</c:v>
                </c:pt>
                <c:pt idx="11">
                  <c:v>1.6477733651804671</c:v>
                </c:pt>
                <c:pt idx="12">
                  <c:v>1.55231042462845</c:v>
                </c:pt>
                <c:pt idx="13">
                  <c:v>1.8303981210191083</c:v>
                </c:pt>
                <c:pt idx="14">
                  <c:v>1.7224834925690025</c:v>
                </c:pt>
              </c:numCache>
            </c:numRef>
          </c:xVal>
          <c:yVal>
            <c:numRef>
              <c:f>'Lauzon Bay XRF'!$R$3:$R$17</c:f>
              <c:numCache>
                <c:formatCode>General</c:formatCode>
                <c:ptCount val="15"/>
                <c:pt idx="0">
                  <c:v>333</c:v>
                </c:pt>
                <c:pt idx="1">
                  <c:v>324</c:v>
                </c:pt>
                <c:pt idx="2">
                  <c:v>293</c:v>
                </c:pt>
                <c:pt idx="3">
                  <c:v>246</c:v>
                </c:pt>
                <c:pt idx="4">
                  <c:v>217</c:v>
                </c:pt>
                <c:pt idx="5">
                  <c:v>122</c:v>
                </c:pt>
                <c:pt idx="6">
                  <c:v>121</c:v>
                </c:pt>
                <c:pt idx="7">
                  <c:v>134</c:v>
                </c:pt>
                <c:pt idx="8">
                  <c:v>110</c:v>
                </c:pt>
                <c:pt idx="9">
                  <c:v>98</c:v>
                </c:pt>
                <c:pt idx="10">
                  <c:v>81</c:v>
                </c:pt>
                <c:pt idx="11">
                  <c:v>79</c:v>
                </c:pt>
                <c:pt idx="12">
                  <c:v>74</c:v>
                </c:pt>
                <c:pt idx="13">
                  <c:v>95</c:v>
                </c:pt>
                <c:pt idx="14">
                  <c:v>111</c:v>
                </c:pt>
              </c:numCache>
            </c:numRef>
          </c:yVal>
          <c:smooth val="0"/>
          <c:extLst xmlns:c16r2="http://schemas.microsoft.com/office/drawing/2015/06/chart">
            <c:ext xmlns:c16="http://schemas.microsoft.com/office/drawing/2014/chart" uri="{C3380CC4-5D6E-409C-BE32-E72D297353CC}">
              <c16:uniqueId val="{00000001-2199-468F-8BDB-BE22A29CE8C9}"/>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'Lauzon Bay XRF'!$M$17</c:f>
              <c:numCache>
                <c:formatCode>General</c:formatCode>
                <c:ptCount val="1"/>
                <c:pt idx="0">
                  <c:v>1.7224834925690025</c:v>
                </c:pt>
              </c:numCache>
            </c:numRef>
          </c:xVal>
          <c:yVal>
            <c:numRef>
              <c:f>'Lauzon Bay XRF'!$R$17</c:f>
              <c:numCache>
                <c:formatCode>General</c:formatCode>
                <c:ptCount val="1"/>
                <c:pt idx="0">
                  <c:v>111</c:v>
                </c:pt>
              </c:numCache>
            </c:numRef>
          </c:yVal>
          <c:smooth val="0"/>
          <c:extLst xmlns:c16r2="http://schemas.microsoft.com/office/drawing/2015/06/chart">
            <c:ext xmlns:c16="http://schemas.microsoft.com/office/drawing/2014/chart" uri="{C3380CC4-5D6E-409C-BE32-E72D297353CC}">
              <c16:uniqueId val="{00000002-2199-468F-8BDB-BE22A29CE8C9}"/>
            </c:ext>
          </c:extLst>
        </c:ser>
        <c:dLbls>
          <c:showLegendKey val="0"/>
          <c:showVal val="0"/>
          <c:showCatName val="0"/>
          <c:showSerName val="0"/>
          <c:showPercent val="0"/>
          <c:showBubbleSize val="0"/>
        </c:dLbls>
        <c:axId val="154583808"/>
        <c:axId val="154586112"/>
        <c:extLst xmlns:c16r2="http://schemas.microsoft.com/office/drawing/2015/06/chart"/>
      </c:scatterChart>
      <c:valAx>
        <c:axId val="154583808"/>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K (wt%)</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4586112"/>
        <c:crossesAt val="-1"/>
        <c:crossBetween val="midCat"/>
      </c:valAx>
      <c:valAx>
        <c:axId val="154586112"/>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Rb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4583808"/>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Total profile</c:v>
          </c:tx>
          <c:spPr>
            <a:ln w="12700" cap="rnd">
              <a:solidFill>
                <a:schemeClr val="tx1"/>
              </a:solidFill>
              <a:round/>
            </a:ln>
            <a:effectLst/>
          </c:spPr>
          <c:marker>
            <c:symbol val="circle"/>
            <c:size val="8"/>
            <c:spPr>
              <a:solidFill>
                <a:schemeClr val="accent1"/>
              </a:solidFill>
              <a:ln w="9525">
                <a:solidFill>
                  <a:schemeClr val="tx1"/>
                </a:solidFill>
              </a:ln>
              <a:effectLst/>
            </c:spPr>
          </c:marker>
          <c:xVal>
            <c:numRef>
              <c:f>'Lauzon Bay XRF'!$M$3:$M$17</c:f>
              <c:numCache>
                <c:formatCode>General</c:formatCode>
                <c:ptCount val="15"/>
                <c:pt idx="0">
                  <c:v>3.0133084713375795</c:v>
                </c:pt>
                <c:pt idx="1">
                  <c:v>3.6773984925690018</c:v>
                </c:pt>
                <c:pt idx="2">
                  <c:v>3.0382118471337582</c:v>
                </c:pt>
                <c:pt idx="3">
                  <c:v>2.8721893418259028</c:v>
                </c:pt>
                <c:pt idx="4">
                  <c:v>2.4944881422505309</c:v>
                </c:pt>
                <c:pt idx="5">
                  <c:v>1.7598385562632699</c:v>
                </c:pt>
                <c:pt idx="6">
                  <c:v>1.6892789915074311</c:v>
                </c:pt>
                <c:pt idx="7">
                  <c:v>1.8553014968152863</c:v>
                </c:pt>
                <c:pt idx="8">
                  <c:v>1.7515374309978766</c:v>
                </c:pt>
                <c:pt idx="9">
                  <c:v>1.4568474840764329</c:v>
                </c:pt>
                <c:pt idx="10">
                  <c:v>1.4443957961783438</c:v>
                </c:pt>
                <c:pt idx="11">
                  <c:v>1.6477733651804671</c:v>
                </c:pt>
                <c:pt idx="12">
                  <c:v>1.55231042462845</c:v>
                </c:pt>
                <c:pt idx="13">
                  <c:v>1.8303981210191083</c:v>
                </c:pt>
                <c:pt idx="14">
                  <c:v>1.7224834925690025</c:v>
                </c:pt>
              </c:numCache>
            </c:numRef>
          </c:xVal>
          <c:yVal>
            <c:numRef>
              <c:f>'Lauzon Bay XRF'!$B$3:$B$17</c:f>
              <c:numCache>
                <c:formatCode>General</c:formatCode>
                <c:ptCount val="15"/>
                <c:pt idx="0">
                  <c:v>0</c:v>
                </c:pt>
                <c:pt idx="1">
                  <c:v>0.4</c:v>
                </c:pt>
                <c:pt idx="2">
                  <c:v>1.4</c:v>
                </c:pt>
                <c:pt idx="3">
                  <c:v>2.1</c:v>
                </c:pt>
                <c:pt idx="4">
                  <c:v>2.5</c:v>
                </c:pt>
                <c:pt idx="5">
                  <c:v>3.5</c:v>
                </c:pt>
                <c:pt idx="6">
                  <c:v>4.5</c:v>
                </c:pt>
                <c:pt idx="7">
                  <c:v>4.7</c:v>
                </c:pt>
                <c:pt idx="8">
                  <c:v>6.2</c:v>
                </c:pt>
                <c:pt idx="9">
                  <c:v>6.5</c:v>
                </c:pt>
                <c:pt idx="10">
                  <c:v>8</c:v>
                </c:pt>
                <c:pt idx="11">
                  <c:v>9</c:v>
                </c:pt>
                <c:pt idx="12">
                  <c:v>9.9</c:v>
                </c:pt>
                <c:pt idx="13">
                  <c:v>17</c:v>
                </c:pt>
                <c:pt idx="14">
                  <c:v>50</c:v>
                </c:pt>
              </c:numCache>
            </c:numRef>
          </c:yVal>
          <c:smooth val="0"/>
          <c:extLst xmlns:c16r2="http://schemas.microsoft.com/office/drawing/2015/06/chart">
            <c:ext xmlns:c16="http://schemas.microsoft.com/office/drawing/2014/chart" uri="{C3380CC4-5D6E-409C-BE32-E72D297353CC}">
              <c16:uniqueId val="{00000001-394D-4C5A-B939-EDAB8AB0D63A}"/>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'Lauzon Bay XRF'!$M$17</c:f>
              <c:numCache>
                <c:formatCode>General</c:formatCode>
                <c:ptCount val="1"/>
                <c:pt idx="0">
                  <c:v>1.7224834925690025</c:v>
                </c:pt>
              </c:numCache>
            </c:numRef>
          </c:xVal>
          <c:yVal>
            <c:numRef>
              <c:f>'Lauzon Bay XRF'!$B$17</c:f>
              <c:numCache>
                <c:formatCode>General</c:formatCode>
                <c:ptCount val="1"/>
                <c:pt idx="0">
                  <c:v>50</c:v>
                </c:pt>
              </c:numCache>
            </c:numRef>
          </c:yVal>
          <c:smooth val="0"/>
          <c:extLst xmlns:c16r2="http://schemas.microsoft.com/office/drawing/2015/06/chart">
            <c:ext xmlns:c16="http://schemas.microsoft.com/office/drawing/2014/chart" uri="{C3380CC4-5D6E-409C-BE32-E72D297353CC}">
              <c16:uniqueId val="{00000002-394D-4C5A-B939-EDAB8AB0D63A}"/>
            </c:ext>
          </c:extLst>
        </c:ser>
        <c:dLbls>
          <c:showLegendKey val="0"/>
          <c:showVal val="0"/>
          <c:showCatName val="0"/>
          <c:showSerName val="0"/>
          <c:showPercent val="0"/>
          <c:showBubbleSize val="0"/>
        </c:dLbls>
        <c:axId val="154428160"/>
        <c:axId val="154430464"/>
        <c:extLst xmlns:c16r2="http://schemas.microsoft.com/office/drawing/2015/06/chart"/>
      </c:scatterChart>
      <c:valAx>
        <c:axId val="154428160"/>
        <c:scaling>
          <c:orientation val="minMax"/>
        </c:scaling>
        <c:delete val="0"/>
        <c:axPos val="t"/>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K (wt%)</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4430464"/>
        <c:crossesAt val="0"/>
        <c:crossBetween val="midCat"/>
      </c:valAx>
      <c:valAx>
        <c:axId val="154430464"/>
        <c:scaling>
          <c:orientation val="maxMin"/>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Depth (m)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4428160"/>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Denison</a:t>
            </a:r>
          </a:p>
        </c:rich>
      </c:tx>
      <c:overlay val="0"/>
      <c:spPr>
        <a:noFill/>
        <a:ln>
          <a:noFill/>
        </a:ln>
        <a:effectLst/>
      </c:spPr>
    </c:title>
    <c:autoTitleDeleted val="0"/>
    <c:plotArea>
      <c:layout/>
      <c:scatterChart>
        <c:scatterStyle val="lineMarker"/>
        <c:varyColors val="0"/>
        <c:ser>
          <c:idx val="0"/>
          <c:order val="0"/>
          <c:tx>
            <c:v>Total 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16441792776095449"/>
                  <c:y val="-9.3535715761912969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'Denison (S-62)'!$Q$3:$Q$18</c:f>
              <c:numCache>
                <c:formatCode>General</c:formatCode>
                <c:ptCount val="16"/>
                <c:pt idx="0">
                  <c:v>143</c:v>
                </c:pt>
                <c:pt idx="1">
                  <c:v>476</c:v>
                </c:pt>
                <c:pt idx="2">
                  <c:v>90</c:v>
                </c:pt>
                <c:pt idx="3">
                  <c:v>342</c:v>
                </c:pt>
                <c:pt idx="4">
                  <c:v>415</c:v>
                </c:pt>
                <c:pt idx="5">
                  <c:v>254</c:v>
                </c:pt>
                <c:pt idx="6">
                  <c:v>272</c:v>
                </c:pt>
                <c:pt idx="7">
                  <c:v>153</c:v>
                </c:pt>
                <c:pt idx="8">
                  <c:v>190</c:v>
                </c:pt>
                <c:pt idx="9">
                  <c:v>208</c:v>
                </c:pt>
                <c:pt idx="10">
                  <c:v>188</c:v>
                </c:pt>
                <c:pt idx="11">
                  <c:v>206</c:v>
                </c:pt>
                <c:pt idx="12">
                  <c:v>190</c:v>
                </c:pt>
                <c:pt idx="13">
                  <c:v>168</c:v>
                </c:pt>
                <c:pt idx="14">
                  <c:v>166</c:v>
                </c:pt>
                <c:pt idx="15">
                  <c:v>168</c:v>
                </c:pt>
              </c:numCache>
            </c:numRef>
          </c:xVal>
          <c:yVal>
            <c:numRef>
              <c:f>'Denison (S-62)'!$R$3:$R$18</c:f>
              <c:numCache>
                <c:formatCode>General</c:formatCode>
                <c:ptCount val="16"/>
                <c:pt idx="0">
                  <c:v>9</c:v>
                </c:pt>
                <c:pt idx="1">
                  <c:v>12</c:v>
                </c:pt>
                <c:pt idx="2">
                  <c:v>4.3</c:v>
                </c:pt>
                <c:pt idx="3">
                  <c:v>11</c:v>
                </c:pt>
                <c:pt idx="4">
                  <c:v>16</c:v>
                </c:pt>
                <c:pt idx="5">
                  <c:v>7.7</c:v>
                </c:pt>
                <c:pt idx="6">
                  <c:v>8.1999999999999993</c:v>
                </c:pt>
                <c:pt idx="7">
                  <c:v>6.1</c:v>
                </c:pt>
                <c:pt idx="8">
                  <c:v>4.2</c:v>
                </c:pt>
                <c:pt idx="9">
                  <c:v>6</c:v>
                </c:pt>
                <c:pt idx="10">
                  <c:v>5.2</c:v>
                </c:pt>
                <c:pt idx="11">
                  <c:v>6.5</c:v>
                </c:pt>
                <c:pt idx="12">
                  <c:v>6.1</c:v>
                </c:pt>
                <c:pt idx="13">
                  <c:v>4.3</c:v>
                </c:pt>
                <c:pt idx="14">
                  <c:v>4.8</c:v>
                </c:pt>
                <c:pt idx="15">
                  <c:v>6.2</c:v>
                </c:pt>
              </c:numCache>
            </c:numRef>
          </c:yVal>
          <c:smooth val="0"/>
          <c:extLst xmlns:c16r2="http://schemas.microsoft.com/office/drawing/2015/06/chart">
            <c:ext xmlns:c16="http://schemas.microsoft.com/office/drawing/2014/chart" uri="{C3380CC4-5D6E-409C-BE32-E72D297353CC}">
              <c16:uniqueId val="{00000001-9151-4D8E-8DA7-DE445029DA8E}"/>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'Denison (S-62)'!$Q$18</c:f>
              <c:numCache>
                <c:formatCode>General</c:formatCode>
                <c:ptCount val="1"/>
                <c:pt idx="0">
                  <c:v>168</c:v>
                </c:pt>
              </c:numCache>
            </c:numRef>
          </c:xVal>
          <c:yVal>
            <c:numRef>
              <c:f>'Denison (S-62)'!$R$18</c:f>
              <c:numCache>
                <c:formatCode>General</c:formatCode>
                <c:ptCount val="1"/>
                <c:pt idx="0">
                  <c:v>6.2</c:v>
                </c:pt>
              </c:numCache>
            </c:numRef>
          </c:yVal>
          <c:smooth val="0"/>
          <c:extLst xmlns:c16r2="http://schemas.microsoft.com/office/drawing/2015/06/chart">
            <c:ext xmlns:c16="http://schemas.microsoft.com/office/drawing/2014/chart" uri="{C3380CC4-5D6E-409C-BE32-E72D297353CC}">
              <c16:uniqueId val="{00000002-9151-4D8E-8DA7-DE445029DA8E}"/>
            </c:ext>
          </c:extLst>
        </c:ser>
        <c:dLbls>
          <c:showLegendKey val="0"/>
          <c:showVal val="0"/>
          <c:showCatName val="0"/>
          <c:showSerName val="0"/>
          <c:showPercent val="0"/>
          <c:showBubbleSize val="0"/>
        </c:dLbls>
        <c:axId val="155002752"/>
        <c:axId val="155009408"/>
        <c:extLst xmlns:c16r2="http://schemas.microsoft.com/office/drawing/2015/06/chart"/>
      </c:scatterChart>
      <c:valAx>
        <c:axId val="155002752"/>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Zr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009408"/>
        <c:crossesAt val="-1"/>
        <c:crossBetween val="midCat"/>
      </c:valAx>
      <c:valAx>
        <c:axId val="155009408"/>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002752"/>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Denison</a:t>
            </a:r>
          </a:p>
        </c:rich>
      </c:tx>
      <c:overlay val="0"/>
      <c:spPr>
        <a:noFill/>
        <a:ln>
          <a:noFill/>
        </a:ln>
        <a:effectLst/>
      </c:spPr>
    </c:title>
    <c:autoTitleDeleted val="0"/>
    <c:plotArea>
      <c:layout/>
      <c:scatterChart>
        <c:scatterStyle val="lineMarker"/>
        <c:varyColors val="0"/>
        <c:ser>
          <c:idx val="0"/>
          <c:order val="0"/>
          <c:tx>
            <c:v>Total 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2841000856292224"/>
                  <c:y val="9.7102659906432437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'Denison (S-62)'!$M$3:$M$18</c:f>
              <c:numCache>
                <c:formatCode>General</c:formatCode>
                <c:ptCount val="16"/>
                <c:pt idx="0">
                  <c:v>1.3904384819532909</c:v>
                </c:pt>
                <c:pt idx="1">
                  <c:v>1.5855149256900212</c:v>
                </c:pt>
                <c:pt idx="2">
                  <c:v>1.593816050955414</c:v>
                </c:pt>
                <c:pt idx="3">
                  <c:v>4.1630143205944803</c:v>
                </c:pt>
                <c:pt idx="4">
                  <c:v>1.7598385562632699</c:v>
                </c:pt>
                <c:pt idx="5">
                  <c:v>3.2083849150743102</c:v>
                </c:pt>
                <c:pt idx="6">
                  <c:v>2.7227690870488321</c:v>
                </c:pt>
                <c:pt idx="7">
                  <c:v>1.1331035987261147</c:v>
                </c:pt>
                <c:pt idx="8">
                  <c:v>1.1870609129511678</c:v>
                </c:pt>
                <c:pt idx="9">
                  <c:v>1.8760543099787683</c:v>
                </c:pt>
                <c:pt idx="10">
                  <c:v>1.6436228025477708</c:v>
                </c:pt>
                <c:pt idx="11">
                  <c:v>1.8636026220806796</c:v>
                </c:pt>
                <c:pt idx="12">
                  <c:v>1.593816050955414</c:v>
                </c:pt>
                <c:pt idx="13">
                  <c:v>1.2410182271762209</c:v>
                </c:pt>
                <c:pt idx="14">
                  <c:v>1.1621575371549893</c:v>
                </c:pt>
                <c:pt idx="15">
                  <c:v>0.6225843949044586</c:v>
                </c:pt>
              </c:numCache>
            </c:numRef>
          </c:xVal>
          <c:yVal>
            <c:numRef>
              <c:f>'Denison (S-62)'!$S$3:$S$18</c:f>
              <c:numCache>
                <c:formatCode>General</c:formatCode>
                <c:ptCount val="16"/>
                <c:pt idx="0">
                  <c:v>153</c:v>
                </c:pt>
                <c:pt idx="1">
                  <c:v>149</c:v>
                </c:pt>
                <c:pt idx="2">
                  <c:v>155</c:v>
                </c:pt>
                <c:pt idx="3">
                  <c:v>478</c:v>
                </c:pt>
                <c:pt idx="4">
                  <c:v>180</c:v>
                </c:pt>
                <c:pt idx="5">
                  <c:v>370</c:v>
                </c:pt>
                <c:pt idx="6">
                  <c:v>311</c:v>
                </c:pt>
                <c:pt idx="7">
                  <c:v>126</c:v>
                </c:pt>
                <c:pt idx="8">
                  <c:v>133</c:v>
                </c:pt>
                <c:pt idx="9">
                  <c:v>209</c:v>
                </c:pt>
                <c:pt idx="10">
                  <c:v>176</c:v>
                </c:pt>
                <c:pt idx="11">
                  <c:v>207</c:v>
                </c:pt>
                <c:pt idx="12">
                  <c:v>175</c:v>
                </c:pt>
                <c:pt idx="13">
                  <c:v>140</c:v>
                </c:pt>
                <c:pt idx="14">
                  <c:v>129</c:v>
                </c:pt>
                <c:pt idx="15">
                  <c:v>51</c:v>
                </c:pt>
              </c:numCache>
            </c:numRef>
          </c:yVal>
          <c:smooth val="0"/>
          <c:extLst xmlns:c16r2="http://schemas.microsoft.com/office/drawing/2015/06/chart">
            <c:ext xmlns:c16="http://schemas.microsoft.com/office/drawing/2014/chart" uri="{C3380CC4-5D6E-409C-BE32-E72D297353CC}">
              <c16:uniqueId val="{00000001-BF7C-4E4C-882A-AE9FFE6AA115}"/>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'Denison (S-62)'!$M$18</c:f>
              <c:numCache>
                <c:formatCode>General</c:formatCode>
                <c:ptCount val="1"/>
                <c:pt idx="0">
                  <c:v>0.6225843949044586</c:v>
                </c:pt>
              </c:numCache>
            </c:numRef>
          </c:xVal>
          <c:yVal>
            <c:numRef>
              <c:f>'Denison (S-62)'!$S$18</c:f>
              <c:numCache>
                <c:formatCode>General</c:formatCode>
                <c:ptCount val="1"/>
                <c:pt idx="0">
                  <c:v>51</c:v>
                </c:pt>
              </c:numCache>
            </c:numRef>
          </c:yVal>
          <c:smooth val="0"/>
          <c:extLst xmlns:c16r2="http://schemas.microsoft.com/office/drawing/2015/06/chart">
            <c:ext xmlns:c16="http://schemas.microsoft.com/office/drawing/2014/chart" uri="{C3380CC4-5D6E-409C-BE32-E72D297353CC}">
              <c16:uniqueId val="{00000002-BF7C-4E4C-882A-AE9FFE6AA115}"/>
            </c:ext>
          </c:extLst>
        </c:ser>
        <c:dLbls>
          <c:showLegendKey val="0"/>
          <c:showVal val="0"/>
          <c:showCatName val="0"/>
          <c:showSerName val="0"/>
          <c:showPercent val="0"/>
          <c:showBubbleSize val="0"/>
        </c:dLbls>
        <c:axId val="155053440"/>
        <c:axId val="154863104"/>
        <c:extLst xmlns:c16r2="http://schemas.microsoft.com/office/drawing/2015/06/chart"/>
      </c:scatterChart>
      <c:valAx>
        <c:axId val="155053440"/>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K (wt%)</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4863104"/>
        <c:crossesAt val="-1"/>
        <c:crossBetween val="midCat"/>
      </c:valAx>
      <c:valAx>
        <c:axId val="154863104"/>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Rb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053440"/>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Denison</a:t>
            </a:r>
          </a:p>
        </c:rich>
      </c:tx>
      <c:overlay val="0"/>
      <c:spPr>
        <a:noFill/>
        <a:ln>
          <a:noFill/>
        </a:ln>
        <a:effectLst/>
      </c:spPr>
    </c:title>
    <c:autoTitleDeleted val="0"/>
    <c:plotArea>
      <c:layout/>
      <c:scatterChart>
        <c:scatterStyle val="lineMarker"/>
        <c:varyColors val="0"/>
        <c:ser>
          <c:idx val="0"/>
          <c:order val="0"/>
          <c:tx>
            <c:v>Total profile</c:v>
          </c:tx>
          <c:spPr>
            <a:ln w="25400" cap="rnd">
              <a:noFill/>
              <a:round/>
            </a:ln>
            <a:effectLst/>
          </c:spPr>
          <c:marker>
            <c:symbol val="circle"/>
            <c:size val="8"/>
            <c:spPr>
              <a:solidFill>
                <a:schemeClr val="accent1"/>
              </a:solidFill>
              <a:ln w="9525">
                <a:solidFill>
                  <a:schemeClr val="tx1"/>
                </a:solidFill>
              </a:ln>
              <a:effectLst/>
            </c:spPr>
          </c:marker>
          <c:dPt>
            <c:idx val="15"/>
            <c:bubble3D val="0"/>
            <c:extLst xmlns:c16r2="http://schemas.microsoft.com/office/drawing/2015/06/chart">
              <c:ext xmlns:c16="http://schemas.microsoft.com/office/drawing/2014/chart" uri="{C3380CC4-5D6E-409C-BE32-E72D297353CC}">
                <c16:uniqueId val="{00000001-07FD-4CA6-8F04-763212B8B869}"/>
              </c:ext>
            </c:extLst>
          </c:dPt>
          <c:trendline>
            <c:spPr>
              <a:ln w="19050" cap="rnd">
                <a:solidFill>
                  <a:schemeClr val="tx1"/>
                </a:solidFill>
                <a:prstDash val="sysDot"/>
              </a:ln>
              <a:effectLst/>
            </c:spPr>
            <c:trendlineType val="linear"/>
            <c:dispRSqr val="1"/>
            <c:dispEq val="0"/>
            <c:trendlineLbl>
              <c:layout>
                <c:manualLayout>
                  <c:x val="-0.16968222484632967"/>
                  <c:y val="-0.204038412320270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'Denison (S-62)'!$S$3:$S$18</c:f>
              <c:numCache>
                <c:formatCode>General</c:formatCode>
                <c:ptCount val="16"/>
                <c:pt idx="0">
                  <c:v>153</c:v>
                </c:pt>
                <c:pt idx="1">
                  <c:v>149</c:v>
                </c:pt>
                <c:pt idx="2">
                  <c:v>155</c:v>
                </c:pt>
                <c:pt idx="3">
                  <c:v>478</c:v>
                </c:pt>
                <c:pt idx="4">
                  <c:v>180</c:v>
                </c:pt>
                <c:pt idx="5">
                  <c:v>370</c:v>
                </c:pt>
                <c:pt idx="6">
                  <c:v>311</c:v>
                </c:pt>
                <c:pt idx="7">
                  <c:v>126</c:v>
                </c:pt>
                <c:pt idx="8">
                  <c:v>133</c:v>
                </c:pt>
                <c:pt idx="9">
                  <c:v>209</c:v>
                </c:pt>
                <c:pt idx="10">
                  <c:v>176</c:v>
                </c:pt>
                <c:pt idx="11">
                  <c:v>207</c:v>
                </c:pt>
                <c:pt idx="12">
                  <c:v>175</c:v>
                </c:pt>
                <c:pt idx="13">
                  <c:v>140</c:v>
                </c:pt>
                <c:pt idx="14">
                  <c:v>129</c:v>
                </c:pt>
                <c:pt idx="15">
                  <c:v>51</c:v>
                </c:pt>
              </c:numCache>
            </c:numRef>
          </c:xVal>
          <c:yVal>
            <c:numRef>
              <c:f>'Denison (S-62)'!$R$3:$R$18</c:f>
              <c:numCache>
                <c:formatCode>General</c:formatCode>
                <c:ptCount val="16"/>
                <c:pt idx="0">
                  <c:v>9</c:v>
                </c:pt>
                <c:pt idx="1">
                  <c:v>12</c:v>
                </c:pt>
                <c:pt idx="2">
                  <c:v>4.3</c:v>
                </c:pt>
                <c:pt idx="3">
                  <c:v>11</c:v>
                </c:pt>
                <c:pt idx="4">
                  <c:v>16</c:v>
                </c:pt>
                <c:pt idx="5">
                  <c:v>7.7</c:v>
                </c:pt>
                <c:pt idx="6">
                  <c:v>8.1999999999999993</c:v>
                </c:pt>
                <c:pt idx="7">
                  <c:v>6.1</c:v>
                </c:pt>
                <c:pt idx="8">
                  <c:v>4.2</c:v>
                </c:pt>
                <c:pt idx="9">
                  <c:v>6</c:v>
                </c:pt>
                <c:pt idx="10">
                  <c:v>5.2</c:v>
                </c:pt>
                <c:pt idx="11">
                  <c:v>6.5</c:v>
                </c:pt>
                <c:pt idx="12">
                  <c:v>6.1</c:v>
                </c:pt>
                <c:pt idx="13">
                  <c:v>4.3</c:v>
                </c:pt>
                <c:pt idx="14">
                  <c:v>4.8</c:v>
                </c:pt>
                <c:pt idx="15">
                  <c:v>6.2</c:v>
                </c:pt>
              </c:numCache>
            </c:numRef>
          </c:yVal>
          <c:smooth val="0"/>
          <c:extLst xmlns:c16r2="http://schemas.microsoft.com/office/drawing/2015/06/chart">
            <c:ext xmlns:c16="http://schemas.microsoft.com/office/drawing/2014/chart" uri="{C3380CC4-5D6E-409C-BE32-E72D297353CC}">
              <c16:uniqueId val="{00000001-12CD-4E84-B1B7-04BFF096A019}"/>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'Denison (S-62)'!$S$18</c:f>
              <c:numCache>
                <c:formatCode>General</c:formatCode>
                <c:ptCount val="1"/>
                <c:pt idx="0">
                  <c:v>51</c:v>
                </c:pt>
              </c:numCache>
            </c:numRef>
          </c:xVal>
          <c:yVal>
            <c:numRef>
              <c:f>'Denison (S-62)'!$S$18</c:f>
              <c:numCache>
                <c:formatCode>General</c:formatCode>
                <c:ptCount val="1"/>
                <c:pt idx="0">
                  <c:v>51</c:v>
                </c:pt>
              </c:numCache>
            </c:numRef>
          </c:yVal>
          <c:smooth val="0"/>
          <c:extLst xmlns:c16r2="http://schemas.microsoft.com/office/drawing/2015/06/chart">
            <c:ext xmlns:c16="http://schemas.microsoft.com/office/drawing/2014/chart" uri="{C3380CC4-5D6E-409C-BE32-E72D297353CC}">
              <c16:uniqueId val="{00000002-12CD-4E84-B1B7-04BFF096A019}"/>
            </c:ext>
          </c:extLst>
        </c:ser>
        <c:dLbls>
          <c:showLegendKey val="0"/>
          <c:showVal val="0"/>
          <c:showCatName val="0"/>
          <c:showSerName val="0"/>
          <c:showPercent val="0"/>
          <c:showBubbleSize val="0"/>
        </c:dLbls>
        <c:axId val="154911488"/>
        <c:axId val="154913792"/>
        <c:extLst xmlns:c16r2="http://schemas.microsoft.com/office/drawing/2015/06/chart"/>
      </c:scatterChart>
      <c:valAx>
        <c:axId val="154911488"/>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Rb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4913792"/>
        <c:crossesAt val="-1"/>
        <c:crossBetween val="midCat"/>
      </c:valAx>
      <c:valAx>
        <c:axId val="154913792"/>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4911488"/>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Quirke</a:t>
            </a:r>
          </a:p>
        </c:rich>
      </c:tx>
      <c:overlay val="0"/>
      <c:spPr>
        <a:noFill/>
        <a:ln>
          <a:noFill/>
        </a:ln>
        <a:effectLst/>
      </c:spPr>
    </c:title>
    <c:autoTitleDeleted val="0"/>
    <c:plotArea>
      <c:layout/>
      <c:scatterChart>
        <c:scatterStyle val="lineMarker"/>
        <c:varyColors val="0"/>
        <c:ser>
          <c:idx val="0"/>
          <c:order val="0"/>
          <c:tx>
            <c:v>Total profile minus outlier</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1"/>
            <c:trendlineLbl>
              <c:layout>
                <c:manualLayout>
                  <c:x val="-0.12057696298346357"/>
                  <c:y val="1.6773175198831196E-3"/>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'Quirke (DH-268)'!$Q$5:$Q$20</c:f>
              <c:numCache>
                <c:formatCode>General</c:formatCode>
                <c:ptCount val="16"/>
                <c:pt idx="0">
                  <c:v>578</c:v>
                </c:pt>
                <c:pt idx="1">
                  <c:v>559</c:v>
                </c:pt>
                <c:pt idx="2">
                  <c:v>593</c:v>
                </c:pt>
                <c:pt idx="3">
                  <c:v>532</c:v>
                </c:pt>
                <c:pt idx="4">
                  <c:v>336</c:v>
                </c:pt>
                <c:pt idx="5">
                  <c:v>291</c:v>
                </c:pt>
                <c:pt idx="6">
                  <c:v>319</c:v>
                </c:pt>
                <c:pt idx="7">
                  <c:v>278</c:v>
                </c:pt>
                <c:pt idx="8">
                  <c:v>255</c:v>
                </c:pt>
                <c:pt idx="9">
                  <c:v>263</c:v>
                </c:pt>
                <c:pt idx="10">
                  <c:v>263</c:v>
                </c:pt>
                <c:pt idx="11">
                  <c:v>261</c:v>
                </c:pt>
                <c:pt idx="12">
                  <c:v>257</c:v>
                </c:pt>
                <c:pt idx="13">
                  <c:v>258</c:v>
                </c:pt>
                <c:pt idx="14">
                  <c:v>256</c:v>
                </c:pt>
                <c:pt idx="15">
                  <c:v>280</c:v>
                </c:pt>
              </c:numCache>
            </c:numRef>
          </c:xVal>
          <c:yVal>
            <c:numRef>
              <c:f>'Quirke (DH-268)'!$R$5:$R$20</c:f>
              <c:numCache>
                <c:formatCode>General</c:formatCode>
                <c:ptCount val="16"/>
                <c:pt idx="0">
                  <c:v>8.3000000000000007</c:v>
                </c:pt>
                <c:pt idx="1">
                  <c:v>9.1</c:v>
                </c:pt>
                <c:pt idx="2">
                  <c:v>9.1999999999999993</c:v>
                </c:pt>
                <c:pt idx="3">
                  <c:v>8.6999999999999993</c:v>
                </c:pt>
                <c:pt idx="4">
                  <c:v>5.0999999999999996</c:v>
                </c:pt>
                <c:pt idx="5">
                  <c:v>4.4000000000000004</c:v>
                </c:pt>
                <c:pt idx="6">
                  <c:v>5.3</c:v>
                </c:pt>
                <c:pt idx="7">
                  <c:v>4.4000000000000004</c:v>
                </c:pt>
                <c:pt idx="8">
                  <c:v>4.7</c:v>
                </c:pt>
                <c:pt idx="9">
                  <c:v>3.9</c:v>
                </c:pt>
                <c:pt idx="10">
                  <c:v>3.6</c:v>
                </c:pt>
                <c:pt idx="11">
                  <c:v>3.5</c:v>
                </c:pt>
                <c:pt idx="12">
                  <c:v>3.6</c:v>
                </c:pt>
                <c:pt idx="13">
                  <c:v>4.0999999999999996</c:v>
                </c:pt>
                <c:pt idx="14">
                  <c:v>4.0999999999999996</c:v>
                </c:pt>
                <c:pt idx="15">
                  <c:v>3.9</c:v>
                </c:pt>
              </c:numCache>
            </c:numRef>
          </c:yVal>
          <c:smooth val="0"/>
          <c:extLst xmlns:c16r2="http://schemas.microsoft.com/office/drawing/2015/06/chart">
            <c:ext xmlns:c16="http://schemas.microsoft.com/office/drawing/2014/chart" uri="{C3380CC4-5D6E-409C-BE32-E72D297353CC}">
              <c16:uniqueId val="{00000001-CC8E-4C1B-AE6C-7342985EAF23}"/>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'Quirke (DH-268)'!$Q$17:$Q$20</c:f>
              <c:numCache>
                <c:formatCode>General</c:formatCode>
                <c:ptCount val="4"/>
                <c:pt idx="0">
                  <c:v>257</c:v>
                </c:pt>
                <c:pt idx="1">
                  <c:v>258</c:v>
                </c:pt>
                <c:pt idx="2">
                  <c:v>256</c:v>
                </c:pt>
                <c:pt idx="3">
                  <c:v>280</c:v>
                </c:pt>
              </c:numCache>
            </c:numRef>
          </c:xVal>
          <c:yVal>
            <c:numRef>
              <c:f>'Quirke (DH-268)'!$R$17:$R$20</c:f>
              <c:numCache>
                <c:formatCode>General</c:formatCode>
                <c:ptCount val="4"/>
                <c:pt idx="0">
                  <c:v>3.6</c:v>
                </c:pt>
                <c:pt idx="1">
                  <c:v>4.0999999999999996</c:v>
                </c:pt>
                <c:pt idx="2">
                  <c:v>4.0999999999999996</c:v>
                </c:pt>
                <c:pt idx="3">
                  <c:v>3.9</c:v>
                </c:pt>
              </c:numCache>
            </c:numRef>
          </c:yVal>
          <c:smooth val="0"/>
          <c:extLst xmlns:c16r2="http://schemas.microsoft.com/office/drawing/2015/06/chart">
            <c:ext xmlns:c16="http://schemas.microsoft.com/office/drawing/2014/chart" uri="{C3380CC4-5D6E-409C-BE32-E72D297353CC}">
              <c16:uniqueId val="{00000002-CC8E-4C1B-AE6C-7342985EAF23}"/>
            </c:ext>
          </c:extLst>
        </c:ser>
        <c:ser>
          <c:idx val="2"/>
          <c:order val="2"/>
          <c:tx>
            <c:v>Outlier</c:v>
          </c:tx>
          <c:spPr>
            <a:ln w="25400" cap="rnd">
              <a:noFill/>
              <a:round/>
            </a:ln>
            <a:effectLst/>
          </c:spPr>
          <c:marker>
            <c:symbol val="circle"/>
            <c:size val="8"/>
            <c:spPr>
              <a:solidFill>
                <a:schemeClr val="accent3"/>
              </a:solidFill>
              <a:ln w="9525">
                <a:solidFill>
                  <a:schemeClr val="tx1"/>
                </a:solidFill>
              </a:ln>
              <a:effectLst/>
            </c:spPr>
          </c:marker>
          <c:xVal>
            <c:numRef>
              <c:f>'Quirke (DH-268)'!$Q$4</c:f>
              <c:numCache>
                <c:formatCode>General</c:formatCode>
                <c:ptCount val="1"/>
                <c:pt idx="0">
                  <c:v>630</c:v>
                </c:pt>
              </c:numCache>
            </c:numRef>
          </c:xVal>
          <c:yVal>
            <c:numRef>
              <c:f>'Quirke (DH-268)'!$R$4</c:f>
              <c:numCache>
                <c:formatCode>General</c:formatCode>
                <c:ptCount val="1"/>
                <c:pt idx="0">
                  <c:v>5</c:v>
                </c:pt>
              </c:numCache>
            </c:numRef>
          </c:yVal>
          <c:smooth val="0"/>
          <c:extLst xmlns:c16r2="http://schemas.microsoft.com/office/drawing/2015/06/chart">
            <c:ext xmlns:c16="http://schemas.microsoft.com/office/drawing/2014/chart" uri="{C3380CC4-5D6E-409C-BE32-E72D297353CC}">
              <c16:uniqueId val="{00000004-CC8E-4C1B-AE6C-7342985EAF23}"/>
            </c:ext>
          </c:extLst>
        </c:ser>
        <c:dLbls>
          <c:showLegendKey val="0"/>
          <c:showVal val="0"/>
          <c:showCatName val="0"/>
          <c:showSerName val="0"/>
          <c:showPercent val="0"/>
          <c:showBubbleSize val="0"/>
        </c:dLbls>
        <c:axId val="154164608"/>
        <c:axId val="154175360"/>
        <c:extLst xmlns:c16r2="http://schemas.microsoft.com/office/drawing/2015/06/chart"/>
      </c:scatterChart>
      <c:valAx>
        <c:axId val="154164608"/>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Zr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4175360"/>
        <c:crossesAt val="-1"/>
        <c:crossBetween val="midCat"/>
      </c:valAx>
      <c:valAx>
        <c:axId val="154175360"/>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4164608"/>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Quirke</a:t>
            </a:r>
          </a:p>
        </c:rich>
      </c:tx>
      <c:overlay val="0"/>
      <c:spPr>
        <a:noFill/>
        <a:ln>
          <a:noFill/>
        </a:ln>
        <a:effectLst/>
      </c:spPr>
    </c:title>
    <c:autoTitleDeleted val="0"/>
    <c:plotArea>
      <c:layout/>
      <c:scatterChart>
        <c:scatterStyle val="lineMarker"/>
        <c:varyColors val="0"/>
        <c:ser>
          <c:idx val="0"/>
          <c:order val="0"/>
          <c:tx>
            <c:v>Total profile minus outliers</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2841000856292224"/>
                  <c:y val="9.7102659906432437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'Quirke (DH-268)'!$M$5:$M$20</c:f>
              <c:numCache>
                <c:formatCode>General</c:formatCode>
                <c:ptCount val="16"/>
                <c:pt idx="0">
                  <c:v>4.2252727600849251</c:v>
                </c:pt>
                <c:pt idx="1">
                  <c:v>3.7438074946921445</c:v>
                </c:pt>
                <c:pt idx="2">
                  <c:v>4.129809819532908</c:v>
                </c:pt>
                <c:pt idx="3">
                  <c:v>3.7604097452229301</c:v>
                </c:pt>
                <c:pt idx="4">
                  <c:v>1.8719037473460722</c:v>
                </c:pt>
                <c:pt idx="5">
                  <c:v>1.2659216029723992</c:v>
                </c:pt>
                <c:pt idx="6">
                  <c:v>0.75955296178343956</c:v>
                </c:pt>
                <c:pt idx="7">
                  <c:v>0.25733488322717624</c:v>
                </c:pt>
                <c:pt idx="8">
                  <c:v>0.14526969214437366</c:v>
                </c:pt>
                <c:pt idx="9">
                  <c:v>0.16187194267515925</c:v>
                </c:pt>
                <c:pt idx="10">
                  <c:v>0.36940007430997879</c:v>
                </c:pt>
                <c:pt idx="11">
                  <c:v>0.24488319532908703</c:v>
                </c:pt>
                <c:pt idx="12">
                  <c:v>0.31544276008492572</c:v>
                </c:pt>
                <c:pt idx="13">
                  <c:v>0.68899339702760076</c:v>
                </c:pt>
                <c:pt idx="14">
                  <c:v>0.61843383227176218</c:v>
                </c:pt>
                <c:pt idx="15">
                  <c:v>0.58522933121019105</c:v>
                </c:pt>
              </c:numCache>
            </c:numRef>
          </c:xVal>
          <c:yVal>
            <c:numRef>
              <c:f>'Quirke (DH-268)'!$S$5:$S$20</c:f>
              <c:numCache>
                <c:formatCode>General</c:formatCode>
                <c:ptCount val="16"/>
                <c:pt idx="0">
                  <c:v>451</c:v>
                </c:pt>
                <c:pt idx="1">
                  <c:v>409</c:v>
                </c:pt>
                <c:pt idx="2">
                  <c:v>473</c:v>
                </c:pt>
                <c:pt idx="3">
                  <c:v>460</c:v>
                </c:pt>
                <c:pt idx="4">
                  <c:v>219</c:v>
                </c:pt>
                <c:pt idx="5">
                  <c:v>145</c:v>
                </c:pt>
                <c:pt idx="6">
                  <c:v>81</c:v>
                </c:pt>
                <c:pt idx="7">
                  <c:v>39</c:v>
                </c:pt>
                <c:pt idx="8">
                  <c:v>28</c:v>
                </c:pt>
                <c:pt idx="9">
                  <c:v>59</c:v>
                </c:pt>
                <c:pt idx="10">
                  <c:v>90</c:v>
                </c:pt>
                <c:pt idx="11">
                  <c:v>66</c:v>
                </c:pt>
                <c:pt idx="12">
                  <c:v>73</c:v>
                </c:pt>
                <c:pt idx="13">
                  <c:v>180</c:v>
                </c:pt>
                <c:pt idx="14">
                  <c:v>139</c:v>
                </c:pt>
                <c:pt idx="15">
                  <c:v>134</c:v>
                </c:pt>
              </c:numCache>
            </c:numRef>
          </c:yVal>
          <c:smooth val="0"/>
          <c:extLst xmlns:c16r2="http://schemas.microsoft.com/office/drawing/2015/06/chart">
            <c:ext xmlns:c16="http://schemas.microsoft.com/office/drawing/2014/chart" uri="{C3380CC4-5D6E-409C-BE32-E72D297353CC}">
              <c16:uniqueId val="{00000001-2F2B-4B91-BC1B-882D340F453B}"/>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'Quirke (DH-268)'!$M$17:$M$20</c:f>
              <c:numCache>
                <c:formatCode>General</c:formatCode>
                <c:ptCount val="4"/>
                <c:pt idx="0">
                  <c:v>0.31544276008492572</c:v>
                </c:pt>
                <c:pt idx="1">
                  <c:v>0.68899339702760076</c:v>
                </c:pt>
                <c:pt idx="2">
                  <c:v>0.61843383227176218</c:v>
                </c:pt>
                <c:pt idx="3">
                  <c:v>0.58522933121019105</c:v>
                </c:pt>
              </c:numCache>
            </c:numRef>
          </c:xVal>
          <c:yVal>
            <c:numRef>
              <c:f>'Quirke (DH-268)'!$S$17:$S$20</c:f>
              <c:numCache>
                <c:formatCode>General</c:formatCode>
                <c:ptCount val="4"/>
                <c:pt idx="0">
                  <c:v>73</c:v>
                </c:pt>
                <c:pt idx="1">
                  <c:v>180</c:v>
                </c:pt>
                <c:pt idx="2">
                  <c:v>139</c:v>
                </c:pt>
                <c:pt idx="3">
                  <c:v>134</c:v>
                </c:pt>
              </c:numCache>
            </c:numRef>
          </c:yVal>
          <c:smooth val="0"/>
          <c:extLst xmlns:c16r2="http://schemas.microsoft.com/office/drawing/2015/06/chart">
            <c:ext xmlns:c16="http://schemas.microsoft.com/office/drawing/2014/chart" uri="{C3380CC4-5D6E-409C-BE32-E72D297353CC}">
              <c16:uniqueId val="{00000002-2F2B-4B91-BC1B-882D340F453B}"/>
            </c:ext>
          </c:extLst>
        </c:ser>
        <c:ser>
          <c:idx val="2"/>
          <c:order val="2"/>
          <c:tx>
            <c:v>Outliers</c:v>
          </c:tx>
          <c:spPr>
            <a:ln w="25400" cap="rnd">
              <a:noFill/>
              <a:round/>
            </a:ln>
            <a:effectLst/>
          </c:spPr>
          <c:marker>
            <c:symbol val="circle"/>
            <c:size val="8"/>
            <c:spPr>
              <a:solidFill>
                <a:schemeClr val="accent3"/>
              </a:solidFill>
              <a:ln w="9525">
                <a:solidFill>
                  <a:schemeClr val="tx1"/>
                </a:solidFill>
              </a:ln>
              <a:effectLst/>
            </c:spPr>
          </c:marker>
          <c:xVal>
            <c:numRef>
              <c:f>'Quirke (DH-268)'!$M$3:$M$4</c:f>
              <c:numCache>
                <c:formatCode>General</c:formatCode>
                <c:ptCount val="2"/>
                <c:pt idx="0">
                  <c:v>3.3370523566878978</c:v>
                </c:pt>
                <c:pt idx="1">
                  <c:v>3.8932277494692147</c:v>
                </c:pt>
              </c:numCache>
            </c:numRef>
          </c:xVal>
          <c:yVal>
            <c:numRef>
              <c:f>'Quirke (DH-268)'!$S$3:$S$4</c:f>
              <c:numCache>
                <c:formatCode>General</c:formatCode>
                <c:ptCount val="2"/>
                <c:pt idx="0">
                  <c:v>323</c:v>
                </c:pt>
                <c:pt idx="1">
                  <c:v>403</c:v>
                </c:pt>
              </c:numCache>
            </c:numRef>
          </c:yVal>
          <c:smooth val="0"/>
          <c:extLst xmlns:c16r2="http://schemas.microsoft.com/office/drawing/2015/06/chart">
            <c:ext xmlns:c16="http://schemas.microsoft.com/office/drawing/2014/chart" uri="{C3380CC4-5D6E-409C-BE32-E72D297353CC}">
              <c16:uniqueId val="{00000004-2F2B-4B91-BC1B-882D340F453B}"/>
            </c:ext>
          </c:extLst>
        </c:ser>
        <c:dLbls>
          <c:showLegendKey val="0"/>
          <c:showVal val="0"/>
          <c:showCatName val="0"/>
          <c:showSerName val="0"/>
          <c:showPercent val="0"/>
          <c:showBubbleSize val="0"/>
        </c:dLbls>
        <c:axId val="155334144"/>
        <c:axId val="155353088"/>
        <c:extLst xmlns:c16r2="http://schemas.microsoft.com/office/drawing/2015/06/chart"/>
      </c:scatterChart>
      <c:valAx>
        <c:axId val="155334144"/>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K (wt%)</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353088"/>
        <c:crossesAt val="-1"/>
        <c:crossBetween val="midCat"/>
      </c:valAx>
      <c:valAx>
        <c:axId val="155353088"/>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Rb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334144"/>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Quirke</a:t>
            </a:r>
          </a:p>
        </c:rich>
      </c:tx>
      <c:overlay val="0"/>
      <c:spPr>
        <a:noFill/>
        <a:ln>
          <a:noFill/>
        </a:ln>
        <a:effectLst/>
      </c:spPr>
    </c:title>
    <c:autoTitleDeleted val="0"/>
    <c:plotArea>
      <c:layout/>
      <c:scatterChart>
        <c:scatterStyle val="lineMarker"/>
        <c:varyColors val="0"/>
        <c:ser>
          <c:idx val="0"/>
          <c:order val="0"/>
          <c:tx>
            <c:v>Total profile minus outlier</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20385475238657444"/>
                  <c:y val="5.7009163315184706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'Quirke (DH-268)'!$S$5:$S$20</c:f>
              <c:numCache>
                <c:formatCode>General</c:formatCode>
                <c:ptCount val="16"/>
                <c:pt idx="0">
                  <c:v>451</c:v>
                </c:pt>
                <c:pt idx="1">
                  <c:v>409</c:v>
                </c:pt>
                <c:pt idx="2">
                  <c:v>473</c:v>
                </c:pt>
                <c:pt idx="3">
                  <c:v>460</c:v>
                </c:pt>
                <c:pt idx="4">
                  <c:v>219</c:v>
                </c:pt>
                <c:pt idx="5">
                  <c:v>145</c:v>
                </c:pt>
                <c:pt idx="6">
                  <c:v>81</c:v>
                </c:pt>
                <c:pt idx="7">
                  <c:v>39</c:v>
                </c:pt>
                <c:pt idx="8">
                  <c:v>28</c:v>
                </c:pt>
                <c:pt idx="9">
                  <c:v>59</c:v>
                </c:pt>
                <c:pt idx="10">
                  <c:v>90</c:v>
                </c:pt>
                <c:pt idx="11">
                  <c:v>66</c:v>
                </c:pt>
                <c:pt idx="12">
                  <c:v>73</c:v>
                </c:pt>
                <c:pt idx="13">
                  <c:v>180</c:v>
                </c:pt>
                <c:pt idx="14">
                  <c:v>139</c:v>
                </c:pt>
                <c:pt idx="15">
                  <c:v>134</c:v>
                </c:pt>
              </c:numCache>
            </c:numRef>
          </c:xVal>
          <c:yVal>
            <c:numRef>
              <c:f>'Quirke (DH-268)'!$R$5:$R$20</c:f>
              <c:numCache>
                <c:formatCode>General</c:formatCode>
                <c:ptCount val="16"/>
                <c:pt idx="0">
                  <c:v>8.3000000000000007</c:v>
                </c:pt>
                <c:pt idx="1">
                  <c:v>9.1</c:v>
                </c:pt>
                <c:pt idx="2">
                  <c:v>9.1999999999999993</c:v>
                </c:pt>
                <c:pt idx="3">
                  <c:v>8.6999999999999993</c:v>
                </c:pt>
                <c:pt idx="4">
                  <c:v>5.0999999999999996</c:v>
                </c:pt>
                <c:pt idx="5">
                  <c:v>4.4000000000000004</c:v>
                </c:pt>
                <c:pt idx="6">
                  <c:v>5.3</c:v>
                </c:pt>
                <c:pt idx="7">
                  <c:v>4.4000000000000004</c:v>
                </c:pt>
                <c:pt idx="8">
                  <c:v>4.7</c:v>
                </c:pt>
                <c:pt idx="9">
                  <c:v>3.9</c:v>
                </c:pt>
                <c:pt idx="10">
                  <c:v>3.6</c:v>
                </c:pt>
                <c:pt idx="11">
                  <c:v>3.5</c:v>
                </c:pt>
                <c:pt idx="12">
                  <c:v>3.6</c:v>
                </c:pt>
                <c:pt idx="13">
                  <c:v>4.0999999999999996</c:v>
                </c:pt>
                <c:pt idx="14">
                  <c:v>4.0999999999999996</c:v>
                </c:pt>
                <c:pt idx="15">
                  <c:v>3.9</c:v>
                </c:pt>
              </c:numCache>
            </c:numRef>
          </c:yVal>
          <c:smooth val="0"/>
          <c:extLst xmlns:c16r2="http://schemas.microsoft.com/office/drawing/2015/06/chart">
            <c:ext xmlns:c16="http://schemas.microsoft.com/office/drawing/2014/chart" uri="{C3380CC4-5D6E-409C-BE32-E72D297353CC}">
              <c16:uniqueId val="{00000001-AE22-4C5B-8AC7-2A62FDD9698B}"/>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'Quirke (DH-268)'!$S$17:$S$20</c:f>
              <c:numCache>
                <c:formatCode>General</c:formatCode>
                <c:ptCount val="4"/>
                <c:pt idx="0">
                  <c:v>73</c:v>
                </c:pt>
                <c:pt idx="1">
                  <c:v>180</c:v>
                </c:pt>
                <c:pt idx="2">
                  <c:v>139</c:v>
                </c:pt>
                <c:pt idx="3">
                  <c:v>134</c:v>
                </c:pt>
              </c:numCache>
            </c:numRef>
          </c:xVal>
          <c:yVal>
            <c:numRef>
              <c:f>'Quirke (DH-268)'!$R$17:$R$20</c:f>
              <c:numCache>
                <c:formatCode>General</c:formatCode>
                <c:ptCount val="4"/>
                <c:pt idx="0">
                  <c:v>3.6</c:v>
                </c:pt>
                <c:pt idx="1">
                  <c:v>4.0999999999999996</c:v>
                </c:pt>
                <c:pt idx="2">
                  <c:v>4.0999999999999996</c:v>
                </c:pt>
                <c:pt idx="3">
                  <c:v>3.9</c:v>
                </c:pt>
              </c:numCache>
            </c:numRef>
          </c:yVal>
          <c:smooth val="0"/>
          <c:extLst xmlns:c16r2="http://schemas.microsoft.com/office/drawing/2015/06/chart">
            <c:ext xmlns:c16="http://schemas.microsoft.com/office/drawing/2014/chart" uri="{C3380CC4-5D6E-409C-BE32-E72D297353CC}">
              <c16:uniqueId val="{00000002-AE22-4C5B-8AC7-2A62FDD9698B}"/>
            </c:ext>
          </c:extLst>
        </c:ser>
        <c:ser>
          <c:idx val="2"/>
          <c:order val="2"/>
          <c:tx>
            <c:v>Outlier</c:v>
          </c:tx>
          <c:spPr>
            <a:ln w="25400" cap="rnd">
              <a:noFill/>
              <a:round/>
            </a:ln>
            <a:effectLst/>
          </c:spPr>
          <c:marker>
            <c:symbol val="circle"/>
            <c:size val="8"/>
            <c:spPr>
              <a:solidFill>
                <a:schemeClr val="accent3"/>
              </a:solidFill>
              <a:ln w="9525">
                <a:solidFill>
                  <a:schemeClr val="tx1"/>
                </a:solidFill>
              </a:ln>
              <a:effectLst/>
            </c:spPr>
          </c:marker>
          <c:xVal>
            <c:numRef>
              <c:f>'Quirke (DH-268)'!$S$4</c:f>
              <c:numCache>
                <c:formatCode>General</c:formatCode>
                <c:ptCount val="1"/>
                <c:pt idx="0">
                  <c:v>403</c:v>
                </c:pt>
              </c:numCache>
            </c:numRef>
          </c:xVal>
          <c:yVal>
            <c:numRef>
              <c:f>'Quirke (DH-268)'!$R$4</c:f>
              <c:numCache>
                <c:formatCode>General</c:formatCode>
                <c:ptCount val="1"/>
                <c:pt idx="0">
                  <c:v>5</c:v>
                </c:pt>
              </c:numCache>
            </c:numRef>
          </c:yVal>
          <c:smooth val="0"/>
          <c:extLst xmlns:c16r2="http://schemas.microsoft.com/office/drawing/2015/06/chart">
            <c:ext xmlns:c16="http://schemas.microsoft.com/office/drawing/2014/chart" uri="{C3380CC4-5D6E-409C-BE32-E72D297353CC}">
              <c16:uniqueId val="{00000003-AE22-4C5B-8AC7-2A62FDD9698B}"/>
            </c:ext>
          </c:extLst>
        </c:ser>
        <c:dLbls>
          <c:showLegendKey val="0"/>
          <c:showVal val="0"/>
          <c:showCatName val="0"/>
          <c:showSerName val="0"/>
          <c:showPercent val="0"/>
          <c:showBubbleSize val="0"/>
        </c:dLbls>
        <c:axId val="155209088"/>
        <c:axId val="155211648"/>
        <c:extLst xmlns:c16r2="http://schemas.microsoft.com/office/drawing/2015/06/chart"/>
      </c:scatterChart>
      <c:valAx>
        <c:axId val="155209088"/>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Zr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211648"/>
        <c:crossesAt val="-1"/>
        <c:crossBetween val="midCat"/>
      </c:valAx>
      <c:valAx>
        <c:axId val="155211648"/>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209088"/>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Total profile</c:v>
          </c:tx>
          <c:spPr>
            <a:ln w="12700" cap="rnd">
              <a:solidFill>
                <a:schemeClr val="tx1"/>
              </a:solidFill>
              <a:round/>
            </a:ln>
            <a:effectLst/>
          </c:spPr>
          <c:marker>
            <c:symbol val="circle"/>
            <c:size val="8"/>
            <c:spPr>
              <a:solidFill>
                <a:schemeClr val="accent1"/>
              </a:solidFill>
              <a:ln w="9525">
                <a:solidFill>
                  <a:schemeClr val="tx1"/>
                </a:solidFill>
              </a:ln>
              <a:effectLst/>
            </c:spPr>
          </c:marker>
          <c:xVal>
            <c:numRef>
              <c:f>'Quirke (DH-268)'!$M$3:$M$20</c:f>
              <c:numCache>
                <c:formatCode>General</c:formatCode>
                <c:ptCount val="18"/>
                <c:pt idx="0">
                  <c:v>3.3370523566878978</c:v>
                </c:pt>
                <c:pt idx="1">
                  <c:v>3.8932277494692147</c:v>
                </c:pt>
                <c:pt idx="2">
                  <c:v>4.2252727600849251</c:v>
                </c:pt>
                <c:pt idx="3">
                  <c:v>3.7438074946921445</c:v>
                </c:pt>
                <c:pt idx="4">
                  <c:v>4.129809819532908</c:v>
                </c:pt>
                <c:pt idx="5">
                  <c:v>3.7604097452229301</c:v>
                </c:pt>
                <c:pt idx="6">
                  <c:v>1.8719037473460722</c:v>
                </c:pt>
                <c:pt idx="7">
                  <c:v>1.2659216029723992</c:v>
                </c:pt>
                <c:pt idx="8">
                  <c:v>0.75955296178343956</c:v>
                </c:pt>
                <c:pt idx="9">
                  <c:v>0.25733488322717624</c:v>
                </c:pt>
                <c:pt idx="10">
                  <c:v>0.14526969214437366</c:v>
                </c:pt>
                <c:pt idx="11">
                  <c:v>0.16187194267515925</c:v>
                </c:pt>
                <c:pt idx="12">
                  <c:v>0.36940007430997879</c:v>
                </c:pt>
                <c:pt idx="13">
                  <c:v>0.24488319532908703</c:v>
                </c:pt>
                <c:pt idx="14">
                  <c:v>0.31544276008492572</c:v>
                </c:pt>
                <c:pt idx="15">
                  <c:v>0.68899339702760076</c:v>
                </c:pt>
                <c:pt idx="16">
                  <c:v>0.61843383227176218</c:v>
                </c:pt>
                <c:pt idx="17">
                  <c:v>0.58522933121019105</c:v>
                </c:pt>
              </c:numCache>
            </c:numRef>
          </c:xVal>
          <c:yVal>
            <c:numRef>
              <c:f>'Quirke (DH-268)'!$B$3:$B$20</c:f>
              <c:numCache>
                <c:formatCode>General</c:formatCode>
                <c:ptCount val="18"/>
                <c:pt idx="0">
                  <c:v>-6</c:v>
                </c:pt>
                <c:pt idx="1">
                  <c:v>7</c:v>
                </c:pt>
                <c:pt idx="2">
                  <c:v>19</c:v>
                </c:pt>
                <c:pt idx="3">
                  <c:v>30</c:v>
                </c:pt>
                <c:pt idx="4">
                  <c:v>65</c:v>
                </c:pt>
                <c:pt idx="5">
                  <c:v>76</c:v>
                </c:pt>
                <c:pt idx="6">
                  <c:v>101</c:v>
                </c:pt>
                <c:pt idx="7">
                  <c:v>121</c:v>
                </c:pt>
                <c:pt idx="8">
                  <c:v>156</c:v>
                </c:pt>
                <c:pt idx="9">
                  <c:v>196</c:v>
                </c:pt>
                <c:pt idx="10">
                  <c:v>296</c:v>
                </c:pt>
                <c:pt idx="11">
                  <c:v>396</c:v>
                </c:pt>
                <c:pt idx="12">
                  <c:v>496</c:v>
                </c:pt>
                <c:pt idx="13">
                  <c:v>596</c:v>
                </c:pt>
                <c:pt idx="14">
                  <c:v>696</c:v>
                </c:pt>
                <c:pt idx="15">
                  <c:v>796</c:v>
                </c:pt>
                <c:pt idx="16">
                  <c:v>896</c:v>
                </c:pt>
                <c:pt idx="17">
                  <c:v>996</c:v>
                </c:pt>
              </c:numCache>
            </c:numRef>
          </c:yVal>
          <c:smooth val="0"/>
          <c:extLst xmlns:c16r2="http://schemas.microsoft.com/office/drawing/2015/06/chart">
            <c:ext xmlns:c16="http://schemas.microsoft.com/office/drawing/2014/chart" uri="{C3380CC4-5D6E-409C-BE32-E72D297353CC}">
              <c16:uniqueId val="{00000000-2F1E-4A8C-BF83-BE46BFE697CF}"/>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'Quirke (DH-268)'!$M$17:$M$20</c:f>
              <c:numCache>
                <c:formatCode>General</c:formatCode>
                <c:ptCount val="4"/>
                <c:pt idx="0">
                  <c:v>0.31544276008492572</c:v>
                </c:pt>
                <c:pt idx="1">
                  <c:v>0.68899339702760076</c:v>
                </c:pt>
                <c:pt idx="2">
                  <c:v>0.61843383227176218</c:v>
                </c:pt>
                <c:pt idx="3">
                  <c:v>0.58522933121019105</c:v>
                </c:pt>
              </c:numCache>
            </c:numRef>
          </c:xVal>
          <c:yVal>
            <c:numRef>
              <c:f>'Quirke (DH-268)'!$B$17:$B$20</c:f>
              <c:numCache>
                <c:formatCode>General</c:formatCode>
                <c:ptCount val="4"/>
                <c:pt idx="0">
                  <c:v>696</c:v>
                </c:pt>
                <c:pt idx="1">
                  <c:v>796</c:v>
                </c:pt>
                <c:pt idx="2">
                  <c:v>896</c:v>
                </c:pt>
                <c:pt idx="3">
                  <c:v>996</c:v>
                </c:pt>
              </c:numCache>
            </c:numRef>
          </c:yVal>
          <c:smooth val="0"/>
          <c:extLst xmlns:c16r2="http://schemas.microsoft.com/office/drawing/2015/06/chart">
            <c:ext xmlns:c16="http://schemas.microsoft.com/office/drawing/2014/chart" uri="{C3380CC4-5D6E-409C-BE32-E72D297353CC}">
              <c16:uniqueId val="{00000001-2F1E-4A8C-BF83-BE46BFE697CF}"/>
            </c:ext>
          </c:extLst>
        </c:ser>
        <c:dLbls>
          <c:showLegendKey val="0"/>
          <c:showVal val="0"/>
          <c:showCatName val="0"/>
          <c:showSerName val="0"/>
          <c:showPercent val="0"/>
          <c:showBubbleSize val="0"/>
        </c:dLbls>
        <c:axId val="155250048"/>
        <c:axId val="155252608"/>
        <c:extLst xmlns:c16r2="http://schemas.microsoft.com/office/drawing/2015/06/chart"/>
      </c:scatterChart>
      <c:valAx>
        <c:axId val="155250048"/>
        <c:scaling>
          <c:orientation val="minMax"/>
        </c:scaling>
        <c:delete val="0"/>
        <c:axPos val="t"/>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K (wt%)</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252608"/>
        <c:crossesAt val="0"/>
        <c:crossBetween val="midCat"/>
      </c:valAx>
      <c:valAx>
        <c:axId val="155252608"/>
        <c:scaling>
          <c:orientation val="maxMin"/>
          <c:min val="0"/>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Depth (m)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250048"/>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Cooper Lake</a:t>
            </a:r>
          </a:p>
        </c:rich>
      </c:tx>
      <c:overlay val="0"/>
      <c:spPr>
        <a:noFill/>
        <a:ln>
          <a:noFill/>
        </a:ln>
        <a:effectLst/>
      </c:spPr>
    </c:title>
    <c:autoTitleDeleted val="0"/>
    <c:plotArea>
      <c:layout/>
      <c:scatterChart>
        <c:scatterStyle val="lineMarker"/>
        <c:varyColors val="0"/>
        <c:ser>
          <c:idx val="0"/>
          <c:order val="0"/>
          <c:tx>
            <c:v>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20385475238657444"/>
                  <c:y val="5.7009163315184706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'Cooper Lake'!$V$3:$V$56</c:f>
              <c:numCache>
                <c:formatCode>General</c:formatCode>
                <c:ptCount val="54"/>
                <c:pt idx="0">
                  <c:v>237.7</c:v>
                </c:pt>
                <c:pt idx="1">
                  <c:v>214.7</c:v>
                </c:pt>
                <c:pt idx="2">
                  <c:v>213.1</c:v>
                </c:pt>
                <c:pt idx="3">
                  <c:v>178.1</c:v>
                </c:pt>
                <c:pt idx="4">
                  <c:v>168.4</c:v>
                </c:pt>
                <c:pt idx="5">
                  <c:v>166.9</c:v>
                </c:pt>
                <c:pt idx="6">
                  <c:v>151.69999999999999</c:v>
                </c:pt>
                <c:pt idx="7">
                  <c:v>150.9</c:v>
                </c:pt>
                <c:pt idx="8">
                  <c:v>145.30000000000001</c:v>
                </c:pt>
                <c:pt idx="9">
                  <c:v>146.30000000000001</c:v>
                </c:pt>
                <c:pt idx="10">
                  <c:v>148.6</c:v>
                </c:pt>
                <c:pt idx="11">
                  <c:v>135.1</c:v>
                </c:pt>
                <c:pt idx="12">
                  <c:v>178.1</c:v>
                </c:pt>
                <c:pt idx="13">
                  <c:v>219.3</c:v>
                </c:pt>
                <c:pt idx="14">
                  <c:v>209.1</c:v>
                </c:pt>
                <c:pt idx="15">
                  <c:v>215.3</c:v>
                </c:pt>
                <c:pt idx="16">
                  <c:v>184.3</c:v>
                </c:pt>
                <c:pt idx="17">
                  <c:v>204.4</c:v>
                </c:pt>
                <c:pt idx="18">
                  <c:v>195.1</c:v>
                </c:pt>
                <c:pt idx="19">
                  <c:v>204.8</c:v>
                </c:pt>
                <c:pt idx="20">
                  <c:v>160.80000000000001</c:v>
                </c:pt>
                <c:pt idx="21">
                  <c:v>150.69999999999999</c:v>
                </c:pt>
                <c:pt idx="22">
                  <c:v>144</c:v>
                </c:pt>
                <c:pt idx="23">
                  <c:v>164.7</c:v>
                </c:pt>
                <c:pt idx="24">
                  <c:v>192.4</c:v>
                </c:pt>
                <c:pt idx="25">
                  <c:v>223.7</c:v>
                </c:pt>
                <c:pt idx="26">
                  <c:v>129.5</c:v>
                </c:pt>
                <c:pt idx="27">
                  <c:v>129.30000000000001</c:v>
                </c:pt>
                <c:pt idx="28">
                  <c:v>126.1</c:v>
                </c:pt>
                <c:pt idx="29">
                  <c:v>121.5</c:v>
                </c:pt>
                <c:pt idx="30">
                  <c:v>121.5</c:v>
                </c:pt>
                <c:pt idx="31">
                  <c:v>123.4</c:v>
                </c:pt>
                <c:pt idx="32">
                  <c:v>117.5</c:v>
                </c:pt>
                <c:pt idx="33">
                  <c:v>124.2</c:v>
                </c:pt>
                <c:pt idx="34">
                  <c:v>125.4</c:v>
                </c:pt>
                <c:pt idx="35">
                  <c:v>123.9</c:v>
                </c:pt>
                <c:pt idx="36">
                  <c:v>170.4</c:v>
                </c:pt>
                <c:pt idx="37">
                  <c:v>125.5</c:v>
                </c:pt>
                <c:pt idx="38">
                  <c:v>126.9</c:v>
                </c:pt>
                <c:pt idx="39">
                  <c:v>269.39999999999998</c:v>
                </c:pt>
                <c:pt idx="40">
                  <c:v>119.7</c:v>
                </c:pt>
                <c:pt idx="41">
                  <c:v>121.8</c:v>
                </c:pt>
                <c:pt idx="42">
                  <c:v>128.1</c:v>
                </c:pt>
                <c:pt idx="43">
                  <c:v>132.19999999999999</c:v>
                </c:pt>
                <c:pt idx="44">
                  <c:v>128.9</c:v>
                </c:pt>
                <c:pt idx="45">
                  <c:v>124.6</c:v>
                </c:pt>
                <c:pt idx="46">
                  <c:v>129.6</c:v>
                </c:pt>
                <c:pt idx="47">
                  <c:v>131.9</c:v>
                </c:pt>
                <c:pt idx="48">
                  <c:v>185.8</c:v>
                </c:pt>
                <c:pt idx="49">
                  <c:v>198.4</c:v>
                </c:pt>
                <c:pt idx="50">
                  <c:v>199.5</c:v>
                </c:pt>
                <c:pt idx="51">
                  <c:v>201.1</c:v>
                </c:pt>
                <c:pt idx="52">
                  <c:v>195.4</c:v>
                </c:pt>
                <c:pt idx="53">
                  <c:v>170.8</c:v>
                </c:pt>
              </c:numCache>
            </c:numRef>
          </c:xVal>
          <c:yVal>
            <c:numRef>
              <c:f>'Cooper Lake'!$W$3:$W$56</c:f>
              <c:numCache>
                <c:formatCode>General</c:formatCode>
                <c:ptCount val="54"/>
                <c:pt idx="0">
                  <c:v>6.7519999999999998</c:v>
                </c:pt>
                <c:pt idx="1">
                  <c:v>5.8419999999999996</c:v>
                </c:pt>
                <c:pt idx="2">
                  <c:v>5.8929999999999998</c:v>
                </c:pt>
                <c:pt idx="3">
                  <c:v>4.9109999999999996</c:v>
                </c:pt>
                <c:pt idx="4">
                  <c:v>4.694</c:v>
                </c:pt>
                <c:pt idx="5">
                  <c:v>4.6360000000000001</c:v>
                </c:pt>
                <c:pt idx="6">
                  <c:v>4.2960000000000003</c:v>
                </c:pt>
                <c:pt idx="7">
                  <c:v>4.2629999999999999</c:v>
                </c:pt>
                <c:pt idx="8">
                  <c:v>4.1210000000000004</c:v>
                </c:pt>
                <c:pt idx="9">
                  <c:v>4.1130000000000004</c:v>
                </c:pt>
                <c:pt idx="10">
                  <c:v>4.2050000000000001</c:v>
                </c:pt>
                <c:pt idx="11">
                  <c:v>3.8250000000000002</c:v>
                </c:pt>
                <c:pt idx="12">
                  <c:v>4.984</c:v>
                </c:pt>
                <c:pt idx="13">
                  <c:v>5.798</c:v>
                </c:pt>
                <c:pt idx="14">
                  <c:v>5.71</c:v>
                </c:pt>
                <c:pt idx="15">
                  <c:v>5.9569999999999999</c:v>
                </c:pt>
                <c:pt idx="16">
                  <c:v>5.1379999999999999</c:v>
                </c:pt>
                <c:pt idx="17">
                  <c:v>5.633</c:v>
                </c:pt>
                <c:pt idx="18">
                  <c:v>5.4059999999999997</c:v>
                </c:pt>
                <c:pt idx="19">
                  <c:v>5.7850000000000001</c:v>
                </c:pt>
                <c:pt idx="20">
                  <c:v>4.633</c:v>
                </c:pt>
                <c:pt idx="21">
                  <c:v>4.2009999999999996</c:v>
                </c:pt>
                <c:pt idx="22">
                  <c:v>4.0979999999999999</c:v>
                </c:pt>
                <c:pt idx="23">
                  <c:v>4.718</c:v>
                </c:pt>
                <c:pt idx="24">
                  <c:v>5.4720000000000004</c:v>
                </c:pt>
                <c:pt idx="25">
                  <c:v>6.2960000000000003</c:v>
                </c:pt>
                <c:pt idx="26">
                  <c:v>3.649</c:v>
                </c:pt>
                <c:pt idx="27">
                  <c:v>3.62</c:v>
                </c:pt>
                <c:pt idx="28">
                  <c:v>3.516</c:v>
                </c:pt>
                <c:pt idx="29">
                  <c:v>3.4129999999999998</c:v>
                </c:pt>
                <c:pt idx="30">
                  <c:v>3.4350000000000001</c:v>
                </c:pt>
                <c:pt idx="31">
                  <c:v>3.4620000000000002</c:v>
                </c:pt>
                <c:pt idx="32">
                  <c:v>3.31</c:v>
                </c:pt>
                <c:pt idx="33">
                  <c:v>3.476</c:v>
                </c:pt>
                <c:pt idx="34">
                  <c:v>3.4849999999999999</c:v>
                </c:pt>
                <c:pt idx="35">
                  <c:v>3.4289999999999998</c:v>
                </c:pt>
                <c:pt idx="36">
                  <c:v>4.7489999999999997</c:v>
                </c:pt>
                <c:pt idx="37">
                  <c:v>3.5059999999999998</c:v>
                </c:pt>
                <c:pt idx="38">
                  <c:v>3.5830000000000002</c:v>
                </c:pt>
                <c:pt idx="39">
                  <c:v>7.5279999999999996</c:v>
                </c:pt>
                <c:pt idx="40">
                  <c:v>3.3570000000000002</c:v>
                </c:pt>
                <c:pt idx="41">
                  <c:v>3.4220000000000002</c:v>
                </c:pt>
                <c:pt idx="42">
                  <c:v>3.585</c:v>
                </c:pt>
                <c:pt idx="43">
                  <c:v>3.722</c:v>
                </c:pt>
                <c:pt idx="44">
                  <c:v>3.617</c:v>
                </c:pt>
                <c:pt idx="45">
                  <c:v>3.5259999999999998</c:v>
                </c:pt>
                <c:pt idx="46">
                  <c:v>3.617</c:v>
                </c:pt>
                <c:pt idx="47">
                  <c:v>3.6920000000000002</c:v>
                </c:pt>
                <c:pt idx="48">
                  <c:v>5.0259999999999998</c:v>
                </c:pt>
                <c:pt idx="49">
                  <c:v>5.681</c:v>
                </c:pt>
                <c:pt idx="50">
                  <c:v>5.5789999999999997</c:v>
                </c:pt>
                <c:pt idx="51">
                  <c:v>5.6429999999999998</c:v>
                </c:pt>
                <c:pt idx="52">
                  <c:v>5.3680000000000003</c:v>
                </c:pt>
                <c:pt idx="53">
                  <c:v>4.7770000000000001</c:v>
                </c:pt>
              </c:numCache>
            </c:numRef>
          </c:yVal>
          <c:smooth val="0"/>
          <c:extLst xmlns:c16r2="http://schemas.microsoft.com/office/drawing/2015/06/chart">
            <c:ext xmlns:c16="http://schemas.microsoft.com/office/drawing/2014/chart" uri="{C3380CC4-5D6E-409C-BE32-E72D297353CC}">
              <c16:uniqueId val="{00000001-F300-40FA-B1B7-EF8D077A4E2E}"/>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'Cooper Lake'!$V$56</c:f>
              <c:numCache>
                <c:formatCode>General</c:formatCode>
                <c:ptCount val="1"/>
                <c:pt idx="0">
                  <c:v>170.8</c:v>
                </c:pt>
              </c:numCache>
            </c:numRef>
          </c:xVal>
          <c:yVal>
            <c:numRef>
              <c:f>'Cooper Lake'!$W$56</c:f>
              <c:numCache>
                <c:formatCode>General</c:formatCode>
                <c:ptCount val="1"/>
                <c:pt idx="0">
                  <c:v>4.7770000000000001</c:v>
                </c:pt>
              </c:numCache>
            </c:numRef>
          </c:yVal>
          <c:smooth val="0"/>
          <c:extLst xmlns:c16r2="http://schemas.microsoft.com/office/drawing/2015/06/chart">
            <c:ext xmlns:c16="http://schemas.microsoft.com/office/drawing/2014/chart" uri="{C3380CC4-5D6E-409C-BE32-E72D297353CC}">
              <c16:uniqueId val="{00000002-F300-40FA-B1B7-EF8D077A4E2E}"/>
            </c:ext>
          </c:extLst>
        </c:ser>
        <c:dLbls>
          <c:showLegendKey val="0"/>
          <c:showVal val="0"/>
          <c:showCatName val="0"/>
          <c:showSerName val="0"/>
          <c:showPercent val="0"/>
          <c:showBubbleSize val="0"/>
        </c:dLbls>
        <c:axId val="155566464"/>
        <c:axId val="155568768"/>
        <c:extLst xmlns:c16r2="http://schemas.microsoft.com/office/drawing/2015/06/chart"/>
      </c:scatterChart>
      <c:valAx>
        <c:axId val="155566464"/>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Zr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568768"/>
        <c:crossesAt val="-1"/>
        <c:crossBetween val="midCat"/>
      </c:valAx>
      <c:valAx>
        <c:axId val="155568768"/>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566464"/>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Negative average</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tx1"/>
              </a:solidFill>
              <a:ln w="9525">
                <a:noFill/>
              </a:ln>
              <a:effectLst/>
            </c:spPr>
          </c:marker>
          <c:trendline>
            <c:spPr>
              <a:ln w="19050" cap="rnd">
                <a:solidFill>
                  <a:schemeClr val="tx1"/>
                </a:solidFill>
                <a:prstDash val="sysDot"/>
              </a:ln>
              <a:effectLst/>
            </c:spPr>
            <c:trendlineType val="linear"/>
            <c:dispRSqr val="1"/>
            <c:dispEq val="0"/>
            <c:trendlineLbl>
              <c:layout>
                <c:manualLayout>
                  <c:x val="-0.13557081130875354"/>
                  <c:y val="0.3028493291485417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(Paleolatitudes!$B$3,Paleolatitudes!$B$9,Paleolatitudes!$B$11,Paleolatitudes!$B$18,Paleolatitudes!$B$20:$B$21,Paleolatitudes!$B$28:$B$29)</c:f>
              <c:numCache>
                <c:formatCode>General</c:formatCode>
                <c:ptCount val="8"/>
                <c:pt idx="0">
                  <c:v>30</c:v>
                </c:pt>
                <c:pt idx="1">
                  <c:v>14</c:v>
                </c:pt>
                <c:pt idx="2">
                  <c:v>14</c:v>
                </c:pt>
                <c:pt idx="3">
                  <c:v>60</c:v>
                </c:pt>
                <c:pt idx="4">
                  <c:v>26</c:v>
                </c:pt>
                <c:pt idx="5">
                  <c:v>26</c:v>
                </c:pt>
                <c:pt idx="6">
                  <c:v>8</c:v>
                </c:pt>
                <c:pt idx="7">
                  <c:v>48</c:v>
                </c:pt>
              </c:numCache>
            </c:numRef>
          </c:xVal>
          <c:yVal>
            <c:numRef>
              <c:f>(Paleolatitudes!$C$3,Paleolatitudes!$C$9,Paleolatitudes!$C$11,Paleolatitudes!$C$18,Paleolatitudes!$C$20:$C$21,Paleolatitudes!$C$28:$C$29)</c:f>
              <c:numCache>
                <c:formatCode>General</c:formatCode>
                <c:ptCount val="8"/>
                <c:pt idx="0">
                  <c:v>-0.14646029999999999</c:v>
                </c:pt>
                <c:pt idx="1">
                  <c:v>-0.14393677274510466</c:v>
                </c:pt>
                <c:pt idx="2">
                  <c:v>-0.21407509999999999</c:v>
                </c:pt>
                <c:pt idx="3">
                  <c:v>-0.1309285</c:v>
                </c:pt>
                <c:pt idx="4">
                  <c:v>-6.5538700000000005E-2</c:v>
                </c:pt>
                <c:pt idx="5">
                  <c:v>-0.3679383</c:v>
                </c:pt>
                <c:pt idx="6">
                  <c:v>-0.398949</c:v>
                </c:pt>
                <c:pt idx="7">
                  <c:v>-5.8951000000000003E-3</c:v>
                </c:pt>
              </c:numCache>
            </c:numRef>
          </c:yVal>
          <c:smooth val="0"/>
          <c:extLst xmlns:c16r2="http://schemas.microsoft.com/office/drawing/2015/06/chart">
            <c:ext xmlns:c16="http://schemas.microsoft.com/office/drawing/2014/chart" uri="{C3380CC4-5D6E-409C-BE32-E72D297353CC}">
              <c16:uniqueId val="{00000001-B57F-456F-957B-E713005D2270}"/>
            </c:ext>
          </c:extLst>
        </c:ser>
        <c:dLbls>
          <c:showLegendKey val="0"/>
          <c:showVal val="0"/>
          <c:showCatName val="0"/>
          <c:showSerName val="0"/>
          <c:showPercent val="0"/>
          <c:showBubbleSize val="0"/>
        </c:dLbls>
        <c:axId val="152533248"/>
        <c:axId val="152543616"/>
      </c:scatterChart>
      <c:valAx>
        <c:axId val="1525332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Paleolatitude (degrees)</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43616"/>
        <c:crossesAt val="-1"/>
        <c:crossBetween val="midCat"/>
      </c:valAx>
      <c:valAx>
        <c:axId val="1525436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000" b="0" i="0" baseline="0">
                    <a:effectLst/>
                  </a:rPr>
                  <a:t>τ</a:t>
                </a:r>
                <a:r>
                  <a:rPr lang="en-US" sz="1000" b="0" i="0" baseline="-25000">
                    <a:effectLst/>
                  </a:rPr>
                  <a:t>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33248"/>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Cooper Lake</a:t>
            </a:r>
          </a:p>
        </c:rich>
      </c:tx>
      <c:overlay val="0"/>
      <c:spPr>
        <a:noFill/>
        <a:ln>
          <a:noFill/>
        </a:ln>
        <a:effectLst/>
      </c:spPr>
    </c:title>
    <c:autoTitleDeleted val="0"/>
    <c:plotArea>
      <c:layout/>
      <c:scatterChart>
        <c:scatterStyle val="lineMarker"/>
        <c:varyColors val="0"/>
        <c:ser>
          <c:idx val="0"/>
          <c:order val="0"/>
          <c:tx>
            <c:v>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2841000856292224"/>
                  <c:y val="9.7102659906432437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'Cooper Lake'!$N$3:$N$56</c:f>
              <c:numCache>
                <c:formatCode>General</c:formatCode>
                <c:ptCount val="54"/>
                <c:pt idx="0">
                  <c:v>2.4861870169851383</c:v>
                </c:pt>
                <c:pt idx="1">
                  <c:v>2.3243150743099785</c:v>
                </c:pt>
                <c:pt idx="2">
                  <c:v>3.0465129723991504</c:v>
                </c:pt>
                <c:pt idx="3">
                  <c:v>1.7058812420382166</c:v>
                </c:pt>
                <c:pt idx="4">
                  <c:v>1.4900519851380043</c:v>
                </c:pt>
                <c:pt idx="5">
                  <c:v>1.2078137261146498</c:v>
                </c:pt>
                <c:pt idx="6">
                  <c:v>1.1538564118895966</c:v>
                </c:pt>
                <c:pt idx="7">
                  <c:v>0.97953278131634813</c:v>
                </c:pt>
                <c:pt idx="8">
                  <c:v>0.77200464968152871</c:v>
                </c:pt>
                <c:pt idx="9">
                  <c:v>0.65578889596602985</c:v>
                </c:pt>
                <c:pt idx="10">
                  <c:v>0.57277764331210179</c:v>
                </c:pt>
                <c:pt idx="11">
                  <c:v>0.78860690021231428</c:v>
                </c:pt>
                <c:pt idx="12">
                  <c:v>0.77200464968152871</c:v>
                </c:pt>
                <c:pt idx="13">
                  <c:v>3.179330976645435</c:v>
                </c:pt>
                <c:pt idx="14">
                  <c:v>2.9759534076433121</c:v>
                </c:pt>
                <c:pt idx="15">
                  <c:v>3.0299107218683652</c:v>
                </c:pt>
                <c:pt idx="16">
                  <c:v>2.2371532590233545</c:v>
                </c:pt>
                <c:pt idx="17">
                  <c:v>2.3990252016985139</c:v>
                </c:pt>
                <c:pt idx="18">
                  <c:v>2.2620566348195332</c:v>
                </c:pt>
                <c:pt idx="19">
                  <c:v>2.5567465817409767</c:v>
                </c:pt>
                <c:pt idx="20">
                  <c:v>1.25346991507431</c:v>
                </c:pt>
                <c:pt idx="21">
                  <c:v>1.2244159766454354</c:v>
                </c:pt>
                <c:pt idx="22">
                  <c:v>1.1165013481953292</c:v>
                </c:pt>
                <c:pt idx="23">
                  <c:v>0.97953278131634813</c:v>
                </c:pt>
                <c:pt idx="24">
                  <c:v>2.1333891932059448</c:v>
                </c:pt>
                <c:pt idx="25">
                  <c:v>2.2620566348195332</c:v>
                </c:pt>
                <c:pt idx="26">
                  <c:v>0.61843383227176218</c:v>
                </c:pt>
                <c:pt idx="27">
                  <c:v>0.33204501061571129</c:v>
                </c:pt>
                <c:pt idx="28">
                  <c:v>0.15772138004246286</c:v>
                </c:pt>
                <c:pt idx="29">
                  <c:v>0.14942025477707005</c:v>
                </c:pt>
                <c:pt idx="30">
                  <c:v>0.12036631634819532</c:v>
                </c:pt>
                <c:pt idx="31">
                  <c:v>0.14111912951167729</c:v>
                </c:pt>
                <c:pt idx="32">
                  <c:v>0.16602250530785564</c:v>
                </c:pt>
                <c:pt idx="33">
                  <c:v>0.2739371337579618</c:v>
                </c:pt>
                <c:pt idx="34">
                  <c:v>0.45656188959660304</c:v>
                </c:pt>
                <c:pt idx="35">
                  <c:v>0.98368334394904466</c:v>
                </c:pt>
                <c:pt idx="36">
                  <c:v>2.3907240764331208</c:v>
                </c:pt>
                <c:pt idx="37">
                  <c:v>0.6225843949044586</c:v>
                </c:pt>
                <c:pt idx="38">
                  <c:v>1.1248024734607218</c:v>
                </c:pt>
                <c:pt idx="39">
                  <c:v>2.8099309023354566</c:v>
                </c:pt>
                <c:pt idx="40">
                  <c:v>0.39015288747346066</c:v>
                </c:pt>
                <c:pt idx="41">
                  <c:v>0.59353045647558389</c:v>
                </c:pt>
                <c:pt idx="42">
                  <c:v>0.39015288747346066</c:v>
                </c:pt>
                <c:pt idx="43">
                  <c:v>0.50221807855626321</c:v>
                </c:pt>
                <c:pt idx="44">
                  <c:v>0.435809076433121</c:v>
                </c:pt>
                <c:pt idx="45">
                  <c:v>0.36940007430997879</c:v>
                </c:pt>
                <c:pt idx="46">
                  <c:v>0.43165851380042464</c:v>
                </c:pt>
                <c:pt idx="47">
                  <c:v>0.66409002123142258</c:v>
                </c:pt>
                <c:pt idx="48">
                  <c:v>0.9670810934182591</c:v>
                </c:pt>
                <c:pt idx="49">
                  <c:v>1.9009576857749471</c:v>
                </c:pt>
                <c:pt idx="50">
                  <c:v>2.5941016454352441</c:v>
                </c:pt>
                <c:pt idx="51">
                  <c:v>2.5110903927813162</c:v>
                </c:pt>
                <c:pt idx="52">
                  <c:v>2.3326161995753716</c:v>
                </c:pt>
                <c:pt idx="53">
                  <c:v>1.4651486093418258</c:v>
                </c:pt>
              </c:numCache>
            </c:numRef>
          </c:xVal>
          <c:yVal>
            <c:numRef>
              <c:f>'Cooper Lake'!$X$3:$X$56</c:f>
              <c:numCache>
                <c:formatCode>General</c:formatCode>
                <c:ptCount val="54"/>
                <c:pt idx="0">
                  <c:v>277.3</c:v>
                </c:pt>
                <c:pt idx="1">
                  <c:v>257.3</c:v>
                </c:pt>
                <c:pt idx="2">
                  <c:v>337.8</c:v>
                </c:pt>
                <c:pt idx="3">
                  <c:v>187.8</c:v>
                </c:pt>
                <c:pt idx="4">
                  <c:v>117.8</c:v>
                </c:pt>
                <c:pt idx="5">
                  <c:v>76.27</c:v>
                </c:pt>
                <c:pt idx="6">
                  <c:v>62.5</c:v>
                </c:pt>
                <c:pt idx="7">
                  <c:v>64.66</c:v>
                </c:pt>
                <c:pt idx="8">
                  <c:v>48.34</c:v>
                </c:pt>
                <c:pt idx="9">
                  <c:v>25.15</c:v>
                </c:pt>
                <c:pt idx="10">
                  <c:v>21.05</c:v>
                </c:pt>
                <c:pt idx="11">
                  <c:v>21.3</c:v>
                </c:pt>
                <c:pt idx="12">
                  <c:v>88.61</c:v>
                </c:pt>
                <c:pt idx="13">
                  <c:v>362.6</c:v>
                </c:pt>
                <c:pt idx="14">
                  <c:v>338.4</c:v>
                </c:pt>
                <c:pt idx="15">
                  <c:v>345.7</c:v>
                </c:pt>
                <c:pt idx="16">
                  <c:v>277.3</c:v>
                </c:pt>
                <c:pt idx="17">
                  <c:v>268.3</c:v>
                </c:pt>
                <c:pt idx="18">
                  <c:v>261.7</c:v>
                </c:pt>
                <c:pt idx="19">
                  <c:v>287.8</c:v>
                </c:pt>
                <c:pt idx="20">
                  <c:v>67</c:v>
                </c:pt>
                <c:pt idx="21">
                  <c:v>37.51</c:v>
                </c:pt>
                <c:pt idx="22">
                  <c:v>21.08</c:v>
                </c:pt>
                <c:pt idx="23">
                  <c:v>81.239999999999995</c:v>
                </c:pt>
                <c:pt idx="24">
                  <c:v>238</c:v>
                </c:pt>
                <c:pt idx="25">
                  <c:v>255.7</c:v>
                </c:pt>
                <c:pt idx="26">
                  <c:v>15.56</c:v>
                </c:pt>
                <c:pt idx="27">
                  <c:v>8.2240000000000002</c:v>
                </c:pt>
                <c:pt idx="28">
                  <c:v>6.226</c:v>
                </c:pt>
                <c:pt idx="29">
                  <c:v>5.9829999999999997</c:v>
                </c:pt>
                <c:pt idx="30">
                  <c:v>7.5709999999999997</c:v>
                </c:pt>
                <c:pt idx="31">
                  <c:v>10.71</c:v>
                </c:pt>
                <c:pt idx="32">
                  <c:v>8.6010000000000009</c:v>
                </c:pt>
                <c:pt idx="33">
                  <c:v>12.12</c:v>
                </c:pt>
                <c:pt idx="34">
                  <c:v>17.09</c:v>
                </c:pt>
                <c:pt idx="35">
                  <c:v>50.9</c:v>
                </c:pt>
                <c:pt idx="36">
                  <c:v>157.69999999999999</c:v>
                </c:pt>
                <c:pt idx="37">
                  <c:v>29.06</c:v>
                </c:pt>
                <c:pt idx="38">
                  <c:v>72.3</c:v>
                </c:pt>
                <c:pt idx="39">
                  <c:v>239.9</c:v>
                </c:pt>
                <c:pt idx="40">
                  <c:v>9.8059999999999992</c:v>
                </c:pt>
                <c:pt idx="41">
                  <c:v>8.9619999999999997</c:v>
                </c:pt>
                <c:pt idx="42">
                  <c:v>7.6639999999999997</c:v>
                </c:pt>
                <c:pt idx="43">
                  <c:v>8.6859999999999999</c:v>
                </c:pt>
                <c:pt idx="44">
                  <c:v>7.556</c:v>
                </c:pt>
                <c:pt idx="45">
                  <c:v>8.1829999999999998</c:v>
                </c:pt>
                <c:pt idx="46">
                  <c:v>11.99</c:v>
                </c:pt>
                <c:pt idx="47">
                  <c:v>20.62</c:v>
                </c:pt>
                <c:pt idx="48">
                  <c:v>120.3</c:v>
                </c:pt>
                <c:pt idx="49">
                  <c:v>243.3</c:v>
                </c:pt>
                <c:pt idx="50">
                  <c:v>334.5</c:v>
                </c:pt>
                <c:pt idx="51">
                  <c:v>320.7</c:v>
                </c:pt>
                <c:pt idx="52">
                  <c:v>301.39999999999998</c:v>
                </c:pt>
                <c:pt idx="53">
                  <c:v>150.80000000000001</c:v>
                </c:pt>
              </c:numCache>
            </c:numRef>
          </c:yVal>
          <c:smooth val="0"/>
          <c:extLst xmlns:c16r2="http://schemas.microsoft.com/office/drawing/2015/06/chart">
            <c:ext xmlns:c16="http://schemas.microsoft.com/office/drawing/2014/chart" uri="{C3380CC4-5D6E-409C-BE32-E72D297353CC}">
              <c16:uniqueId val="{00000001-AFCE-41FC-9D93-487156D6C1CC}"/>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'Cooper Lake'!$N$56</c:f>
              <c:numCache>
                <c:formatCode>General</c:formatCode>
                <c:ptCount val="1"/>
                <c:pt idx="0">
                  <c:v>1.4651486093418258</c:v>
                </c:pt>
              </c:numCache>
            </c:numRef>
          </c:xVal>
          <c:yVal>
            <c:numRef>
              <c:f>'Cooper Lake'!$X$56</c:f>
              <c:numCache>
                <c:formatCode>General</c:formatCode>
                <c:ptCount val="1"/>
                <c:pt idx="0">
                  <c:v>150.80000000000001</c:v>
                </c:pt>
              </c:numCache>
            </c:numRef>
          </c:yVal>
          <c:smooth val="0"/>
          <c:extLst xmlns:c16r2="http://schemas.microsoft.com/office/drawing/2015/06/chart">
            <c:ext xmlns:c16="http://schemas.microsoft.com/office/drawing/2014/chart" uri="{C3380CC4-5D6E-409C-BE32-E72D297353CC}">
              <c16:uniqueId val="{00000002-AFCE-41FC-9D93-487156D6C1CC}"/>
            </c:ext>
          </c:extLst>
        </c:ser>
        <c:dLbls>
          <c:showLegendKey val="0"/>
          <c:showVal val="0"/>
          <c:showCatName val="0"/>
          <c:showSerName val="0"/>
          <c:showPercent val="0"/>
          <c:showBubbleSize val="0"/>
        </c:dLbls>
        <c:axId val="155817088"/>
        <c:axId val="155819392"/>
        <c:extLst xmlns:c16r2="http://schemas.microsoft.com/office/drawing/2015/06/chart"/>
      </c:scatterChart>
      <c:valAx>
        <c:axId val="155817088"/>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K (wt%)</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819392"/>
        <c:crossesAt val="-1"/>
        <c:crossBetween val="midCat"/>
      </c:valAx>
      <c:valAx>
        <c:axId val="155819392"/>
        <c:scaling>
          <c:orientation val="minMax"/>
          <c:min val="0"/>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Rb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817088"/>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Cooper Lake</a:t>
            </a:r>
          </a:p>
        </c:rich>
      </c:tx>
      <c:overlay val="0"/>
      <c:spPr>
        <a:noFill/>
        <a:ln>
          <a:noFill/>
        </a:ln>
        <a:effectLst/>
      </c:spPr>
    </c:title>
    <c:autoTitleDeleted val="0"/>
    <c:plotArea>
      <c:layout/>
      <c:scatterChart>
        <c:scatterStyle val="lineMarker"/>
        <c:varyColors val="0"/>
        <c:ser>
          <c:idx val="0"/>
          <c:order val="0"/>
          <c:tx>
            <c:v>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8.8211948952810926E-2"/>
                  <c:y val="0.27268875202294957"/>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'Cooper Lake'!$X$3:$X$56</c:f>
              <c:numCache>
                <c:formatCode>General</c:formatCode>
                <c:ptCount val="54"/>
                <c:pt idx="0">
                  <c:v>277.3</c:v>
                </c:pt>
                <c:pt idx="1">
                  <c:v>257.3</c:v>
                </c:pt>
                <c:pt idx="2">
                  <c:v>337.8</c:v>
                </c:pt>
                <c:pt idx="3">
                  <c:v>187.8</c:v>
                </c:pt>
                <c:pt idx="4">
                  <c:v>117.8</c:v>
                </c:pt>
                <c:pt idx="5">
                  <c:v>76.27</c:v>
                </c:pt>
                <c:pt idx="6">
                  <c:v>62.5</c:v>
                </c:pt>
                <c:pt idx="7">
                  <c:v>64.66</c:v>
                </c:pt>
                <c:pt idx="8">
                  <c:v>48.34</c:v>
                </c:pt>
                <c:pt idx="9">
                  <c:v>25.15</c:v>
                </c:pt>
                <c:pt idx="10">
                  <c:v>21.05</c:v>
                </c:pt>
                <c:pt idx="11">
                  <c:v>21.3</c:v>
                </c:pt>
                <c:pt idx="12">
                  <c:v>88.61</c:v>
                </c:pt>
                <c:pt idx="13">
                  <c:v>362.6</c:v>
                </c:pt>
                <c:pt idx="14">
                  <c:v>338.4</c:v>
                </c:pt>
                <c:pt idx="15">
                  <c:v>345.7</c:v>
                </c:pt>
                <c:pt idx="16">
                  <c:v>277.3</c:v>
                </c:pt>
                <c:pt idx="17">
                  <c:v>268.3</c:v>
                </c:pt>
                <c:pt idx="18">
                  <c:v>261.7</c:v>
                </c:pt>
                <c:pt idx="19">
                  <c:v>287.8</c:v>
                </c:pt>
                <c:pt idx="20">
                  <c:v>67</c:v>
                </c:pt>
                <c:pt idx="21">
                  <c:v>37.51</c:v>
                </c:pt>
                <c:pt idx="22">
                  <c:v>21.08</c:v>
                </c:pt>
                <c:pt idx="23">
                  <c:v>81.239999999999995</c:v>
                </c:pt>
                <c:pt idx="24">
                  <c:v>238</c:v>
                </c:pt>
                <c:pt idx="25">
                  <c:v>255.7</c:v>
                </c:pt>
                <c:pt idx="26">
                  <c:v>15.56</c:v>
                </c:pt>
                <c:pt idx="27">
                  <c:v>8.2240000000000002</c:v>
                </c:pt>
                <c:pt idx="28">
                  <c:v>6.226</c:v>
                </c:pt>
                <c:pt idx="29">
                  <c:v>5.9829999999999997</c:v>
                </c:pt>
                <c:pt idx="30">
                  <c:v>7.5709999999999997</c:v>
                </c:pt>
                <c:pt idx="31">
                  <c:v>10.71</c:v>
                </c:pt>
                <c:pt idx="32">
                  <c:v>8.6010000000000009</c:v>
                </c:pt>
                <c:pt idx="33">
                  <c:v>12.12</c:v>
                </c:pt>
                <c:pt idx="34">
                  <c:v>17.09</c:v>
                </c:pt>
                <c:pt idx="35">
                  <c:v>50.9</c:v>
                </c:pt>
                <c:pt idx="36">
                  <c:v>157.69999999999999</c:v>
                </c:pt>
                <c:pt idx="37">
                  <c:v>29.06</c:v>
                </c:pt>
                <c:pt idx="38">
                  <c:v>72.3</c:v>
                </c:pt>
                <c:pt idx="39">
                  <c:v>239.9</c:v>
                </c:pt>
                <c:pt idx="40">
                  <c:v>9.8059999999999992</c:v>
                </c:pt>
                <c:pt idx="41">
                  <c:v>8.9619999999999997</c:v>
                </c:pt>
                <c:pt idx="42">
                  <c:v>7.6639999999999997</c:v>
                </c:pt>
                <c:pt idx="43">
                  <c:v>8.6859999999999999</c:v>
                </c:pt>
                <c:pt idx="44">
                  <c:v>7.556</c:v>
                </c:pt>
                <c:pt idx="45">
                  <c:v>8.1829999999999998</c:v>
                </c:pt>
                <c:pt idx="46">
                  <c:v>11.99</c:v>
                </c:pt>
                <c:pt idx="47">
                  <c:v>20.62</c:v>
                </c:pt>
                <c:pt idx="48">
                  <c:v>120.3</c:v>
                </c:pt>
                <c:pt idx="49">
                  <c:v>243.3</c:v>
                </c:pt>
                <c:pt idx="50">
                  <c:v>334.5</c:v>
                </c:pt>
                <c:pt idx="51">
                  <c:v>320.7</c:v>
                </c:pt>
                <c:pt idx="52">
                  <c:v>301.39999999999998</c:v>
                </c:pt>
                <c:pt idx="53">
                  <c:v>150.80000000000001</c:v>
                </c:pt>
              </c:numCache>
            </c:numRef>
          </c:xVal>
          <c:yVal>
            <c:numRef>
              <c:f>'Cooper Lake'!$W$3:$W$56</c:f>
              <c:numCache>
                <c:formatCode>General</c:formatCode>
                <c:ptCount val="54"/>
                <c:pt idx="0">
                  <c:v>6.7519999999999998</c:v>
                </c:pt>
                <c:pt idx="1">
                  <c:v>5.8419999999999996</c:v>
                </c:pt>
                <c:pt idx="2">
                  <c:v>5.8929999999999998</c:v>
                </c:pt>
                <c:pt idx="3">
                  <c:v>4.9109999999999996</c:v>
                </c:pt>
                <c:pt idx="4">
                  <c:v>4.694</c:v>
                </c:pt>
                <c:pt idx="5">
                  <c:v>4.6360000000000001</c:v>
                </c:pt>
                <c:pt idx="6">
                  <c:v>4.2960000000000003</c:v>
                </c:pt>
                <c:pt idx="7">
                  <c:v>4.2629999999999999</c:v>
                </c:pt>
                <c:pt idx="8">
                  <c:v>4.1210000000000004</c:v>
                </c:pt>
                <c:pt idx="9">
                  <c:v>4.1130000000000004</c:v>
                </c:pt>
                <c:pt idx="10">
                  <c:v>4.2050000000000001</c:v>
                </c:pt>
                <c:pt idx="11">
                  <c:v>3.8250000000000002</c:v>
                </c:pt>
                <c:pt idx="12">
                  <c:v>4.984</c:v>
                </c:pt>
                <c:pt idx="13">
                  <c:v>5.798</c:v>
                </c:pt>
                <c:pt idx="14">
                  <c:v>5.71</c:v>
                </c:pt>
                <c:pt idx="15">
                  <c:v>5.9569999999999999</c:v>
                </c:pt>
                <c:pt idx="16">
                  <c:v>5.1379999999999999</c:v>
                </c:pt>
                <c:pt idx="17">
                  <c:v>5.633</c:v>
                </c:pt>
                <c:pt idx="18">
                  <c:v>5.4059999999999997</c:v>
                </c:pt>
                <c:pt idx="19">
                  <c:v>5.7850000000000001</c:v>
                </c:pt>
                <c:pt idx="20">
                  <c:v>4.633</c:v>
                </c:pt>
                <c:pt idx="21">
                  <c:v>4.2009999999999996</c:v>
                </c:pt>
                <c:pt idx="22">
                  <c:v>4.0979999999999999</c:v>
                </c:pt>
                <c:pt idx="23">
                  <c:v>4.718</c:v>
                </c:pt>
                <c:pt idx="24">
                  <c:v>5.4720000000000004</c:v>
                </c:pt>
                <c:pt idx="25">
                  <c:v>6.2960000000000003</c:v>
                </c:pt>
                <c:pt idx="26">
                  <c:v>3.649</c:v>
                </c:pt>
                <c:pt idx="27">
                  <c:v>3.62</c:v>
                </c:pt>
                <c:pt idx="28">
                  <c:v>3.516</c:v>
                </c:pt>
                <c:pt idx="29">
                  <c:v>3.4129999999999998</c:v>
                </c:pt>
                <c:pt idx="30">
                  <c:v>3.4350000000000001</c:v>
                </c:pt>
                <c:pt idx="31">
                  <c:v>3.4620000000000002</c:v>
                </c:pt>
                <c:pt idx="32">
                  <c:v>3.31</c:v>
                </c:pt>
                <c:pt idx="33">
                  <c:v>3.476</c:v>
                </c:pt>
                <c:pt idx="34">
                  <c:v>3.4849999999999999</c:v>
                </c:pt>
                <c:pt idx="35">
                  <c:v>3.4289999999999998</c:v>
                </c:pt>
                <c:pt idx="36">
                  <c:v>4.7489999999999997</c:v>
                </c:pt>
                <c:pt idx="37">
                  <c:v>3.5059999999999998</c:v>
                </c:pt>
                <c:pt idx="38">
                  <c:v>3.5830000000000002</c:v>
                </c:pt>
                <c:pt idx="39">
                  <c:v>7.5279999999999996</c:v>
                </c:pt>
                <c:pt idx="40">
                  <c:v>3.3570000000000002</c:v>
                </c:pt>
                <c:pt idx="41">
                  <c:v>3.4220000000000002</c:v>
                </c:pt>
                <c:pt idx="42">
                  <c:v>3.585</c:v>
                </c:pt>
                <c:pt idx="43">
                  <c:v>3.722</c:v>
                </c:pt>
                <c:pt idx="44">
                  <c:v>3.617</c:v>
                </c:pt>
                <c:pt idx="45">
                  <c:v>3.5259999999999998</c:v>
                </c:pt>
                <c:pt idx="46">
                  <c:v>3.617</c:v>
                </c:pt>
                <c:pt idx="47">
                  <c:v>3.6920000000000002</c:v>
                </c:pt>
                <c:pt idx="48">
                  <c:v>5.0259999999999998</c:v>
                </c:pt>
                <c:pt idx="49">
                  <c:v>5.681</c:v>
                </c:pt>
                <c:pt idx="50">
                  <c:v>5.5789999999999997</c:v>
                </c:pt>
                <c:pt idx="51">
                  <c:v>5.6429999999999998</c:v>
                </c:pt>
                <c:pt idx="52">
                  <c:v>5.3680000000000003</c:v>
                </c:pt>
                <c:pt idx="53">
                  <c:v>4.7770000000000001</c:v>
                </c:pt>
              </c:numCache>
            </c:numRef>
          </c:yVal>
          <c:smooth val="0"/>
          <c:extLst xmlns:c16r2="http://schemas.microsoft.com/office/drawing/2015/06/chart">
            <c:ext xmlns:c16="http://schemas.microsoft.com/office/drawing/2014/chart" uri="{C3380CC4-5D6E-409C-BE32-E72D297353CC}">
              <c16:uniqueId val="{00000001-DA74-44E0-A367-E2D477EF8168}"/>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'Cooper Lake'!$X$56</c:f>
              <c:numCache>
                <c:formatCode>General</c:formatCode>
                <c:ptCount val="1"/>
                <c:pt idx="0">
                  <c:v>150.80000000000001</c:v>
                </c:pt>
              </c:numCache>
            </c:numRef>
          </c:xVal>
          <c:yVal>
            <c:numRef>
              <c:f>'Cooper Lake'!$W$56</c:f>
              <c:numCache>
                <c:formatCode>General</c:formatCode>
                <c:ptCount val="1"/>
                <c:pt idx="0">
                  <c:v>4.7770000000000001</c:v>
                </c:pt>
              </c:numCache>
            </c:numRef>
          </c:yVal>
          <c:smooth val="0"/>
          <c:extLst xmlns:c16r2="http://schemas.microsoft.com/office/drawing/2015/06/chart">
            <c:ext xmlns:c16="http://schemas.microsoft.com/office/drawing/2014/chart" uri="{C3380CC4-5D6E-409C-BE32-E72D297353CC}">
              <c16:uniqueId val="{00000002-DA74-44E0-A367-E2D477EF8168}"/>
            </c:ext>
          </c:extLst>
        </c:ser>
        <c:dLbls>
          <c:showLegendKey val="0"/>
          <c:showVal val="0"/>
          <c:showCatName val="0"/>
          <c:showSerName val="0"/>
          <c:showPercent val="0"/>
          <c:showBubbleSize val="0"/>
        </c:dLbls>
        <c:axId val="155871104"/>
        <c:axId val="155894144"/>
        <c:extLst xmlns:c16r2="http://schemas.microsoft.com/office/drawing/2015/06/chart"/>
      </c:scatterChart>
      <c:valAx>
        <c:axId val="155871104"/>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Zr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894144"/>
        <c:crossesAt val="-1"/>
        <c:crossBetween val="midCat"/>
      </c:valAx>
      <c:valAx>
        <c:axId val="155894144"/>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871104"/>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Ville Marie</a:t>
            </a:r>
          </a:p>
        </c:rich>
      </c:tx>
      <c:overlay val="0"/>
      <c:spPr>
        <a:noFill/>
        <a:ln>
          <a:noFill/>
        </a:ln>
        <a:effectLst/>
      </c:spPr>
    </c:title>
    <c:autoTitleDeleted val="0"/>
    <c:plotArea>
      <c:layout/>
      <c:scatterChart>
        <c:scatterStyle val="lineMarker"/>
        <c:varyColors val="0"/>
        <c:ser>
          <c:idx val="0"/>
          <c:order val="0"/>
          <c:tx>
            <c:v>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2841000856292224"/>
                  <c:y val="9.7102659906432437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'Ville Marie'!$N$3:$N$11</c:f>
              <c:numCache>
                <c:formatCode>General</c:formatCode>
                <c:ptCount val="9"/>
                <c:pt idx="0">
                  <c:v>3.6275917409766456</c:v>
                </c:pt>
                <c:pt idx="1">
                  <c:v>3.4408164225053079</c:v>
                </c:pt>
                <c:pt idx="2">
                  <c:v>3.399310796178344</c:v>
                </c:pt>
                <c:pt idx="3">
                  <c:v>3.6690973673036096</c:v>
                </c:pt>
                <c:pt idx="4">
                  <c:v>3.3910096709129509</c:v>
                </c:pt>
                <c:pt idx="5">
                  <c:v>3.5113759872611467</c:v>
                </c:pt>
                <c:pt idx="6">
                  <c:v>2.7974792144373675</c:v>
                </c:pt>
                <c:pt idx="7">
                  <c:v>2.0752813163481951</c:v>
                </c:pt>
                <c:pt idx="8">
                  <c:v>2.199798195329087</c:v>
                </c:pt>
              </c:numCache>
            </c:numRef>
          </c:xVal>
          <c:yVal>
            <c:numRef>
              <c:f>'Ville Marie'!$T$3:$T$11</c:f>
              <c:numCache>
                <c:formatCode>General</c:formatCode>
                <c:ptCount val="9"/>
                <c:pt idx="0">
                  <c:v>587</c:v>
                </c:pt>
                <c:pt idx="1">
                  <c:v>519</c:v>
                </c:pt>
                <c:pt idx="2">
                  <c:v>540</c:v>
                </c:pt>
                <c:pt idx="3">
                  <c:v>528</c:v>
                </c:pt>
                <c:pt idx="4">
                  <c:v>528</c:v>
                </c:pt>
                <c:pt idx="5">
                  <c:v>601</c:v>
                </c:pt>
                <c:pt idx="6">
                  <c:v>417</c:v>
                </c:pt>
                <c:pt idx="7">
                  <c:v>251</c:v>
                </c:pt>
                <c:pt idx="8">
                  <c:v>278</c:v>
                </c:pt>
              </c:numCache>
            </c:numRef>
          </c:yVal>
          <c:smooth val="0"/>
          <c:extLst xmlns:c16r2="http://schemas.microsoft.com/office/drawing/2015/06/chart">
            <c:ext xmlns:c16="http://schemas.microsoft.com/office/drawing/2014/chart" uri="{C3380CC4-5D6E-409C-BE32-E72D297353CC}">
              <c16:uniqueId val="{00000001-26EE-4D58-92AC-1005C5274FB6}"/>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'Ville Marie'!$N$10:$N$11</c:f>
              <c:numCache>
                <c:formatCode>General</c:formatCode>
                <c:ptCount val="2"/>
                <c:pt idx="0">
                  <c:v>2.0752813163481951</c:v>
                </c:pt>
                <c:pt idx="1">
                  <c:v>2.199798195329087</c:v>
                </c:pt>
              </c:numCache>
            </c:numRef>
          </c:xVal>
          <c:yVal>
            <c:numRef>
              <c:f>'Ville Marie'!$T$10:$T$11</c:f>
              <c:numCache>
                <c:formatCode>General</c:formatCode>
                <c:ptCount val="2"/>
                <c:pt idx="0">
                  <c:v>251</c:v>
                </c:pt>
                <c:pt idx="1">
                  <c:v>278</c:v>
                </c:pt>
              </c:numCache>
            </c:numRef>
          </c:yVal>
          <c:smooth val="0"/>
          <c:extLst xmlns:c16r2="http://schemas.microsoft.com/office/drawing/2015/06/chart">
            <c:ext xmlns:c16="http://schemas.microsoft.com/office/drawing/2014/chart" uri="{C3380CC4-5D6E-409C-BE32-E72D297353CC}">
              <c16:uniqueId val="{00000002-26EE-4D58-92AC-1005C5274FB6}"/>
            </c:ext>
          </c:extLst>
        </c:ser>
        <c:dLbls>
          <c:showLegendKey val="0"/>
          <c:showVal val="0"/>
          <c:showCatName val="0"/>
          <c:showSerName val="0"/>
          <c:showPercent val="0"/>
          <c:showBubbleSize val="0"/>
        </c:dLbls>
        <c:axId val="155716992"/>
        <c:axId val="155719552"/>
        <c:extLst xmlns:c16r2="http://schemas.microsoft.com/office/drawing/2015/06/chart"/>
      </c:scatterChart>
      <c:valAx>
        <c:axId val="155716992"/>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K (wt%)</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719552"/>
        <c:crossesAt val="-1"/>
        <c:crossBetween val="midCat"/>
      </c:valAx>
      <c:valAx>
        <c:axId val="155719552"/>
        <c:scaling>
          <c:orientation val="minMax"/>
          <c:min val="0"/>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Rb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716992"/>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Beaverlodge Lake</a:t>
            </a:r>
          </a:p>
        </c:rich>
      </c:tx>
      <c:overlay val="0"/>
      <c:spPr>
        <a:noFill/>
        <a:ln>
          <a:noFill/>
        </a:ln>
        <a:effectLst/>
      </c:spPr>
    </c:title>
    <c:autoTitleDeleted val="0"/>
    <c:plotArea>
      <c:layout/>
      <c:scatterChart>
        <c:scatterStyle val="lineMarker"/>
        <c:varyColors val="0"/>
        <c:ser>
          <c:idx val="0"/>
          <c:order val="0"/>
          <c:tx>
            <c:v>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27226915885572361"/>
                  <c:y val="-7.4762610033542412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'Beaverlodge Lake'!$R$3:$R$9</c:f>
              <c:numCache>
                <c:formatCode>General</c:formatCode>
                <c:ptCount val="7"/>
                <c:pt idx="0">
                  <c:v>465</c:v>
                </c:pt>
                <c:pt idx="1">
                  <c:v>408</c:v>
                </c:pt>
                <c:pt idx="2">
                  <c:v>447</c:v>
                </c:pt>
                <c:pt idx="3">
                  <c:v>500</c:v>
                </c:pt>
                <c:pt idx="4">
                  <c:v>405</c:v>
                </c:pt>
                <c:pt idx="5">
                  <c:v>379</c:v>
                </c:pt>
                <c:pt idx="6">
                  <c:v>342</c:v>
                </c:pt>
              </c:numCache>
            </c:numRef>
          </c:xVal>
          <c:yVal>
            <c:numRef>
              <c:f>'Beaverlodge Lake'!$S$3:$S$9</c:f>
              <c:numCache>
                <c:formatCode>General</c:formatCode>
                <c:ptCount val="7"/>
                <c:pt idx="0">
                  <c:v>21.27</c:v>
                </c:pt>
                <c:pt idx="1">
                  <c:v>21.43</c:v>
                </c:pt>
                <c:pt idx="2">
                  <c:v>26.88</c:v>
                </c:pt>
                <c:pt idx="3">
                  <c:v>29.57</c:v>
                </c:pt>
                <c:pt idx="4">
                  <c:v>27.17</c:v>
                </c:pt>
                <c:pt idx="5">
                  <c:v>27.73</c:v>
                </c:pt>
                <c:pt idx="6">
                  <c:v>22.38</c:v>
                </c:pt>
              </c:numCache>
            </c:numRef>
          </c:yVal>
          <c:smooth val="0"/>
          <c:extLst xmlns:c16r2="http://schemas.microsoft.com/office/drawing/2015/06/chart">
            <c:ext xmlns:c16="http://schemas.microsoft.com/office/drawing/2014/chart" uri="{C3380CC4-5D6E-409C-BE32-E72D297353CC}">
              <c16:uniqueId val="{00000001-A931-43EC-9936-35A9C3CBBAD0}"/>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'Beaverlodge Lake'!$R$9</c:f>
              <c:numCache>
                <c:formatCode>General</c:formatCode>
                <c:ptCount val="1"/>
                <c:pt idx="0">
                  <c:v>342</c:v>
                </c:pt>
              </c:numCache>
            </c:numRef>
          </c:xVal>
          <c:yVal>
            <c:numRef>
              <c:f>'Beaverlodge Lake'!$S$9</c:f>
              <c:numCache>
                <c:formatCode>General</c:formatCode>
                <c:ptCount val="1"/>
                <c:pt idx="0">
                  <c:v>22.38</c:v>
                </c:pt>
              </c:numCache>
            </c:numRef>
          </c:yVal>
          <c:smooth val="0"/>
          <c:extLst xmlns:c16r2="http://schemas.microsoft.com/office/drawing/2015/06/chart">
            <c:ext xmlns:c16="http://schemas.microsoft.com/office/drawing/2014/chart" uri="{C3380CC4-5D6E-409C-BE32-E72D297353CC}">
              <c16:uniqueId val="{00000002-A931-43EC-9936-35A9C3CBBAD0}"/>
            </c:ext>
          </c:extLst>
        </c:ser>
        <c:dLbls>
          <c:showLegendKey val="0"/>
          <c:showVal val="0"/>
          <c:showCatName val="0"/>
          <c:showSerName val="0"/>
          <c:showPercent val="0"/>
          <c:showBubbleSize val="0"/>
        </c:dLbls>
        <c:axId val="156398720"/>
        <c:axId val="156401024"/>
        <c:extLst xmlns:c16r2="http://schemas.microsoft.com/office/drawing/2015/06/chart"/>
      </c:scatterChart>
      <c:valAx>
        <c:axId val="156398720"/>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Zr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6401024"/>
        <c:crossesAt val="-1"/>
        <c:crossBetween val="midCat"/>
      </c:valAx>
      <c:valAx>
        <c:axId val="156401024"/>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6398720"/>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Beaverlodge Lake</a:t>
            </a:r>
          </a:p>
        </c:rich>
      </c:tx>
      <c:overlay val="0"/>
      <c:spPr>
        <a:noFill/>
        <a:ln>
          <a:noFill/>
        </a:ln>
        <a:effectLst/>
      </c:spPr>
    </c:title>
    <c:autoTitleDeleted val="0"/>
    <c:plotArea>
      <c:layout/>
      <c:scatterChart>
        <c:scatterStyle val="lineMarker"/>
        <c:varyColors val="0"/>
        <c:ser>
          <c:idx val="0"/>
          <c:order val="0"/>
          <c:tx>
            <c:v>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32257178330471059"/>
                  <c:y val="-4.7091642715926365E-3"/>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'Beaverlodge Lake'!$N$3:$N$9</c:f>
              <c:numCache>
                <c:formatCode>General</c:formatCode>
                <c:ptCount val="7"/>
                <c:pt idx="0">
                  <c:v>2.1458408811040339</c:v>
                </c:pt>
                <c:pt idx="1">
                  <c:v>2.2496049469214436</c:v>
                </c:pt>
                <c:pt idx="2">
                  <c:v>2.0047217515923568</c:v>
                </c:pt>
                <c:pt idx="3">
                  <c:v>2.2496049469214436</c:v>
                </c:pt>
                <c:pt idx="4">
                  <c:v>1.8262475583864122</c:v>
                </c:pt>
                <c:pt idx="5">
                  <c:v>1.6477733651804671</c:v>
                </c:pt>
                <c:pt idx="6">
                  <c:v>0.90067209129511672</c:v>
                </c:pt>
              </c:numCache>
            </c:numRef>
          </c:xVal>
          <c:yVal>
            <c:numRef>
              <c:f>'Beaverlodge Lake'!$T$3:$T$9</c:f>
              <c:numCache>
                <c:formatCode>General</c:formatCode>
                <c:ptCount val="7"/>
                <c:pt idx="0">
                  <c:v>154.82</c:v>
                </c:pt>
                <c:pt idx="1">
                  <c:v>144.36000000000001</c:v>
                </c:pt>
                <c:pt idx="2">
                  <c:v>152.18</c:v>
                </c:pt>
                <c:pt idx="3">
                  <c:v>199.34</c:v>
                </c:pt>
                <c:pt idx="4">
                  <c:v>246.13</c:v>
                </c:pt>
                <c:pt idx="5">
                  <c:v>194.27</c:v>
                </c:pt>
                <c:pt idx="6">
                  <c:v>87.75</c:v>
                </c:pt>
              </c:numCache>
            </c:numRef>
          </c:yVal>
          <c:smooth val="0"/>
          <c:extLst xmlns:c16r2="http://schemas.microsoft.com/office/drawing/2015/06/chart">
            <c:ext xmlns:c16="http://schemas.microsoft.com/office/drawing/2014/chart" uri="{C3380CC4-5D6E-409C-BE32-E72D297353CC}">
              <c16:uniqueId val="{00000001-24B2-4A93-8800-6A30017134E1}"/>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'Beaverlodge Lake'!$N$9</c:f>
              <c:numCache>
                <c:formatCode>General</c:formatCode>
                <c:ptCount val="1"/>
                <c:pt idx="0">
                  <c:v>0.90067209129511672</c:v>
                </c:pt>
              </c:numCache>
            </c:numRef>
          </c:xVal>
          <c:yVal>
            <c:numRef>
              <c:f>'Beaverlodge Lake'!$T$9</c:f>
              <c:numCache>
                <c:formatCode>General</c:formatCode>
                <c:ptCount val="1"/>
                <c:pt idx="0">
                  <c:v>87.75</c:v>
                </c:pt>
              </c:numCache>
            </c:numRef>
          </c:yVal>
          <c:smooth val="0"/>
          <c:extLst xmlns:c16r2="http://schemas.microsoft.com/office/drawing/2015/06/chart">
            <c:ext xmlns:c16="http://schemas.microsoft.com/office/drawing/2014/chart" uri="{C3380CC4-5D6E-409C-BE32-E72D297353CC}">
              <c16:uniqueId val="{00000002-24B2-4A93-8800-6A30017134E1}"/>
            </c:ext>
          </c:extLst>
        </c:ser>
        <c:dLbls>
          <c:showLegendKey val="0"/>
          <c:showVal val="0"/>
          <c:showCatName val="0"/>
          <c:showSerName val="0"/>
          <c:showPercent val="0"/>
          <c:showBubbleSize val="0"/>
        </c:dLbls>
        <c:axId val="155150208"/>
        <c:axId val="155165056"/>
        <c:extLst xmlns:c16r2="http://schemas.microsoft.com/office/drawing/2015/06/chart"/>
      </c:scatterChart>
      <c:valAx>
        <c:axId val="155150208"/>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K (wt%)</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165056"/>
        <c:crossesAt val="-1"/>
        <c:crossBetween val="midCat"/>
      </c:valAx>
      <c:valAx>
        <c:axId val="155165056"/>
        <c:scaling>
          <c:orientation val="minMax"/>
          <c:min val="0"/>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Rb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150208"/>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Beaverlodge Lake</a:t>
            </a:r>
          </a:p>
        </c:rich>
      </c:tx>
      <c:overlay val="0"/>
      <c:spPr>
        <a:noFill/>
        <a:ln>
          <a:noFill/>
        </a:ln>
        <a:effectLst/>
      </c:spPr>
    </c:title>
    <c:autoTitleDeleted val="0"/>
    <c:plotArea>
      <c:layout/>
      <c:scatterChart>
        <c:scatterStyle val="lineMarker"/>
        <c:varyColors val="0"/>
        <c:ser>
          <c:idx val="0"/>
          <c:order val="0"/>
          <c:tx>
            <c:v>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27226915885572361"/>
                  <c:y val="-7.4762610033542412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'Beaverlodge Lake'!$T$3:$T$9</c:f>
              <c:numCache>
                <c:formatCode>General</c:formatCode>
                <c:ptCount val="7"/>
                <c:pt idx="0">
                  <c:v>154.82</c:v>
                </c:pt>
                <c:pt idx="1">
                  <c:v>144.36000000000001</c:v>
                </c:pt>
                <c:pt idx="2">
                  <c:v>152.18</c:v>
                </c:pt>
                <c:pt idx="3">
                  <c:v>199.34</c:v>
                </c:pt>
                <c:pt idx="4">
                  <c:v>246.13</c:v>
                </c:pt>
                <c:pt idx="5">
                  <c:v>194.27</c:v>
                </c:pt>
                <c:pt idx="6">
                  <c:v>87.75</c:v>
                </c:pt>
              </c:numCache>
            </c:numRef>
          </c:xVal>
          <c:yVal>
            <c:numRef>
              <c:f>'Beaverlodge Lake'!$S$3:$S$9</c:f>
              <c:numCache>
                <c:formatCode>General</c:formatCode>
                <c:ptCount val="7"/>
                <c:pt idx="0">
                  <c:v>21.27</c:v>
                </c:pt>
                <c:pt idx="1">
                  <c:v>21.43</c:v>
                </c:pt>
                <c:pt idx="2">
                  <c:v>26.88</c:v>
                </c:pt>
                <c:pt idx="3">
                  <c:v>29.57</c:v>
                </c:pt>
                <c:pt idx="4">
                  <c:v>27.17</c:v>
                </c:pt>
                <c:pt idx="5">
                  <c:v>27.73</c:v>
                </c:pt>
                <c:pt idx="6">
                  <c:v>22.38</c:v>
                </c:pt>
              </c:numCache>
            </c:numRef>
          </c:yVal>
          <c:smooth val="0"/>
          <c:extLst xmlns:c16r2="http://schemas.microsoft.com/office/drawing/2015/06/chart">
            <c:ext xmlns:c16="http://schemas.microsoft.com/office/drawing/2014/chart" uri="{C3380CC4-5D6E-409C-BE32-E72D297353CC}">
              <c16:uniqueId val="{00000001-44BB-4D3E-859A-C6E30B13D301}"/>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'Beaverlodge Lake'!$T$9</c:f>
              <c:numCache>
                <c:formatCode>General</c:formatCode>
                <c:ptCount val="1"/>
                <c:pt idx="0">
                  <c:v>87.75</c:v>
                </c:pt>
              </c:numCache>
            </c:numRef>
          </c:xVal>
          <c:yVal>
            <c:numRef>
              <c:f>'Beaverlodge Lake'!$S$9</c:f>
              <c:numCache>
                <c:formatCode>General</c:formatCode>
                <c:ptCount val="1"/>
                <c:pt idx="0">
                  <c:v>22.38</c:v>
                </c:pt>
              </c:numCache>
            </c:numRef>
          </c:yVal>
          <c:smooth val="0"/>
          <c:extLst xmlns:c16r2="http://schemas.microsoft.com/office/drawing/2015/06/chart">
            <c:ext xmlns:c16="http://schemas.microsoft.com/office/drawing/2014/chart" uri="{C3380CC4-5D6E-409C-BE32-E72D297353CC}">
              <c16:uniqueId val="{00000002-44BB-4D3E-859A-C6E30B13D301}"/>
            </c:ext>
          </c:extLst>
        </c:ser>
        <c:dLbls>
          <c:showLegendKey val="0"/>
          <c:showVal val="0"/>
          <c:showCatName val="0"/>
          <c:showSerName val="0"/>
          <c:showPercent val="0"/>
          <c:showBubbleSize val="0"/>
        </c:dLbls>
        <c:axId val="157039232"/>
        <c:axId val="157045888"/>
        <c:extLst xmlns:c16r2="http://schemas.microsoft.com/office/drawing/2015/06/chart"/>
      </c:scatterChart>
      <c:valAx>
        <c:axId val="157039232"/>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Rb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045888"/>
        <c:crossesAt val="-1"/>
        <c:crossBetween val="midCat"/>
      </c:valAx>
      <c:valAx>
        <c:axId val="157045888"/>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039232"/>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Baraboo</a:t>
            </a:r>
          </a:p>
        </c:rich>
      </c:tx>
      <c:overlay val="0"/>
      <c:spPr>
        <a:noFill/>
        <a:ln>
          <a:noFill/>
        </a:ln>
        <a:effectLst/>
      </c:spPr>
    </c:title>
    <c:autoTitleDeleted val="0"/>
    <c:plotArea>
      <c:layout/>
      <c:scatterChart>
        <c:scatterStyle val="lineMarker"/>
        <c:varyColors val="0"/>
        <c:ser>
          <c:idx val="0"/>
          <c:order val="0"/>
          <c:tx>
            <c:v>Total 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2841000856292224"/>
                  <c:y val="9.7102659906432437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Baraboo!$M$3:$M$13</c:f>
              <c:numCache>
                <c:formatCode>General</c:formatCode>
                <c:ptCount val="11"/>
                <c:pt idx="0">
                  <c:v>1.9258610615711251</c:v>
                </c:pt>
                <c:pt idx="1">
                  <c:v>1.6975801167728237</c:v>
                </c:pt>
                <c:pt idx="2">
                  <c:v>1.80549474522293</c:v>
                </c:pt>
                <c:pt idx="3">
                  <c:v>2.0794318789808917</c:v>
                </c:pt>
                <c:pt idx="4">
                  <c:v>1.9756678131634819</c:v>
                </c:pt>
                <c:pt idx="5">
                  <c:v>2.2703577600849258</c:v>
                </c:pt>
                <c:pt idx="6">
                  <c:v>2.1748948195329088</c:v>
                </c:pt>
                <c:pt idx="7">
                  <c:v>2.0794318789808917</c:v>
                </c:pt>
                <c:pt idx="8">
                  <c:v>1.9424633121019106</c:v>
                </c:pt>
                <c:pt idx="9">
                  <c:v>1.6394722399150743</c:v>
                </c:pt>
                <c:pt idx="10">
                  <c:v>1.3032766666666666</c:v>
                </c:pt>
              </c:numCache>
            </c:numRef>
          </c:xVal>
          <c:yVal>
            <c:numRef>
              <c:f>Baraboo!$S$3:$S$13</c:f>
              <c:numCache>
                <c:formatCode>General</c:formatCode>
                <c:ptCount val="11"/>
                <c:pt idx="0">
                  <c:v>113</c:v>
                </c:pt>
                <c:pt idx="1">
                  <c:v>131</c:v>
                </c:pt>
                <c:pt idx="2">
                  <c:v>149</c:v>
                </c:pt>
                <c:pt idx="3">
                  <c:v>130</c:v>
                </c:pt>
                <c:pt idx="4">
                  <c:v>153</c:v>
                </c:pt>
                <c:pt idx="5">
                  <c:v>172</c:v>
                </c:pt>
                <c:pt idx="6">
                  <c:v>154</c:v>
                </c:pt>
                <c:pt idx="7">
                  <c:v>153</c:v>
                </c:pt>
                <c:pt idx="8">
                  <c:v>143</c:v>
                </c:pt>
                <c:pt idx="9">
                  <c:v>104</c:v>
                </c:pt>
                <c:pt idx="10">
                  <c:v>79</c:v>
                </c:pt>
              </c:numCache>
            </c:numRef>
          </c:yVal>
          <c:smooth val="0"/>
          <c:extLst xmlns:c16r2="http://schemas.microsoft.com/office/drawing/2015/06/chart">
            <c:ext xmlns:c16="http://schemas.microsoft.com/office/drawing/2014/chart" uri="{C3380CC4-5D6E-409C-BE32-E72D297353CC}">
              <c16:uniqueId val="{00000001-2A05-4392-8289-3B3A739668B6}"/>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Baraboo!$M$13</c:f>
              <c:numCache>
                <c:formatCode>General</c:formatCode>
                <c:ptCount val="1"/>
                <c:pt idx="0">
                  <c:v>1.3032766666666666</c:v>
                </c:pt>
              </c:numCache>
            </c:numRef>
          </c:xVal>
          <c:yVal>
            <c:numRef>
              <c:f>Baraboo!$S$13</c:f>
              <c:numCache>
                <c:formatCode>General</c:formatCode>
                <c:ptCount val="1"/>
                <c:pt idx="0">
                  <c:v>79</c:v>
                </c:pt>
              </c:numCache>
            </c:numRef>
          </c:yVal>
          <c:smooth val="0"/>
          <c:extLst xmlns:c16r2="http://schemas.microsoft.com/office/drawing/2015/06/chart">
            <c:ext xmlns:c16="http://schemas.microsoft.com/office/drawing/2014/chart" uri="{C3380CC4-5D6E-409C-BE32-E72D297353CC}">
              <c16:uniqueId val="{0000000C-2A05-4392-8289-3B3A739668B6}"/>
            </c:ext>
          </c:extLst>
        </c:ser>
        <c:dLbls>
          <c:showLegendKey val="0"/>
          <c:showVal val="0"/>
          <c:showCatName val="0"/>
          <c:showSerName val="0"/>
          <c:showPercent val="0"/>
          <c:showBubbleSize val="0"/>
        </c:dLbls>
        <c:axId val="154063232"/>
        <c:axId val="154065536"/>
        <c:extLst xmlns:c16r2="http://schemas.microsoft.com/office/drawing/2015/06/chart"/>
      </c:scatterChart>
      <c:valAx>
        <c:axId val="154063232"/>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K (wt%)</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4065536"/>
        <c:crossesAt val="-1"/>
        <c:crossBetween val="midCat"/>
      </c:valAx>
      <c:valAx>
        <c:axId val="154065536"/>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Rb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4063232"/>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Avontuur</a:t>
            </a:r>
          </a:p>
        </c:rich>
      </c:tx>
      <c:overlay val="0"/>
      <c:spPr>
        <a:noFill/>
        <a:ln>
          <a:noFill/>
        </a:ln>
        <a:effectLst/>
      </c:spPr>
    </c:title>
    <c:autoTitleDeleted val="0"/>
    <c:plotArea>
      <c:layout/>
      <c:scatterChart>
        <c:scatterStyle val="lineMarker"/>
        <c:varyColors val="0"/>
        <c:ser>
          <c:idx val="0"/>
          <c:order val="0"/>
          <c:tx>
            <c:v>Total 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2841000856292224"/>
                  <c:y val="9.7102659906432437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Avontuur!$Q$3:$Q$10</c:f>
              <c:numCache>
                <c:formatCode>General</c:formatCode>
                <c:ptCount val="8"/>
                <c:pt idx="0">
                  <c:v>205.9</c:v>
                </c:pt>
                <c:pt idx="1">
                  <c:v>210.8</c:v>
                </c:pt>
                <c:pt idx="2">
                  <c:v>183.3</c:v>
                </c:pt>
                <c:pt idx="3">
                  <c:v>211.8</c:v>
                </c:pt>
                <c:pt idx="4">
                  <c:v>187.7</c:v>
                </c:pt>
                <c:pt idx="5">
                  <c:v>192</c:v>
                </c:pt>
                <c:pt idx="6">
                  <c:v>165.6</c:v>
                </c:pt>
                <c:pt idx="7">
                  <c:v>200.25</c:v>
                </c:pt>
              </c:numCache>
            </c:numRef>
          </c:xVal>
          <c:yVal>
            <c:numRef>
              <c:f>Avontuur!$R$3:$R$10</c:f>
              <c:numCache>
                <c:formatCode>General</c:formatCode>
                <c:ptCount val="8"/>
                <c:pt idx="0">
                  <c:v>6.2</c:v>
                </c:pt>
                <c:pt idx="1">
                  <c:v>6.3</c:v>
                </c:pt>
                <c:pt idx="2">
                  <c:v>5.4</c:v>
                </c:pt>
                <c:pt idx="3">
                  <c:v>5.7</c:v>
                </c:pt>
                <c:pt idx="4">
                  <c:v>5.2</c:v>
                </c:pt>
                <c:pt idx="5">
                  <c:v>5.3</c:v>
                </c:pt>
                <c:pt idx="6">
                  <c:v>4.9000000000000004</c:v>
                </c:pt>
                <c:pt idx="7">
                  <c:v>5.9499999999999993</c:v>
                </c:pt>
              </c:numCache>
            </c:numRef>
          </c:yVal>
          <c:smooth val="0"/>
          <c:extLst xmlns:c16r2="http://schemas.microsoft.com/office/drawing/2015/06/chart">
            <c:ext xmlns:c16="http://schemas.microsoft.com/office/drawing/2014/chart" uri="{C3380CC4-5D6E-409C-BE32-E72D297353CC}">
              <c16:uniqueId val="{00000001-1DF1-4BB4-9D72-9B05D32B1F84}"/>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Avontuur!$Q$10</c:f>
              <c:numCache>
                <c:formatCode>General</c:formatCode>
                <c:ptCount val="1"/>
                <c:pt idx="0">
                  <c:v>200.25</c:v>
                </c:pt>
              </c:numCache>
            </c:numRef>
          </c:xVal>
          <c:yVal>
            <c:numRef>
              <c:f>Avontuur!$R$10</c:f>
              <c:numCache>
                <c:formatCode>General</c:formatCode>
                <c:ptCount val="1"/>
                <c:pt idx="0">
                  <c:v>5.9499999999999993</c:v>
                </c:pt>
              </c:numCache>
            </c:numRef>
          </c:yVal>
          <c:smooth val="0"/>
          <c:extLst xmlns:c16r2="http://schemas.microsoft.com/office/drawing/2015/06/chart">
            <c:ext xmlns:c16="http://schemas.microsoft.com/office/drawing/2014/chart" uri="{C3380CC4-5D6E-409C-BE32-E72D297353CC}">
              <c16:uniqueId val="{00000002-1DF1-4BB4-9D72-9B05D32B1F84}"/>
            </c:ext>
          </c:extLst>
        </c:ser>
        <c:dLbls>
          <c:showLegendKey val="0"/>
          <c:showVal val="0"/>
          <c:showCatName val="0"/>
          <c:showSerName val="0"/>
          <c:showPercent val="0"/>
          <c:showBubbleSize val="0"/>
        </c:dLbls>
        <c:axId val="157108096"/>
        <c:axId val="157127040"/>
        <c:extLst xmlns:c16r2="http://schemas.microsoft.com/office/drawing/2015/06/chart"/>
      </c:scatterChart>
      <c:valAx>
        <c:axId val="157108096"/>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Zr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127040"/>
        <c:crossesAt val="-1"/>
        <c:crossBetween val="midCat"/>
      </c:valAx>
      <c:valAx>
        <c:axId val="157127040"/>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108096"/>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Avontuur</a:t>
            </a:r>
          </a:p>
        </c:rich>
      </c:tx>
      <c:overlay val="0"/>
      <c:spPr>
        <a:noFill/>
        <a:ln>
          <a:noFill/>
        </a:ln>
        <a:effectLst/>
      </c:spPr>
    </c:title>
    <c:autoTitleDeleted val="0"/>
    <c:plotArea>
      <c:layout/>
      <c:scatterChart>
        <c:scatterStyle val="lineMarker"/>
        <c:varyColors val="0"/>
        <c:ser>
          <c:idx val="0"/>
          <c:order val="0"/>
          <c:tx>
            <c:v>Total 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2841000856292224"/>
                  <c:y val="9.7102659906432437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Avontuur!$M$3:$M$10</c:f>
              <c:numCache>
                <c:formatCode>General</c:formatCode>
                <c:ptCount val="8"/>
                <c:pt idx="0">
                  <c:v>3.6109894904458599</c:v>
                </c:pt>
                <c:pt idx="1">
                  <c:v>3.619290615711253</c:v>
                </c:pt>
                <c:pt idx="2">
                  <c:v>3.2540411040339698</c:v>
                </c:pt>
                <c:pt idx="3">
                  <c:v>3.3910096709129509</c:v>
                </c:pt>
                <c:pt idx="4">
                  <c:v>0.79275746284501059</c:v>
                </c:pt>
                <c:pt idx="5">
                  <c:v>0.57277764331210179</c:v>
                </c:pt>
                <c:pt idx="6">
                  <c:v>0.88822040339702768</c:v>
                </c:pt>
                <c:pt idx="7">
                  <c:v>0.9068979352441614</c:v>
                </c:pt>
              </c:numCache>
            </c:numRef>
          </c:xVal>
          <c:yVal>
            <c:numRef>
              <c:f>Avontuur!$S$3:$S$10</c:f>
              <c:numCache>
                <c:formatCode>General</c:formatCode>
                <c:ptCount val="8"/>
                <c:pt idx="0">
                  <c:v>301.39999999999998</c:v>
                </c:pt>
                <c:pt idx="1">
                  <c:v>295.10000000000002</c:v>
                </c:pt>
                <c:pt idx="2">
                  <c:v>270.60000000000002</c:v>
                </c:pt>
                <c:pt idx="3">
                  <c:v>283.5</c:v>
                </c:pt>
                <c:pt idx="4">
                  <c:v>82.3</c:v>
                </c:pt>
                <c:pt idx="5">
                  <c:v>34.299999999999997</c:v>
                </c:pt>
                <c:pt idx="6">
                  <c:v>81.900000000000006</c:v>
                </c:pt>
                <c:pt idx="7">
                  <c:v>85.65</c:v>
                </c:pt>
              </c:numCache>
            </c:numRef>
          </c:yVal>
          <c:smooth val="0"/>
          <c:extLst xmlns:c16r2="http://schemas.microsoft.com/office/drawing/2015/06/chart">
            <c:ext xmlns:c16="http://schemas.microsoft.com/office/drawing/2014/chart" uri="{C3380CC4-5D6E-409C-BE32-E72D297353CC}">
              <c16:uniqueId val="{00000001-B0A9-4DBD-88B0-86D33E2B90E4}"/>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Avontuur!$M$10</c:f>
              <c:numCache>
                <c:formatCode>General</c:formatCode>
                <c:ptCount val="1"/>
                <c:pt idx="0">
                  <c:v>0.9068979352441614</c:v>
                </c:pt>
              </c:numCache>
            </c:numRef>
          </c:xVal>
          <c:yVal>
            <c:numRef>
              <c:f>Avontuur!$S$10</c:f>
              <c:numCache>
                <c:formatCode>General</c:formatCode>
                <c:ptCount val="1"/>
                <c:pt idx="0">
                  <c:v>85.65</c:v>
                </c:pt>
              </c:numCache>
            </c:numRef>
          </c:yVal>
          <c:smooth val="0"/>
          <c:extLst xmlns:c16r2="http://schemas.microsoft.com/office/drawing/2015/06/chart">
            <c:ext xmlns:c16="http://schemas.microsoft.com/office/drawing/2014/chart" uri="{C3380CC4-5D6E-409C-BE32-E72D297353CC}">
              <c16:uniqueId val="{00000002-B0A9-4DBD-88B0-86D33E2B90E4}"/>
            </c:ext>
          </c:extLst>
        </c:ser>
        <c:dLbls>
          <c:showLegendKey val="0"/>
          <c:showVal val="0"/>
          <c:showCatName val="0"/>
          <c:showSerName val="0"/>
          <c:showPercent val="0"/>
          <c:showBubbleSize val="0"/>
        </c:dLbls>
        <c:axId val="156720128"/>
        <c:axId val="156722688"/>
        <c:extLst xmlns:c16r2="http://schemas.microsoft.com/office/drawing/2015/06/chart"/>
      </c:scatterChart>
      <c:valAx>
        <c:axId val="156720128"/>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K (wt%)</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6722688"/>
        <c:crossesAt val="-1"/>
        <c:crossBetween val="midCat"/>
      </c:valAx>
      <c:valAx>
        <c:axId val="156722688"/>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Rb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6720128"/>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Avontuur</a:t>
            </a:r>
          </a:p>
        </c:rich>
      </c:tx>
      <c:overlay val="0"/>
      <c:spPr>
        <a:noFill/>
        <a:ln>
          <a:noFill/>
        </a:ln>
        <a:effectLst/>
      </c:spPr>
    </c:title>
    <c:autoTitleDeleted val="0"/>
    <c:plotArea>
      <c:layout/>
      <c:scatterChart>
        <c:scatterStyle val="lineMarker"/>
        <c:varyColors val="0"/>
        <c:ser>
          <c:idx val="0"/>
          <c:order val="0"/>
          <c:tx>
            <c:v>Total 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21706481553382009"/>
                  <c:y val="0.23023085872455154"/>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Avontuur!$S$3:$S$10</c:f>
              <c:numCache>
                <c:formatCode>General</c:formatCode>
                <c:ptCount val="8"/>
                <c:pt idx="0">
                  <c:v>301.39999999999998</c:v>
                </c:pt>
                <c:pt idx="1">
                  <c:v>295.10000000000002</c:v>
                </c:pt>
                <c:pt idx="2">
                  <c:v>270.60000000000002</c:v>
                </c:pt>
                <c:pt idx="3">
                  <c:v>283.5</c:v>
                </c:pt>
                <c:pt idx="4">
                  <c:v>82.3</c:v>
                </c:pt>
                <c:pt idx="5">
                  <c:v>34.299999999999997</c:v>
                </c:pt>
                <c:pt idx="6">
                  <c:v>81.900000000000006</c:v>
                </c:pt>
                <c:pt idx="7">
                  <c:v>85.65</c:v>
                </c:pt>
              </c:numCache>
            </c:numRef>
          </c:xVal>
          <c:yVal>
            <c:numRef>
              <c:f>Avontuur!$R$3:$R$10</c:f>
              <c:numCache>
                <c:formatCode>General</c:formatCode>
                <c:ptCount val="8"/>
                <c:pt idx="0">
                  <c:v>6.2</c:v>
                </c:pt>
                <c:pt idx="1">
                  <c:v>6.3</c:v>
                </c:pt>
                <c:pt idx="2">
                  <c:v>5.4</c:v>
                </c:pt>
                <c:pt idx="3">
                  <c:v>5.7</c:v>
                </c:pt>
                <c:pt idx="4">
                  <c:v>5.2</c:v>
                </c:pt>
                <c:pt idx="5">
                  <c:v>5.3</c:v>
                </c:pt>
                <c:pt idx="6">
                  <c:v>4.9000000000000004</c:v>
                </c:pt>
                <c:pt idx="7">
                  <c:v>5.9499999999999993</c:v>
                </c:pt>
              </c:numCache>
            </c:numRef>
          </c:yVal>
          <c:smooth val="0"/>
          <c:extLst xmlns:c16r2="http://schemas.microsoft.com/office/drawing/2015/06/chart">
            <c:ext xmlns:c16="http://schemas.microsoft.com/office/drawing/2014/chart" uri="{C3380CC4-5D6E-409C-BE32-E72D297353CC}">
              <c16:uniqueId val="{00000001-215E-4C70-91AA-191E70E9FB11}"/>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Avontuur!$S$10</c:f>
              <c:numCache>
                <c:formatCode>General</c:formatCode>
                <c:ptCount val="1"/>
                <c:pt idx="0">
                  <c:v>85.65</c:v>
                </c:pt>
              </c:numCache>
            </c:numRef>
          </c:xVal>
          <c:yVal>
            <c:numRef>
              <c:f>Avontuur!$R$10</c:f>
              <c:numCache>
                <c:formatCode>General</c:formatCode>
                <c:ptCount val="1"/>
                <c:pt idx="0">
                  <c:v>5.9499999999999993</c:v>
                </c:pt>
              </c:numCache>
            </c:numRef>
          </c:yVal>
          <c:smooth val="0"/>
          <c:extLst xmlns:c16r2="http://schemas.microsoft.com/office/drawing/2015/06/chart">
            <c:ext xmlns:c16="http://schemas.microsoft.com/office/drawing/2014/chart" uri="{C3380CC4-5D6E-409C-BE32-E72D297353CC}">
              <c16:uniqueId val="{00000002-215E-4C70-91AA-191E70E9FB11}"/>
            </c:ext>
          </c:extLst>
        </c:ser>
        <c:dLbls>
          <c:showLegendKey val="0"/>
          <c:showVal val="0"/>
          <c:showCatName val="0"/>
          <c:showSerName val="0"/>
          <c:showPercent val="0"/>
          <c:showBubbleSize val="0"/>
        </c:dLbls>
        <c:axId val="156975104"/>
        <c:axId val="156977408"/>
        <c:extLst xmlns:c16r2="http://schemas.microsoft.com/office/drawing/2015/06/chart"/>
      </c:scatterChart>
      <c:valAx>
        <c:axId val="156975104"/>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Rb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6977408"/>
        <c:crossesAt val="-1"/>
        <c:crossBetween val="midCat"/>
      </c:valAx>
      <c:valAx>
        <c:axId val="156977408"/>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6975104"/>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Positive minimum</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tx1"/>
              </a:solidFill>
              <a:ln w="9525">
                <a:noFill/>
              </a:ln>
              <a:effectLst/>
            </c:spPr>
          </c:marker>
          <c:trendline>
            <c:spPr>
              <a:ln w="19050" cap="rnd">
                <a:solidFill>
                  <a:schemeClr val="tx1"/>
                </a:solidFill>
                <a:prstDash val="sysDot"/>
              </a:ln>
              <a:effectLst/>
            </c:spPr>
            <c:trendlineType val="linear"/>
            <c:dispRSqr val="1"/>
            <c:dispEq val="0"/>
            <c:trendlineLbl>
              <c:layout>
                <c:manualLayout>
                  <c:x val="-0.22444958655934025"/>
                  <c:y val="-0.1337720022759392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'[1]Paleolatitude correlation'!$B$6</c:f>
              <c:numCache>
                <c:formatCode>General</c:formatCode>
                <c:ptCount val="1"/>
                <c:pt idx="0">
                  <c:v>49</c:v>
                </c:pt>
              </c:numCache>
            </c:numRef>
          </c:xVal>
          <c:yVal>
            <c:numRef>
              <c:f>'[1]Paleolatitude correlation'!$D$6</c:f>
              <c:numCache>
                <c:formatCode>General</c:formatCode>
                <c:ptCount val="1"/>
                <c:pt idx="0">
                  <c:v>1.6088735871118587E-2</c:v>
                </c:pt>
              </c:numCache>
            </c:numRef>
          </c:yVal>
          <c:smooth val="0"/>
          <c:extLst xmlns:c16r2="http://schemas.microsoft.com/office/drawing/2015/06/chart">
            <c:ext xmlns:c16="http://schemas.microsoft.com/office/drawing/2014/chart" uri="{C3380CC4-5D6E-409C-BE32-E72D297353CC}">
              <c16:uniqueId val="{00000001-467F-4BB7-BB65-C49FF8B601FF}"/>
            </c:ext>
          </c:extLst>
        </c:ser>
        <c:dLbls>
          <c:showLegendKey val="0"/>
          <c:showVal val="0"/>
          <c:showCatName val="0"/>
          <c:showSerName val="0"/>
          <c:showPercent val="0"/>
          <c:showBubbleSize val="0"/>
        </c:dLbls>
        <c:axId val="152561536"/>
        <c:axId val="152371200"/>
      </c:scatterChart>
      <c:valAx>
        <c:axId val="1525615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Paleolatitude (degrees)</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371200"/>
        <c:crossesAt val="-1"/>
        <c:crossBetween val="midCat"/>
      </c:valAx>
      <c:valAx>
        <c:axId val="15237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000" b="0" i="0" baseline="0">
                    <a:effectLst/>
                  </a:rPr>
                  <a:t>τ</a:t>
                </a:r>
                <a:r>
                  <a:rPr lang="en-US" sz="1000" b="0" i="0" baseline="-25000">
                    <a:effectLst/>
                  </a:rPr>
                  <a:t>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61536"/>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Drakenstein</a:t>
            </a:r>
          </a:p>
        </c:rich>
      </c:tx>
      <c:overlay val="0"/>
      <c:spPr>
        <a:noFill/>
        <a:ln>
          <a:noFill/>
        </a:ln>
        <a:effectLst/>
      </c:spPr>
    </c:title>
    <c:autoTitleDeleted val="0"/>
    <c:plotArea>
      <c:layout/>
      <c:scatterChart>
        <c:scatterStyle val="lineMarker"/>
        <c:varyColors val="0"/>
        <c:ser>
          <c:idx val="0"/>
          <c:order val="0"/>
          <c:tx>
            <c:v>Total profile minus outlier</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2841000856292224"/>
                  <c:y val="9.7102659906432437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Drakenstein!$Q$4:$Q$8</c:f>
              <c:numCache>
                <c:formatCode>General</c:formatCode>
                <c:ptCount val="5"/>
                <c:pt idx="0">
                  <c:v>226</c:v>
                </c:pt>
                <c:pt idx="1">
                  <c:v>161</c:v>
                </c:pt>
                <c:pt idx="2">
                  <c:v>144</c:v>
                </c:pt>
                <c:pt idx="3">
                  <c:v>139</c:v>
                </c:pt>
                <c:pt idx="4">
                  <c:v>154.4</c:v>
                </c:pt>
              </c:numCache>
            </c:numRef>
          </c:xVal>
          <c:yVal>
            <c:numRef>
              <c:f>Drakenstein!$R$4:$R$8</c:f>
              <c:numCache>
                <c:formatCode>General</c:formatCode>
                <c:ptCount val="5"/>
                <c:pt idx="0">
                  <c:v>2.7</c:v>
                </c:pt>
                <c:pt idx="1">
                  <c:v>1.7</c:v>
                </c:pt>
                <c:pt idx="2">
                  <c:v>1.5</c:v>
                </c:pt>
                <c:pt idx="3">
                  <c:v>1.5</c:v>
                </c:pt>
                <c:pt idx="4">
                  <c:v>1.4400000000000002</c:v>
                </c:pt>
              </c:numCache>
            </c:numRef>
          </c:yVal>
          <c:smooth val="0"/>
          <c:extLst xmlns:c16r2="http://schemas.microsoft.com/office/drawing/2015/06/chart">
            <c:ext xmlns:c16="http://schemas.microsoft.com/office/drawing/2014/chart" uri="{C3380CC4-5D6E-409C-BE32-E72D297353CC}">
              <c16:uniqueId val="{00000001-1D42-425C-A08F-55AC3998A6C2}"/>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Drakenstein!$Q$8</c:f>
              <c:numCache>
                <c:formatCode>General</c:formatCode>
                <c:ptCount val="1"/>
                <c:pt idx="0">
                  <c:v>154.4</c:v>
                </c:pt>
              </c:numCache>
            </c:numRef>
          </c:xVal>
          <c:yVal>
            <c:numRef>
              <c:f>Drakenstein!$R$8</c:f>
              <c:numCache>
                <c:formatCode>General</c:formatCode>
                <c:ptCount val="1"/>
                <c:pt idx="0">
                  <c:v>1.4400000000000002</c:v>
                </c:pt>
              </c:numCache>
            </c:numRef>
          </c:yVal>
          <c:smooth val="0"/>
          <c:extLst xmlns:c16r2="http://schemas.microsoft.com/office/drawing/2015/06/chart">
            <c:ext xmlns:c16="http://schemas.microsoft.com/office/drawing/2014/chart" uri="{C3380CC4-5D6E-409C-BE32-E72D297353CC}">
              <c16:uniqueId val="{00000002-1D42-425C-A08F-55AC3998A6C2}"/>
            </c:ext>
          </c:extLst>
        </c:ser>
        <c:ser>
          <c:idx val="2"/>
          <c:order val="2"/>
          <c:tx>
            <c:v>Outlier</c:v>
          </c:tx>
          <c:spPr>
            <a:ln w="25400" cap="rnd">
              <a:noFill/>
              <a:round/>
            </a:ln>
            <a:effectLst/>
          </c:spPr>
          <c:marker>
            <c:symbol val="circle"/>
            <c:size val="8"/>
            <c:spPr>
              <a:solidFill>
                <a:schemeClr val="accent3"/>
              </a:solidFill>
              <a:ln w="9525">
                <a:solidFill>
                  <a:schemeClr val="tx1"/>
                </a:solidFill>
              </a:ln>
              <a:effectLst/>
            </c:spPr>
          </c:marker>
          <c:xVal>
            <c:numRef>
              <c:f>Drakenstein!$Q$3</c:f>
              <c:numCache>
                <c:formatCode>General</c:formatCode>
                <c:ptCount val="1"/>
                <c:pt idx="0">
                  <c:v>154</c:v>
                </c:pt>
              </c:numCache>
            </c:numRef>
          </c:xVal>
          <c:yVal>
            <c:numRef>
              <c:f>Drakenstein!$R$3</c:f>
              <c:numCache>
                <c:formatCode>General</c:formatCode>
                <c:ptCount val="1"/>
                <c:pt idx="0">
                  <c:v>2.2999999999999998</c:v>
                </c:pt>
              </c:numCache>
            </c:numRef>
          </c:yVal>
          <c:smooth val="0"/>
          <c:extLst xmlns:c16r2="http://schemas.microsoft.com/office/drawing/2015/06/chart">
            <c:ext xmlns:c16="http://schemas.microsoft.com/office/drawing/2014/chart" uri="{C3380CC4-5D6E-409C-BE32-E72D297353CC}">
              <c16:uniqueId val="{00000003-5107-4B9E-8DD7-F6F7D3D8F887}"/>
            </c:ext>
          </c:extLst>
        </c:ser>
        <c:dLbls>
          <c:showLegendKey val="0"/>
          <c:showVal val="0"/>
          <c:showCatName val="0"/>
          <c:showSerName val="0"/>
          <c:showPercent val="0"/>
          <c:showBubbleSize val="0"/>
        </c:dLbls>
        <c:axId val="155114112"/>
        <c:axId val="156546176"/>
        <c:extLst xmlns:c16r2="http://schemas.microsoft.com/office/drawing/2015/06/chart"/>
      </c:scatterChart>
      <c:valAx>
        <c:axId val="155114112"/>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Zr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6546176"/>
        <c:crossesAt val="-1"/>
        <c:crossBetween val="midCat"/>
      </c:valAx>
      <c:valAx>
        <c:axId val="156546176"/>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114112"/>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Drakenstein</a:t>
            </a:r>
          </a:p>
        </c:rich>
      </c:tx>
      <c:overlay val="0"/>
      <c:spPr>
        <a:noFill/>
        <a:ln>
          <a:noFill/>
        </a:ln>
        <a:effectLst/>
      </c:spPr>
    </c:title>
    <c:autoTitleDeleted val="0"/>
    <c:plotArea>
      <c:layout/>
      <c:scatterChart>
        <c:scatterStyle val="lineMarker"/>
        <c:varyColors val="0"/>
        <c:ser>
          <c:idx val="0"/>
          <c:order val="0"/>
          <c:tx>
            <c:v>Total profile minus outlier</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18636199992269839"/>
                  <c:y val="1.3955040296865633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Drakenstein!$M$4:$M$8</c:f>
              <c:numCache>
                <c:formatCode>General</c:formatCode>
                <c:ptCount val="5"/>
                <c:pt idx="0">
                  <c:v>2.7476724628450109</c:v>
                </c:pt>
                <c:pt idx="1">
                  <c:v>2.6107038959660298</c:v>
                </c:pt>
                <c:pt idx="2">
                  <c:v>2.5484454564755836</c:v>
                </c:pt>
                <c:pt idx="3">
                  <c:v>1.7764408067940554</c:v>
                </c:pt>
                <c:pt idx="4">
                  <c:v>0.14388617126680822</c:v>
                </c:pt>
              </c:numCache>
            </c:numRef>
          </c:xVal>
          <c:yVal>
            <c:numRef>
              <c:f>Drakenstein!$S$4:$S$8</c:f>
              <c:numCache>
                <c:formatCode>General</c:formatCode>
                <c:ptCount val="5"/>
                <c:pt idx="0">
                  <c:v>207</c:v>
                </c:pt>
                <c:pt idx="1">
                  <c:v>344</c:v>
                </c:pt>
                <c:pt idx="2">
                  <c:v>283</c:v>
                </c:pt>
                <c:pt idx="3">
                  <c:v>50.9</c:v>
                </c:pt>
                <c:pt idx="4">
                  <c:v>18.559999999999999</c:v>
                </c:pt>
              </c:numCache>
            </c:numRef>
          </c:yVal>
          <c:smooth val="0"/>
          <c:extLst xmlns:c16r2="http://schemas.microsoft.com/office/drawing/2015/06/chart">
            <c:ext xmlns:c16="http://schemas.microsoft.com/office/drawing/2014/chart" uri="{C3380CC4-5D6E-409C-BE32-E72D297353CC}">
              <c16:uniqueId val="{00000001-4F6F-4A5E-8619-F50B7BD28057}"/>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Drakenstein!$M$8</c:f>
              <c:numCache>
                <c:formatCode>General</c:formatCode>
                <c:ptCount val="1"/>
                <c:pt idx="0">
                  <c:v>0.14388617126680822</c:v>
                </c:pt>
              </c:numCache>
            </c:numRef>
          </c:xVal>
          <c:yVal>
            <c:numRef>
              <c:f>Drakenstein!$S$8</c:f>
              <c:numCache>
                <c:formatCode>General</c:formatCode>
                <c:ptCount val="1"/>
                <c:pt idx="0">
                  <c:v>18.559999999999999</c:v>
                </c:pt>
              </c:numCache>
            </c:numRef>
          </c:yVal>
          <c:smooth val="0"/>
          <c:extLst xmlns:c16r2="http://schemas.microsoft.com/office/drawing/2015/06/chart">
            <c:ext xmlns:c16="http://schemas.microsoft.com/office/drawing/2014/chart" uri="{C3380CC4-5D6E-409C-BE32-E72D297353CC}">
              <c16:uniqueId val="{00000002-4F6F-4A5E-8619-F50B7BD28057}"/>
            </c:ext>
          </c:extLst>
        </c:ser>
        <c:ser>
          <c:idx val="2"/>
          <c:order val="2"/>
          <c:tx>
            <c:v>Outlier</c:v>
          </c:tx>
          <c:spPr>
            <a:ln w="25400" cap="rnd">
              <a:noFill/>
              <a:round/>
            </a:ln>
            <a:effectLst/>
          </c:spPr>
          <c:marker>
            <c:symbol val="circle"/>
            <c:size val="8"/>
            <c:spPr>
              <a:solidFill>
                <a:schemeClr val="accent3"/>
              </a:solidFill>
              <a:ln w="9525">
                <a:solidFill>
                  <a:schemeClr val="tx1"/>
                </a:solidFill>
              </a:ln>
              <a:effectLst/>
            </c:spPr>
          </c:marker>
          <c:xVal>
            <c:numRef>
              <c:f>Drakenstein!$M$3</c:f>
              <c:numCache>
                <c:formatCode>General</c:formatCode>
                <c:ptCount val="1"/>
                <c:pt idx="0">
                  <c:v>3.1917826645435246</c:v>
                </c:pt>
              </c:numCache>
            </c:numRef>
          </c:xVal>
          <c:yVal>
            <c:numRef>
              <c:f>Drakenstein!$S$3</c:f>
              <c:numCache>
                <c:formatCode>General</c:formatCode>
                <c:ptCount val="1"/>
                <c:pt idx="0">
                  <c:v>197</c:v>
                </c:pt>
              </c:numCache>
            </c:numRef>
          </c:yVal>
          <c:smooth val="0"/>
          <c:extLst xmlns:c16r2="http://schemas.microsoft.com/office/drawing/2015/06/chart">
            <c:ext xmlns:c16="http://schemas.microsoft.com/office/drawing/2014/chart" uri="{C3380CC4-5D6E-409C-BE32-E72D297353CC}">
              <c16:uniqueId val="{00000002-DC23-4BDD-943B-00FDD776955B}"/>
            </c:ext>
          </c:extLst>
        </c:ser>
        <c:dLbls>
          <c:showLegendKey val="0"/>
          <c:showVal val="0"/>
          <c:showCatName val="0"/>
          <c:showSerName val="0"/>
          <c:showPercent val="0"/>
          <c:showBubbleSize val="0"/>
        </c:dLbls>
        <c:axId val="157426432"/>
        <c:axId val="157428736"/>
        <c:extLst xmlns:c16r2="http://schemas.microsoft.com/office/drawing/2015/06/chart"/>
      </c:scatterChart>
      <c:valAx>
        <c:axId val="157426432"/>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K (wt%)</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428736"/>
        <c:crossesAt val="-1"/>
        <c:crossBetween val="midCat"/>
      </c:valAx>
      <c:valAx>
        <c:axId val="157428736"/>
        <c:scaling>
          <c:orientation val="minMax"/>
          <c:min val="0"/>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Rb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426432"/>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Drakenstein</a:t>
            </a:r>
          </a:p>
        </c:rich>
      </c:tx>
      <c:overlay val="0"/>
      <c:spPr>
        <a:noFill/>
        <a:ln>
          <a:noFill/>
        </a:ln>
        <a:effectLst/>
      </c:spPr>
    </c:title>
    <c:autoTitleDeleted val="0"/>
    <c:plotArea>
      <c:layout/>
      <c:scatterChart>
        <c:scatterStyle val="lineMarker"/>
        <c:varyColors val="0"/>
        <c:ser>
          <c:idx val="0"/>
          <c:order val="0"/>
          <c:tx>
            <c:v>Total profile minus outlier</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26139964732247634"/>
                  <c:y val="0.20258890713998307"/>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Drakenstein!$S$4:$S$8</c:f>
              <c:numCache>
                <c:formatCode>General</c:formatCode>
                <c:ptCount val="5"/>
                <c:pt idx="0">
                  <c:v>207</c:v>
                </c:pt>
                <c:pt idx="1">
                  <c:v>344</c:v>
                </c:pt>
                <c:pt idx="2">
                  <c:v>283</c:v>
                </c:pt>
                <c:pt idx="3">
                  <c:v>50.9</c:v>
                </c:pt>
                <c:pt idx="4">
                  <c:v>18.559999999999999</c:v>
                </c:pt>
              </c:numCache>
            </c:numRef>
          </c:xVal>
          <c:yVal>
            <c:numRef>
              <c:f>Drakenstein!$R$4:$R$8</c:f>
              <c:numCache>
                <c:formatCode>General</c:formatCode>
                <c:ptCount val="5"/>
                <c:pt idx="0">
                  <c:v>2.7</c:v>
                </c:pt>
                <c:pt idx="1">
                  <c:v>1.7</c:v>
                </c:pt>
                <c:pt idx="2">
                  <c:v>1.5</c:v>
                </c:pt>
                <c:pt idx="3">
                  <c:v>1.5</c:v>
                </c:pt>
                <c:pt idx="4">
                  <c:v>1.4400000000000002</c:v>
                </c:pt>
              </c:numCache>
            </c:numRef>
          </c:yVal>
          <c:smooth val="0"/>
          <c:extLst xmlns:c16r2="http://schemas.microsoft.com/office/drawing/2015/06/chart">
            <c:ext xmlns:c16="http://schemas.microsoft.com/office/drawing/2014/chart" uri="{C3380CC4-5D6E-409C-BE32-E72D297353CC}">
              <c16:uniqueId val="{00000001-EA36-40FF-85ED-93929C523609}"/>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Drakenstein!$S$8</c:f>
              <c:numCache>
                <c:formatCode>General</c:formatCode>
                <c:ptCount val="1"/>
                <c:pt idx="0">
                  <c:v>18.559999999999999</c:v>
                </c:pt>
              </c:numCache>
            </c:numRef>
          </c:xVal>
          <c:yVal>
            <c:numRef>
              <c:f>Drakenstein!$R$8</c:f>
              <c:numCache>
                <c:formatCode>General</c:formatCode>
                <c:ptCount val="1"/>
                <c:pt idx="0">
                  <c:v>1.4400000000000002</c:v>
                </c:pt>
              </c:numCache>
            </c:numRef>
          </c:yVal>
          <c:smooth val="0"/>
          <c:extLst xmlns:c16r2="http://schemas.microsoft.com/office/drawing/2015/06/chart">
            <c:ext xmlns:c16="http://schemas.microsoft.com/office/drawing/2014/chart" uri="{C3380CC4-5D6E-409C-BE32-E72D297353CC}">
              <c16:uniqueId val="{00000002-EA36-40FF-85ED-93929C523609}"/>
            </c:ext>
          </c:extLst>
        </c:ser>
        <c:ser>
          <c:idx val="2"/>
          <c:order val="2"/>
          <c:tx>
            <c:v>Outlier</c:v>
          </c:tx>
          <c:spPr>
            <a:ln w="25400" cap="rnd">
              <a:noFill/>
              <a:round/>
            </a:ln>
            <a:effectLst/>
          </c:spPr>
          <c:marker>
            <c:symbol val="circle"/>
            <c:size val="8"/>
            <c:spPr>
              <a:solidFill>
                <a:schemeClr val="accent3"/>
              </a:solidFill>
              <a:ln w="9525">
                <a:solidFill>
                  <a:schemeClr val="tx1"/>
                </a:solidFill>
              </a:ln>
              <a:effectLst/>
            </c:spPr>
          </c:marker>
          <c:xVal>
            <c:numRef>
              <c:f>Drakenstein!$S$3</c:f>
              <c:numCache>
                <c:formatCode>General</c:formatCode>
                <c:ptCount val="1"/>
                <c:pt idx="0">
                  <c:v>197</c:v>
                </c:pt>
              </c:numCache>
            </c:numRef>
          </c:xVal>
          <c:yVal>
            <c:numRef>
              <c:f>Drakenstein!$R$3</c:f>
              <c:numCache>
                <c:formatCode>General</c:formatCode>
                <c:ptCount val="1"/>
                <c:pt idx="0">
                  <c:v>2.2999999999999998</c:v>
                </c:pt>
              </c:numCache>
            </c:numRef>
          </c:yVal>
          <c:smooth val="0"/>
          <c:extLst xmlns:c16r2="http://schemas.microsoft.com/office/drawing/2015/06/chart">
            <c:ext xmlns:c16="http://schemas.microsoft.com/office/drawing/2014/chart" uri="{C3380CC4-5D6E-409C-BE32-E72D297353CC}">
              <c16:uniqueId val="{00000003-EA36-40FF-85ED-93929C523609}"/>
            </c:ext>
          </c:extLst>
        </c:ser>
        <c:dLbls>
          <c:showLegendKey val="0"/>
          <c:showVal val="0"/>
          <c:showCatName val="0"/>
          <c:showSerName val="0"/>
          <c:showPercent val="0"/>
          <c:showBubbleSize val="0"/>
        </c:dLbls>
        <c:axId val="157482368"/>
        <c:axId val="156112384"/>
        <c:extLst xmlns:c16r2="http://schemas.microsoft.com/office/drawing/2015/06/chart"/>
      </c:scatterChart>
      <c:valAx>
        <c:axId val="157482368"/>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Rb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6112384"/>
        <c:crossesAt val="-1"/>
        <c:crossBetween val="midCat"/>
      </c:valAx>
      <c:valAx>
        <c:axId val="156112384"/>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482368"/>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Verde River</a:t>
            </a:r>
          </a:p>
        </c:rich>
      </c:tx>
      <c:overlay val="0"/>
      <c:spPr>
        <a:noFill/>
        <a:ln>
          <a:noFill/>
        </a:ln>
        <a:effectLst/>
      </c:spPr>
    </c:title>
    <c:autoTitleDeleted val="0"/>
    <c:plotArea>
      <c:layout/>
      <c:scatterChart>
        <c:scatterStyle val="lineMarker"/>
        <c:varyColors val="0"/>
        <c:ser>
          <c:idx val="0"/>
          <c:order val="0"/>
          <c:tx>
            <c:v>Profile</c:v>
          </c:tx>
          <c:spPr>
            <a:ln w="25400" cap="rnd">
              <a:noFill/>
              <a:round/>
            </a:ln>
            <a:effectLst/>
          </c:spPr>
          <c:marker>
            <c:symbol val="circle"/>
            <c:size val="8"/>
            <c:spPr>
              <a:solidFill>
                <a:schemeClr val="accent1"/>
              </a:solidFill>
              <a:ln w="9525">
                <a:solidFill>
                  <a:schemeClr val="tx1"/>
                </a:solidFill>
              </a:ln>
              <a:effectLst/>
            </c:spPr>
          </c:marker>
          <c:dPt>
            <c:idx val="21"/>
            <c:bubble3D val="0"/>
            <c:extLst xmlns:c16r2="http://schemas.microsoft.com/office/drawing/2015/06/chart">
              <c:ext xmlns:c16="http://schemas.microsoft.com/office/drawing/2014/chart" uri="{C3380CC4-5D6E-409C-BE32-E72D297353CC}">
                <c16:uniqueId val="{00000001-B877-4B7C-B7E3-30A2B61C9BE3}"/>
              </c:ext>
            </c:extLst>
          </c:dPt>
          <c:trendline>
            <c:spPr>
              <a:ln w="19050" cap="rnd">
                <a:solidFill>
                  <a:schemeClr val="tx1"/>
                </a:solidFill>
                <a:prstDash val="sysDot"/>
              </a:ln>
              <a:effectLst/>
            </c:spPr>
            <c:trendlineType val="linear"/>
            <c:dispRSqr val="1"/>
            <c:dispEq val="0"/>
            <c:trendlineLbl>
              <c:layout>
                <c:manualLayout>
                  <c:x val="-0.1110707222500591"/>
                  <c:y val="-0.15068833875933324"/>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mn-lt"/>
                      <a:ea typeface="+mn-ea"/>
                      <a:cs typeface="+mn-cs"/>
                    </a:defRPr>
                  </a:pPr>
                  <a:endParaRPr lang="en-US"/>
                </a:p>
              </c:txPr>
            </c:trendlineLbl>
          </c:trendline>
          <c:xVal>
            <c:numRef>
              <c:f>'Verde River'!$Q$3:$Q$51</c:f>
              <c:numCache>
                <c:formatCode>General</c:formatCode>
                <c:ptCount val="49"/>
                <c:pt idx="0">
                  <c:v>111.5</c:v>
                </c:pt>
                <c:pt idx="1">
                  <c:v>111.5</c:v>
                </c:pt>
                <c:pt idx="2">
                  <c:v>85.2</c:v>
                </c:pt>
                <c:pt idx="3">
                  <c:v>85.2</c:v>
                </c:pt>
                <c:pt idx="4">
                  <c:v>63.3</c:v>
                </c:pt>
                <c:pt idx="5">
                  <c:v>63.3</c:v>
                </c:pt>
                <c:pt idx="6">
                  <c:v>75</c:v>
                </c:pt>
                <c:pt idx="7">
                  <c:v>75</c:v>
                </c:pt>
                <c:pt idx="8">
                  <c:v>57.3</c:v>
                </c:pt>
                <c:pt idx="9">
                  <c:v>57.3</c:v>
                </c:pt>
                <c:pt idx="10">
                  <c:v>58</c:v>
                </c:pt>
                <c:pt idx="11">
                  <c:v>58</c:v>
                </c:pt>
                <c:pt idx="12">
                  <c:v>81.7</c:v>
                </c:pt>
                <c:pt idx="13">
                  <c:v>81.7</c:v>
                </c:pt>
                <c:pt idx="14">
                  <c:v>88.5</c:v>
                </c:pt>
                <c:pt idx="15">
                  <c:v>88.5</c:v>
                </c:pt>
                <c:pt idx="16">
                  <c:v>80</c:v>
                </c:pt>
                <c:pt idx="17">
                  <c:v>80</c:v>
                </c:pt>
                <c:pt idx="18">
                  <c:v>74.099999999999994</c:v>
                </c:pt>
                <c:pt idx="19">
                  <c:v>74.099999999999994</c:v>
                </c:pt>
                <c:pt idx="20">
                  <c:v>72.099999999999994</c:v>
                </c:pt>
                <c:pt idx="21">
                  <c:v>72.099999999999994</c:v>
                </c:pt>
                <c:pt idx="22">
                  <c:v>76.8</c:v>
                </c:pt>
                <c:pt idx="23">
                  <c:v>76.8</c:v>
                </c:pt>
                <c:pt idx="24">
                  <c:v>31.9</c:v>
                </c:pt>
                <c:pt idx="25">
                  <c:v>31.9</c:v>
                </c:pt>
                <c:pt idx="26">
                  <c:v>33.799999999999997</c:v>
                </c:pt>
                <c:pt idx="27">
                  <c:v>33.799999999999997</c:v>
                </c:pt>
                <c:pt idx="28">
                  <c:v>37</c:v>
                </c:pt>
                <c:pt idx="29">
                  <c:v>37</c:v>
                </c:pt>
                <c:pt idx="30">
                  <c:v>34.700000000000003</c:v>
                </c:pt>
                <c:pt idx="31">
                  <c:v>34.700000000000003</c:v>
                </c:pt>
                <c:pt idx="32">
                  <c:v>32.9</c:v>
                </c:pt>
                <c:pt idx="33">
                  <c:v>32.9</c:v>
                </c:pt>
                <c:pt idx="34">
                  <c:v>13.2</c:v>
                </c:pt>
                <c:pt idx="35">
                  <c:v>12.5</c:v>
                </c:pt>
                <c:pt idx="36">
                  <c:v>26.3</c:v>
                </c:pt>
                <c:pt idx="37">
                  <c:v>20</c:v>
                </c:pt>
                <c:pt idx="38">
                  <c:v>20.2</c:v>
                </c:pt>
                <c:pt idx="39">
                  <c:v>28.7</c:v>
                </c:pt>
                <c:pt idx="40">
                  <c:v>19.3</c:v>
                </c:pt>
                <c:pt idx="41">
                  <c:v>19.399999999999999</c:v>
                </c:pt>
                <c:pt idx="42">
                  <c:v>29.5</c:v>
                </c:pt>
                <c:pt idx="43">
                  <c:v>28.2</c:v>
                </c:pt>
                <c:pt idx="44">
                  <c:v>28.2</c:v>
                </c:pt>
                <c:pt idx="45">
                  <c:v>18.8</c:v>
                </c:pt>
                <c:pt idx="46">
                  <c:v>18.5</c:v>
                </c:pt>
                <c:pt idx="47">
                  <c:v>29.4</c:v>
                </c:pt>
                <c:pt idx="48">
                  <c:v>39.700000000000003</c:v>
                </c:pt>
              </c:numCache>
            </c:numRef>
          </c:xVal>
          <c:yVal>
            <c:numRef>
              <c:f>'Verde River'!$R$3:$R$51</c:f>
              <c:numCache>
                <c:formatCode>General</c:formatCode>
                <c:ptCount val="49"/>
                <c:pt idx="0">
                  <c:v>7</c:v>
                </c:pt>
                <c:pt idx="1">
                  <c:v>7</c:v>
                </c:pt>
                <c:pt idx="2">
                  <c:v>4.5999999999999996</c:v>
                </c:pt>
                <c:pt idx="3">
                  <c:v>4.5999999999999996</c:v>
                </c:pt>
                <c:pt idx="4">
                  <c:v>0</c:v>
                </c:pt>
                <c:pt idx="5">
                  <c:v>0</c:v>
                </c:pt>
                <c:pt idx="6">
                  <c:v>6</c:v>
                </c:pt>
                <c:pt idx="7">
                  <c:v>6</c:v>
                </c:pt>
                <c:pt idx="8">
                  <c:v>5.3</c:v>
                </c:pt>
                <c:pt idx="9">
                  <c:v>5.3</c:v>
                </c:pt>
                <c:pt idx="10">
                  <c:v>2.4</c:v>
                </c:pt>
                <c:pt idx="11">
                  <c:v>2.4</c:v>
                </c:pt>
                <c:pt idx="12">
                  <c:v>2.4</c:v>
                </c:pt>
                <c:pt idx="13">
                  <c:v>2.4</c:v>
                </c:pt>
                <c:pt idx="14">
                  <c:v>5.2</c:v>
                </c:pt>
                <c:pt idx="15">
                  <c:v>5.2</c:v>
                </c:pt>
                <c:pt idx="16">
                  <c:v>5.9</c:v>
                </c:pt>
                <c:pt idx="17">
                  <c:v>5.9</c:v>
                </c:pt>
                <c:pt idx="18">
                  <c:v>4.2</c:v>
                </c:pt>
                <c:pt idx="19">
                  <c:v>4.2</c:v>
                </c:pt>
                <c:pt idx="20">
                  <c:v>3.4</c:v>
                </c:pt>
                <c:pt idx="21">
                  <c:v>3.4</c:v>
                </c:pt>
                <c:pt idx="22">
                  <c:v>4.7</c:v>
                </c:pt>
                <c:pt idx="23">
                  <c:v>4.7</c:v>
                </c:pt>
                <c:pt idx="24">
                  <c:v>5.9</c:v>
                </c:pt>
                <c:pt idx="25">
                  <c:v>5.9</c:v>
                </c:pt>
                <c:pt idx="26">
                  <c:v>5.3</c:v>
                </c:pt>
                <c:pt idx="27">
                  <c:v>5.3</c:v>
                </c:pt>
                <c:pt idx="28">
                  <c:v>7</c:v>
                </c:pt>
                <c:pt idx="29">
                  <c:v>7</c:v>
                </c:pt>
                <c:pt idx="30">
                  <c:v>5.2</c:v>
                </c:pt>
                <c:pt idx="31">
                  <c:v>5.2</c:v>
                </c:pt>
                <c:pt idx="32">
                  <c:v>3.3</c:v>
                </c:pt>
                <c:pt idx="33">
                  <c:v>3.3</c:v>
                </c:pt>
                <c:pt idx="34">
                  <c:v>3.7</c:v>
                </c:pt>
                <c:pt idx="35">
                  <c:v>3.6</c:v>
                </c:pt>
                <c:pt idx="36">
                  <c:v>3</c:v>
                </c:pt>
                <c:pt idx="37">
                  <c:v>3.6</c:v>
                </c:pt>
                <c:pt idx="38">
                  <c:v>3</c:v>
                </c:pt>
                <c:pt idx="39">
                  <c:v>2.1</c:v>
                </c:pt>
                <c:pt idx="40">
                  <c:v>1.5</c:v>
                </c:pt>
                <c:pt idx="41">
                  <c:v>2.5</c:v>
                </c:pt>
                <c:pt idx="42">
                  <c:v>4</c:v>
                </c:pt>
                <c:pt idx="43">
                  <c:v>2.7</c:v>
                </c:pt>
                <c:pt idx="44">
                  <c:v>2.7</c:v>
                </c:pt>
                <c:pt idx="45">
                  <c:v>3.2</c:v>
                </c:pt>
                <c:pt idx="46">
                  <c:v>2.5</c:v>
                </c:pt>
                <c:pt idx="47">
                  <c:v>1.4</c:v>
                </c:pt>
                <c:pt idx="48">
                  <c:v>3.6</c:v>
                </c:pt>
              </c:numCache>
            </c:numRef>
          </c:yVal>
          <c:smooth val="0"/>
          <c:extLst xmlns:c16r2="http://schemas.microsoft.com/office/drawing/2015/06/chart">
            <c:ext xmlns:c16="http://schemas.microsoft.com/office/drawing/2014/chart" uri="{C3380CC4-5D6E-409C-BE32-E72D297353CC}">
              <c16:uniqueId val="{00000001-981C-4862-AAC2-76A19BC347A5}"/>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'Verde River'!$Q$51</c:f>
              <c:numCache>
                <c:formatCode>General</c:formatCode>
                <c:ptCount val="1"/>
                <c:pt idx="0">
                  <c:v>39.700000000000003</c:v>
                </c:pt>
              </c:numCache>
            </c:numRef>
          </c:xVal>
          <c:yVal>
            <c:numRef>
              <c:f>'Verde River'!$R$51</c:f>
              <c:numCache>
                <c:formatCode>General</c:formatCode>
                <c:ptCount val="1"/>
                <c:pt idx="0">
                  <c:v>3.6</c:v>
                </c:pt>
              </c:numCache>
            </c:numRef>
          </c:yVal>
          <c:smooth val="0"/>
          <c:extLst xmlns:c16r2="http://schemas.microsoft.com/office/drawing/2015/06/chart">
            <c:ext xmlns:c16="http://schemas.microsoft.com/office/drawing/2014/chart" uri="{C3380CC4-5D6E-409C-BE32-E72D297353CC}">
              <c16:uniqueId val="{00000002-981C-4862-AAC2-76A19BC347A5}"/>
            </c:ext>
          </c:extLst>
        </c:ser>
        <c:dLbls>
          <c:showLegendKey val="0"/>
          <c:showVal val="0"/>
          <c:showCatName val="0"/>
          <c:showSerName val="0"/>
          <c:showPercent val="0"/>
          <c:showBubbleSize val="0"/>
        </c:dLbls>
        <c:axId val="157222016"/>
        <c:axId val="157224320"/>
      </c:scatterChart>
      <c:valAx>
        <c:axId val="157222016"/>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Zr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224320"/>
        <c:crossesAt val="-1"/>
        <c:crossBetween val="midCat"/>
      </c:valAx>
      <c:valAx>
        <c:axId val="157224320"/>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222016"/>
        <c:crosses val="autoZero"/>
        <c:crossBetween val="midCat"/>
        <c:majorUnit val="5"/>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Verde River</a:t>
            </a:r>
          </a:p>
        </c:rich>
      </c:tx>
      <c:overlay val="0"/>
      <c:spPr>
        <a:noFill/>
        <a:ln>
          <a:noFill/>
        </a:ln>
        <a:effectLst/>
      </c:spPr>
    </c:title>
    <c:autoTitleDeleted val="0"/>
    <c:plotArea>
      <c:layout/>
      <c:scatterChart>
        <c:scatterStyle val="lineMarker"/>
        <c:varyColors val="0"/>
        <c:ser>
          <c:idx val="4"/>
          <c:order val="0"/>
          <c:tx>
            <c:v>Profile minus Zr outliers</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accent1"/>
                </a:solidFill>
                <a:prstDash val="sysDot"/>
              </a:ln>
              <a:effectLst/>
            </c:spPr>
            <c:trendlineType val="linear"/>
            <c:dispRSqr val="1"/>
            <c:dispEq val="0"/>
            <c:trendlineLbl>
              <c:layout>
                <c:manualLayout>
                  <c:x val="0.17932256632397153"/>
                  <c:y val="-0.17580971220171693"/>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trendlineLbl>
          </c:trendline>
          <c:xVal>
            <c:numRef>
              <c:f>'Verde River'!$Q$27:$Q$51</c:f>
              <c:numCache>
                <c:formatCode>General</c:formatCode>
                <c:ptCount val="25"/>
                <c:pt idx="0">
                  <c:v>31.9</c:v>
                </c:pt>
                <c:pt idx="1">
                  <c:v>31.9</c:v>
                </c:pt>
                <c:pt idx="2">
                  <c:v>33.799999999999997</c:v>
                </c:pt>
                <c:pt idx="3">
                  <c:v>33.799999999999997</c:v>
                </c:pt>
                <c:pt idx="4">
                  <c:v>37</c:v>
                </c:pt>
                <c:pt idx="5">
                  <c:v>37</c:v>
                </c:pt>
                <c:pt idx="6">
                  <c:v>34.700000000000003</c:v>
                </c:pt>
                <c:pt idx="7">
                  <c:v>34.700000000000003</c:v>
                </c:pt>
                <c:pt idx="8">
                  <c:v>32.9</c:v>
                </c:pt>
                <c:pt idx="9">
                  <c:v>32.9</c:v>
                </c:pt>
                <c:pt idx="10">
                  <c:v>13.2</c:v>
                </c:pt>
                <c:pt idx="11">
                  <c:v>12.5</c:v>
                </c:pt>
                <c:pt idx="12">
                  <c:v>26.3</c:v>
                </c:pt>
                <c:pt idx="13">
                  <c:v>20</c:v>
                </c:pt>
                <c:pt idx="14">
                  <c:v>20.2</c:v>
                </c:pt>
                <c:pt idx="15">
                  <c:v>28.7</c:v>
                </c:pt>
                <c:pt idx="16">
                  <c:v>19.3</c:v>
                </c:pt>
                <c:pt idx="17">
                  <c:v>19.399999999999999</c:v>
                </c:pt>
                <c:pt idx="18">
                  <c:v>29.5</c:v>
                </c:pt>
                <c:pt idx="19">
                  <c:v>28.2</c:v>
                </c:pt>
                <c:pt idx="20">
                  <c:v>28.2</c:v>
                </c:pt>
                <c:pt idx="21">
                  <c:v>18.8</c:v>
                </c:pt>
                <c:pt idx="22">
                  <c:v>18.5</c:v>
                </c:pt>
                <c:pt idx="23">
                  <c:v>29.4</c:v>
                </c:pt>
                <c:pt idx="24">
                  <c:v>39.700000000000003</c:v>
                </c:pt>
              </c:numCache>
            </c:numRef>
          </c:xVal>
          <c:yVal>
            <c:numRef>
              <c:f>'Verde River'!$R$27:$R$51</c:f>
              <c:numCache>
                <c:formatCode>General</c:formatCode>
                <c:ptCount val="25"/>
                <c:pt idx="0">
                  <c:v>5.9</c:v>
                </c:pt>
                <c:pt idx="1">
                  <c:v>5.9</c:v>
                </c:pt>
                <c:pt idx="2">
                  <c:v>5.3</c:v>
                </c:pt>
                <c:pt idx="3">
                  <c:v>5.3</c:v>
                </c:pt>
                <c:pt idx="4">
                  <c:v>7</c:v>
                </c:pt>
                <c:pt idx="5">
                  <c:v>7</c:v>
                </c:pt>
                <c:pt idx="6">
                  <c:v>5.2</c:v>
                </c:pt>
                <c:pt idx="7">
                  <c:v>5.2</c:v>
                </c:pt>
                <c:pt idx="8">
                  <c:v>3.3</c:v>
                </c:pt>
                <c:pt idx="9">
                  <c:v>3.3</c:v>
                </c:pt>
                <c:pt idx="10">
                  <c:v>3.7</c:v>
                </c:pt>
                <c:pt idx="11">
                  <c:v>3.6</c:v>
                </c:pt>
                <c:pt idx="12">
                  <c:v>3</c:v>
                </c:pt>
                <c:pt idx="13">
                  <c:v>3.6</c:v>
                </c:pt>
                <c:pt idx="14">
                  <c:v>3</c:v>
                </c:pt>
                <c:pt idx="15">
                  <c:v>2.1</c:v>
                </c:pt>
                <c:pt idx="16">
                  <c:v>1.5</c:v>
                </c:pt>
                <c:pt idx="17">
                  <c:v>2.5</c:v>
                </c:pt>
                <c:pt idx="18">
                  <c:v>4</c:v>
                </c:pt>
                <c:pt idx="19">
                  <c:v>2.7</c:v>
                </c:pt>
                <c:pt idx="20">
                  <c:v>2.7</c:v>
                </c:pt>
                <c:pt idx="21">
                  <c:v>3.2</c:v>
                </c:pt>
                <c:pt idx="22">
                  <c:v>2.5</c:v>
                </c:pt>
                <c:pt idx="23">
                  <c:v>1.4</c:v>
                </c:pt>
                <c:pt idx="24">
                  <c:v>3.6</c:v>
                </c:pt>
              </c:numCache>
            </c:numRef>
          </c:yVal>
          <c:smooth val="0"/>
          <c:extLst xmlns:c16r2="http://schemas.microsoft.com/office/drawing/2015/06/chart">
            <c:ext xmlns:c16="http://schemas.microsoft.com/office/drawing/2014/chart" uri="{C3380CC4-5D6E-409C-BE32-E72D297353CC}">
              <c16:uniqueId val="{00000006-9459-4903-A699-32DCAE4DDEEA}"/>
            </c:ext>
          </c:extLst>
        </c:ser>
        <c:ser>
          <c:idx val="2"/>
          <c:order val="1"/>
          <c:tx>
            <c:v>Zr outliers</c:v>
          </c:tx>
          <c:spPr>
            <a:ln w="25400" cap="rnd">
              <a:noFill/>
              <a:round/>
            </a:ln>
            <a:effectLst/>
          </c:spPr>
          <c:marker>
            <c:symbol val="circle"/>
            <c:size val="8"/>
            <c:spPr>
              <a:solidFill>
                <a:schemeClr val="accent3"/>
              </a:solidFill>
              <a:ln w="9525">
                <a:solidFill>
                  <a:schemeClr val="tx1"/>
                </a:solidFill>
              </a:ln>
              <a:effectLst/>
            </c:spPr>
          </c:marker>
          <c:trendline>
            <c:spPr>
              <a:ln w="19050" cap="rnd">
                <a:solidFill>
                  <a:schemeClr val="accent3"/>
                </a:solidFill>
                <a:prstDash val="sysDot"/>
              </a:ln>
              <a:effectLst/>
            </c:spPr>
            <c:trendlineType val="linear"/>
            <c:dispRSqr val="1"/>
            <c:dispEq val="0"/>
            <c:trendlineLbl>
              <c:layout>
                <c:manualLayout>
                  <c:x val="0.16832609628855916"/>
                  <c:y val="0.19799888871947643"/>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chemeClr val="accent3"/>
                      </a:solidFill>
                      <a:latin typeface="Arial" panose="020B0604020202020204" pitchFamily="34" charset="0"/>
                      <a:ea typeface="+mn-ea"/>
                      <a:cs typeface="Arial" panose="020B0604020202020204" pitchFamily="34" charset="0"/>
                    </a:defRPr>
                  </a:pPr>
                  <a:endParaRPr lang="en-US"/>
                </a:p>
              </c:txPr>
            </c:trendlineLbl>
          </c:trendline>
          <c:xVal>
            <c:numRef>
              <c:f>'Verde River'!$Q$3:$Q$26</c:f>
              <c:numCache>
                <c:formatCode>General</c:formatCode>
                <c:ptCount val="24"/>
                <c:pt idx="0">
                  <c:v>111.5</c:v>
                </c:pt>
                <c:pt idx="1">
                  <c:v>111.5</c:v>
                </c:pt>
                <c:pt idx="2">
                  <c:v>85.2</c:v>
                </c:pt>
                <c:pt idx="3">
                  <c:v>85.2</c:v>
                </c:pt>
                <c:pt idx="4">
                  <c:v>63.3</c:v>
                </c:pt>
                <c:pt idx="5">
                  <c:v>63.3</c:v>
                </c:pt>
                <c:pt idx="6">
                  <c:v>75</c:v>
                </c:pt>
                <c:pt idx="7">
                  <c:v>75</c:v>
                </c:pt>
                <c:pt idx="8">
                  <c:v>57.3</c:v>
                </c:pt>
                <c:pt idx="9">
                  <c:v>57.3</c:v>
                </c:pt>
                <c:pt idx="10">
                  <c:v>58</c:v>
                </c:pt>
                <c:pt idx="11">
                  <c:v>58</c:v>
                </c:pt>
                <c:pt idx="12">
                  <c:v>81.7</c:v>
                </c:pt>
                <c:pt idx="13">
                  <c:v>81.7</c:v>
                </c:pt>
                <c:pt idx="14">
                  <c:v>88.5</c:v>
                </c:pt>
                <c:pt idx="15">
                  <c:v>88.5</c:v>
                </c:pt>
                <c:pt idx="16">
                  <c:v>80</c:v>
                </c:pt>
                <c:pt idx="17">
                  <c:v>80</c:v>
                </c:pt>
                <c:pt idx="18">
                  <c:v>74.099999999999994</c:v>
                </c:pt>
                <c:pt idx="19">
                  <c:v>74.099999999999994</c:v>
                </c:pt>
                <c:pt idx="20">
                  <c:v>72.099999999999994</c:v>
                </c:pt>
                <c:pt idx="21">
                  <c:v>72.099999999999994</c:v>
                </c:pt>
                <c:pt idx="22">
                  <c:v>76.8</c:v>
                </c:pt>
                <c:pt idx="23">
                  <c:v>76.8</c:v>
                </c:pt>
              </c:numCache>
              <c:extLst xmlns:c16r2="http://schemas.microsoft.com/office/drawing/2015/06/chart" xmlns:c15="http://schemas.microsoft.com/office/drawing/2012/chart"/>
            </c:numRef>
          </c:xVal>
          <c:yVal>
            <c:numRef>
              <c:f>'Verde River'!$R$3:$R$26</c:f>
              <c:numCache>
                <c:formatCode>General</c:formatCode>
                <c:ptCount val="24"/>
                <c:pt idx="0">
                  <c:v>7</c:v>
                </c:pt>
                <c:pt idx="1">
                  <c:v>7</c:v>
                </c:pt>
                <c:pt idx="2">
                  <c:v>4.5999999999999996</c:v>
                </c:pt>
                <c:pt idx="3">
                  <c:v>4.5999999999999996</c:v>
                </c:pt>
                <c:pt idx="4">
                  <c:v>0</c:v>
                </c:pt>
                <c:pt idx="5">
                  <c:v>0</c:v>
                </c:pt>
                <c:pt idx="6">
                  <c:v>6</c:v>
                </c:pt>
                <c:pt idx="7">
                  <c:v>6</c:v>
                </c:pt>
                <c:pt idx="8">
                  <c:v>5.3</c:v>
                </c:pt>
                <c:pt idx="9">
                  <c:v>5.3</c:v>
                </c:pt>
                <c:pt idx="10">
                  <c:v>2.4</c:v>
                </c:pt>
                <c:pt idx="11">
                  <c:v>2.4</c:v>
                </c:pt>
                <c:pt idx="12">
                  <c:v>2.4</c:v>
                </c:pt>
                <c:pt idx="13">
                  <c:v>2.4</c:v>
                </c:pt>
                <c:pt idx="14">
                  <c:v>5.2</c:v>
                </c:pt>
                <c:pt idx="15">
                  <c:v>5.2</c:v>
                </c:pt>
                <c:pt idx="16">
                  <c:v>5.9</c:v>
                </c:pt>
                <c:pt idx="17">
                  <c:v>5.9</c:v>
                </c:pt>
                <c:pt idx="18">
                  <c:v>4.2</c:v>
                </c:pt>
                <c:pt idx="19">
                  <c:v>4.2</c:v>
                </c:pt>
                <c:pt idx="20">
                  <c:v>3.4</c:v>
                </c:pt>
                <c:pt idx="21">
                  <c:v>3.4</c:v>
                </c:pt>
                <c:pt idx="22">
                  <c:v>4.7</c:v>
                </c:pt>
                <c:pt idx="23">
                  <c:v>4.7</c:v>
                </c:pt>
              </c:numCache>
              <c:extLst xmlns:c16r2="http://schemas.microsoft.com/office/drawing/2015/06/chart" xmlns:c15="http://schemas.microsoft.com/office/drawing/2012/chart"/>
            </c:numRef>
          </c:yVal>
          <c:smooth val="0"/>
          <c:extLst xmlns:c16r2="http://schemas.microsoft.com/office/drawing/2015/06/chart" xmlns:c15="http://schemas.microsoft.com/office/drawing/2012/chart">
            <c:ext xmlns:c16="http://schemas.microsoft.com/office/drawing/2014/chart" uri="{C3380CC4-5D6E-409C-BE32-E72D297353CC}">
              <c16:uniqueId val="{00000004-9459-4903-A699-32DCAE4DDEEA}"/>
            </c:ext>
          </c:extLst>
        </c:ser>
        <c:ser>
          <c:idx val="1"/>
          <c:order val="2"/>
          <c:tx>
            <c:v>Parent</c:v>
          </c:tx>
          <c:spPr>
            <a:ln w="25400" cap="rnd">
              <a:noFill/>
              <a:round/>
            </a:ln>
            <a:effectLst/>
          </c:spPr>
          <c:marker>
            <c:symbol val="circle"/>
            <c:size val="8"/>
            <c:spPr>
              <a:solidFill>
                <a:schemeClr val="accent2"/>
              </a:solidFill>
              <a:ln w="9525">
                <a:solidFill>
                  <a:schemeClr val="tx1"/>
                </a:solidFill>
              </a:ln>
              <a:effectLst/>
            </c:spPr>
          </c:marker>
          <c:xVal>
            <c:numRef>
              <c:f>'Verde River'!$Q$51</c:f>
              <c:numCache>
                <c:formatCode>General</c:formatCode>
                <c:ptCount val="1"/>
                <c:pt idx="0">
                  <c:v>39.700000000000003</c:v>
                </c:pt>
              </c:numCache>
              <c:extLst xmlns:c16r2="http://schemas.microsoft.com/office/drawing/2015/06/chart" xmlns:c15="http://schemas.microsoft.com/office/drawing/2012/chart"/>
            </c:numRef>
          </c:xVal>
          <c:yVal>
            <c:numRef>
              <c:f>'Verde River'!$R$51</c:f>
              <c:numCache>
                <c:formatCode>General</c:formatCode>
                <c:ptCount val="1"/>
                <c:pt idx="0">
                  <c:v>3.6</c:v>
                </c:pt>
              </c:numCache>
              <c:extLst xmlns:c16r2="http://schemas.microsoft.com/office/drawing/2015/06/chart" xmlns:c15="http://schemas.microsoft.com/office/drawing/2012/chart"/>
            </c:numRef>
          </c:yVal>
          <c:smooth val="0"/>
          <c:extLst xmlns:c16r2="http://schemas.microsoft.com/office/drawing/2015/06/chart" xmlns:c15="http://schemas.microsoft.com/office/drawing/2012/chart">
            <c:ext xmlns:c16="http://schemas.microsoft.com/office/drawing/2014/chart" uri="{C3380CC4-5D6E-409C-BE32-E72D297353CC}">
              <c16:uniqueId val="{00000002-9459-4903-A699-32DCAE4DDEEA}"/>
            </c:ext>
          </c:extLst>
        </c:ser>
        <c:dLbls>
          <c:showLegendKey val="0"/>
          <c:showVal val="0"/>
          <c:showCatName val="0"/>
          <c:showSerName val="0"/>
          <c:showPercent val="0"/>
          <c:showBubbleSize val="0"/>
        </c:dLbls>
        <c:axId val="158401280"/>
        <c:axId val="158403584"/>
        <c:extLst xmlns:c16r2="http://schemas.microsoft.com/office/drawing/2015/06/chart">
          <c:ext xmlns:c15="http://schemas.microsoft.com/office/drawing/2012/chart" uri="{02D57815-91ED-43cb-92C2-25804820EDAC}">
            <c15:filteredScatterSeries>
              <c15:ser>
                <c:idx val="0"/>
                <c:order val="0"/>
                <c:tx>
                  <c:v>Total profile</c:v>
                </c:tx>
                <c:spPr>
                  <a:ln w="25400" cap="rnd">
                    <a:noFill/>
                    <a:round/>
                  </a:ln>
                  <a:effectLst/>
                </c:spPr>
                <c:marker>
                  <c:symbol val="circle"/>
                  <c:size val="8"/>
                  <c:spPr>
                    <a:solidFill>
                      <a:schemeClr val="accent1">
                        <a:lumMod val="50000"/>
                      </a:schemeClr>
                    </a:solidFill>
                    <a:ln w="9525">
                      <a:solidFill>
                        <a:schemeClr val="tx1"/>
                      </a:solidFill>
                    </a:ln>
                    <a:effectLst/>
                  </c:spPr>
                </c:marker>
                <c:trendline>
                  <c:spPr>
                    <a:ln w="19050" cap="rnd">
                      <a:solidFill>
                        <a:schemeClr val="accent1">
                          <a:lumMod val="50000"/>
                        </a:schemeClr>
                      </a:solidFill>
                      <a:prstDash val="sysDot"/>
                    </a:ln>
                    <a:effectLst/>
                  </c:spPr>
                  <c:trendlineType val="linear"/>
                  <c:dispRSqr val="1"/>
                  <c:dispEq val="0"/>
                  <c:trendlineLbl>
                    <c:layout>
                      <c:manualLayout>
                        <c:x val="0.11855141649540096"/>
                        <c:y val="-0.17547172479357451"/>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chemeClr val="accent1">
                                <a:lumMod val="50000"/>
                              </a:schemeClr>
                            </a:solidFill>
                            <a:latin typeface="Arial" panose="020B0604020202020204" pitchFamily="34" charset="0"/>
                            <a:ea typeface="+mn-ea"/>
                            <a:cs typeface="Arial" panose="020B0604020202020204" pitchFamily="34" charset="0"/>
                          </a:defRPr>
                        </a:pPr>
                        <a:endParaRPr lang="en-US"/>
                      </a:p>
                    </c:txPr>
                  </c:trendlineLbl>
                </c:trendline>
                <c:xVal>
                  <c:numRef>
                    <c:extLst>
                      <c:ext uri="{02D57815-91ED-43cb-92C2-25804820EDAC}">
                        <c15:formulaRef>
                          <c15:sqref>'Verde River'!$Q$3:$Q$51</c15:sqref>
                        </c15:formulaRef>
                      </c:ext>
                    </c:extLst>
                    <c:numCache>
                      <c:formatCode>General</c:formatCode>
                      <c:ptCount val="49"/>
                      <c:pt idx="0">
                        <c:v>111.5</c:v>
                      </c:pt>
                      <c:pt idx="1">
                        <c:v>111.5</c:v>
                      </c:pt>
                      <c:pt idx="2">
                        <c:v>85.2</c:v>
                      </c:pt>
                      <c:pt idx="3">
                        <c:v>85.2</c:v>
                      </c:pt>
                      <c:pt idx="4">
                        <c:v>63.3</c:v>
                      </c:pt>
                      <c:pt idx="5">
                        <c:v>63.3</c:v>
                      </c:pt>
                      <c:pt idx="6">
                        <c:v>75</c:v>
                      </c:pt>
                      <c:pt idx="7">
                        <c:v>75</c:v>
                      </c:pt>
                      <c:pt idx="8">
                        <c:v>57.3</c:v>
                      </c:pt>
                      <c:pt idx="9">
                        <c:v>57.3</c:v>
                      </c:pt>
                      <c:pt idx="10">
                        <c:v>58</c:v>
                      </c:pt>
                      <c:pt idx="11">
                        <c:v>58</c:v>
                      </c:pt>
                      <c:pt idx="12">
                        <c:v>81.7</c:v>
                      </c:pt>
                      <c:pt idx="13">
                        <c:v>81.7</c:v>
                      </c:pt>
                      <c:pt idx="14">
                        <c:v>88.5</c:v>
                      </c:pt>
                      <c:pt idx="15">
                        <c:v>88.5</c:v>
                      </c:pt>
                      <c:pt idx="16">
                        <c:v>80</c:v>
                      </c:pt>
                      <c:pt idx="17">
                        <c:v>80</c:v>
                      </c:pt>
                      <c:pt idx="18">
                        <c:v>74.099999999999994</c:v>
                      </c:pt>
                      <c:pt idx="19">
                        <c:v>74.099999999999994</c:v>
                      </c:pt>
                      <c:pt idx="20">
                        <c:v>72.099999999999994</c:v>
                      </c:pt>
                      <c:pt idx="21">
                        <c:v>72.099999999999994</c:v>
                      </c:pt>
                      <c:pt idx="22">
                        <c:v>76.8</c:v>
                      </c:pt>
                      <c:pt idx="23">
                        <c:v>76.8</c:v>
                      </c:pt>
                      <c:pt idx="24">
                        <c:v>31.9</c:v>
                      </c:pt>
                      <c:pt idx="25">
                        <c:v>31.9</c:v>
                      </c:pt>
                      <c:pt idx="26">
                        <c:v>33.799999999999997</c:v>
                      </c:pt>
                      <c:pt idx="27">
                        <c:v>33.799999999999997</c:v>
                      </c:pt>
                      <c:pt idx="28">
                        <c:v>37</c:v>
                      </c:pt>
                      <c:pt idx="29">
                        <c:v>37</c:v>
                      </c:pt>
                      <c:pt idx="30">
                        <c:v>34.700000000000003</c:v>
                      </c:pt>
                      <c:pt idx="31">
                        <c:v>34.700000000000003</c:v>
                      </c:pt>
                      <c:pt idx="32">
                        <c:v>32.9</c:v>
                      </c:pt>
                      <c:pt idx="33">
                        <c:v>32.9</c:v>
                      </c:pt>
                      <c:pt idx="34">
                        <c:v>13.2</c:v>
                      </c:pt>
                      <c:pt idx="35">
                        <c:v>12.5</c:v>
                      </c:pt>
                      <c:pt idx="36">
                        <c:v>26.3</c:v>
                      </c:pt>
                      <c:pt idx="37">
                        <c:v>20</c:v>
                      </c:pt>
                      <c:pt idx="38">
                        <c:v>20.2</c:v>
                      </c:pt>
                      <c:pt idx="39">
                        <c:v>28.7</c:v>
                      </c:pt>
                      <c:pt idx="40">
                        <c:v>19.3</c:v>
                      </c:pt>
                      <c:pt idx="41">
                        <c:v>19.399999999999999</c:v>
                      </c:pt>
                      <c:pt idx="42">
                        <c:v>29.5</c:v>
                      </c:pt>
                      <c:pt idx="43">
                        <c:v>28.2</c:v>
                      </c:pt>
                      <c:pt idx="44">
                        <c:v>28.2</c:v>
                      </c:pt>
                      <c:pt idx="45">
                        <c:v>18.8</c:v>
                      </c:pt>
                      <c:pt idx="46">
                        <c:v>18.5</c:v>
                      </c:pt>
                      <c:pt idx="47">
                        <c:v>29.4</c:v>
                      </c:pt>
                      <c:pt idx="48">
                        <c:v>39.700000000000003</c:v>
                      </c:pt>
                    </c:numCache>
                  </c:numRef>
                </c:xVal>
                <c:yVal>
                  <c:numRef>
                    <c:extLst>
                      <c:ext uri="{02D57815-91ED-43cb-92C2-25804820EDAC}">
                        <c15:formulaRef>
                          <c15:sqref>'Verde River'!$R$3:$R$51</c15:sqref>
                        </c15:formulaRef>
                      </c:ext>
                    </c:extLst>
                    <c:numCache>
                      <c:formatCode>General</c:formatCode>
                      <c:ptCount val="49"/>
                      <c:pt idx="0">
                        <c:v>7</c:v>
                      </c:pt>
                      <c:pt idx="1">
                        <c:v>7</c:v>
                      </c:pt>
                      <c:pt idx="2">
                        <c:v>4.5999999999999996</c:v>
                      </c:pt>
                      <c:pt idx="3">
                        <c:v>4.5999999999999996</c:v>
                      </c:pt>
                      <c:pt idx="4">
                        <c:v>0</c:v>
                      </c:pt>
                      <c:pt idx="5">
                        <c:v>0</c:v>
                      </c:pt>
                      <c:pt idx="6">
                        <c:v>6</c:v>
                      </c:pt>
                      <c:pt idx="7">
                        <c:v>6</c:v>
                      </c:pt>
                      <c:pt idx="8">
                        <c:v>5.3</c:v>
                      </c:pt>
                      <c:pt idx="9">
                        <c:v>5.3</c:v>
                      </c:pt>
                      <c:pt idx="10">
                        <c:v>2.4</c:v>
                      </c:pt>
                      <c:pt idx="11">
                        <c:v>2.4</c:v>
                      </c:pt>
                      <c:pt idx="12">
                        <c:v>2.4</c:v>
                      </c:pt>
                      <c:pt idx="13">
                        <c:v>2.4</c:v>
                      </c:pt>
                      <c:pt idx="14">
                        <c:v>5.2</c:v>
                      </c:pt>
                      <c:pt idx="15">
                        <c:v>5.2</c:v>
                      </c:pt>
                      <c:pt idx="16">
                        <c:v>5.9</c:v>
                      </c:pt>
                      <c:pt idx="17">
                        <c:v>5.9</c:v>
                      </c:pt>
                      <c:pt idx="18">
                        <c:v>4.2</c:v>
                      </c:pt>
                      <c:pt idx="19">
                        <c:v>4.2</c:v>
                      </c:pt>
                      <c:pt idx="20">
                        <c:v>3.4</c:v>
                      </c:pt>
                      <c:pt idx="21">
                        <c:v>3.4</c:v>
                      </c:pt>
                      <c:pt idx="22">
                        <c:v>4.7</c:v>
                      </c:pt>
                      <c:pt idx="23">
                        <c:v>4.7</c:v>
                      </c:pt>
                      <c:pt idx="24">
                        <c:v>5.9</c:v>
                      </c:pt>
                      <c:pt idx="25">
                        <c:v>5.9</c:v>
                      </c:pt>
                      <c:pt idx="26">
                        <c:v>5.3</c:v>
                      </c:pt>
                      <c:pt idx="27">
                        <c:v>5.3</c:v>
                      </c:pt>
                      <c:pt idx="28">
                        <c:v>7</c:v>
                      </c:pt>
                      <c:pt idx="29">
                        <c:v>7</c:v>
                      </c:pt>
                      <c:pt idx="30">
                        <c:v>5.2</c:v>
                      </c:pt>
                      <c:pt idx="31">
                        <c:v>5.2</c:v>
                      </c:pt>
                      <c:pt idx="32">
                        <c:v>3.3</c:v>
                      </c:pt>
                      <c:pt idx="33">
                        <c:v>3.3</c:v>
                      </c:pt>
                      <c:pt idx="34">
                        <c:v>3.7</c:v>
                      </c:pt>
                      <c:pt idx="35">
                        <c:v>3.6</c:v>
                      </c:pt>
                      <c:pt idx="36">
                        <c:v>3</c:v>
                      </c:pt>
                      <c:pt idx="37">
                        <c:v>3.6</c:v>
                      </c:pt>
                      <c:pt idx="38">
                        <c:v>3</c:v>
                      </c:pt>
                      <c:pt idx="39">
                        <c:v>2.1</c:v>
                      </c:pt>
                      <c:pt idx="40">
                        <c:v>1.5</c:v>
                      </c:pt>
                      <c:pt idx="41">
                        <c:v>2.5</c:v>
                      </c:pt>
                      <c:pt idx="42">
                        <c:v>4</c:v>
                      </c:pt>
                      <c:pt idx="43">
                        <c:v>2.7</c:v>
                      </c:pt>
                      <c:pt idx="44">
                        <c:v>2.7</c:v>
                      </c:pt>
                      <c:pt idx="45">
                        <c:v>3.2</c:v>
                      </c:pt>
                      <c:pt idx="46">
                        <c:v>2.5</c:v>
                      </c:pt>
                      <c:pt idx="47">
                        <c:v>1.4</c:v>
                      </c:pt>
                      <c:pt idx="48">
                        <c:v>3.6</c:v>
                      </c:pt>
                    </c:numCache>
                  </c:numRef>
                </c:yVal>
                <c:smooth val="0"/>
                <c:extLst>
                  <c:ext xmlns:c16="http://schemas.microsoft.com/office/drawing/2014/chart" uri="{C3380CC4-5D6E-409C-BE32-E72D297353CC}">
                    <c16:uniqueId val="{00000001-9459-4903-A699-32DCAE4DDEEA}"/>
                  </c:ext>
                </c:extLst>
              </c15:ser>
            </c15:filteredScatterSeries>
            <c15:filteredScatterSeries>
              <c15:ser>
                <c:idx val="3"/>
                <c:order val="3"/>
                <c:tx>
                  <c:v>Th outliers</c:v>
                </c:tx>
                <c:spPr>
                  <a:ln w="25400" cap="rnd">
                    <a:noFill/>
                    <a:round/>
                  </a:ln>
                  <a:effectLst/>
                </c:spPr>
                <c:marker>
                  <c:symbol val="circle"/>
                  <c:size val="8"/>
                  <c:spPr>
                    <a:solidFill>
                      <a:schemeClr val="bg1">
                        <a:lumMod val="75000"/>
                      </a:schemeClr>
                    </a:solidFill>
                    <a:ln w="9525">
                      <a:solidFill>
                        <a:schemeClr val="tx1"/>
                      </a:solidFill>
                    </a:ln>
                    <a:effectLst/>
                  </c:spPr>
                </c:marker>
                <c:dPt>
                  <c:idx val="24"/>
                  <c:marker>
                    <c:symbol val="circle"/>
                    <c:size val="8"/>
                    <c:spPr>
                      <a:solidFill>
                        <a:schemeClr val="accent1">
                          <a:lumMod val="60000"/>
                          <a:lumOff val="40000"/>
                        </a:schemeClr>
                      </a:solidFill>
                      <a:ln w="9525">
                        <a:solidFill>
                          <a:schemeClr val="tx1"/>
                        </a:solidFill>
                      </a:ln>
                      <a:effectLst/>
                    </c:spPr>
                  </c:marker>
                  <c:bubble3D val="0"/>
                  <c:extLst xmlns:c15="http://schemas.microsoft.com/office/drawing/2012/chart">
                    <c:ext xmlns:c16="http://schemas.microsoft.com/office/drawing/2014/chart" uri="{C3380CC4-5D6E-409C-BE32-E72D297353CC}">
                      <c16:uniqueId val="{00000004-DCC7-429E-83B4-1A9181461B7E}"/>
                    </c:ext>
                  </c:extLst>
                </c:dPt>
                <c:xVal>
                  <c:numRef>
                    <c:extLst xmlns:c15="http://schemas.microsoft.com/office/drawing/2012/chart">
                      <c:ext xmlns:c15="http://schemas.microsoft.com/office/drawing/2012/chart" uri="{02D57815-91ED-43cb-92C2-25804820EDAC}">
                        <c15:formulaRef>
                          <c15:sqref>'Verde River'!$Q$3:$Q$34</c15:sqref>
                        </c15:formulaRef>
                      </c:ext>
                    </c:extLst>
                    <c:numCache>
                      <c:formatCode>General</c:formatCode>
                      <c:ptCount val="32"/>
                      <c:pt idx="0">
                        <c:v>111.5</c:v>
                      </c:pt>
                      <c:pt idx="1">
                        <c:v>111.5</c:v>
                      </c:pt>
                      <c:pt idx="2">
                        <c:v>85.2</c:v>
                      </c:pt>
                      <c:pt idx="3">
                        <c:v>85.2</c:v>
                      </c:pt>
                      <c:pt idx="4">
                        <c:v>63.3</c:v>
                      </c:pt>
                      <c:pt idx="5">
                        <c:v>63.3</c:v>
                      </c:pt>
                      <c:pt idx="6">
                        <c:v>75</c:v>
                      </c:pt>
                      <c:pt idx="7">
                        <c:v>75</c:v>
                      </c:pt>
                      <c:pt idx="8">
                        <c:v>57.3</c:v>
                      </c:pt>
                      <c:pt idx="9">
                        <c:v>57.3</c:v>
                      </c:pt>
                      <c:pt idx="10">
                        <c:v>58</c:v>
                      </c:pt>
                      <c:pt idx="11">
                        <c:v>58</c:v>
                      </c:pt>
                      <c:pt idx="12">
                        <c:v>81.7</c:v>
                      </c:pt>
                      <c:pt idx="13">
                        <c:v>81.7</c:v>
                      </c:pt>
                      <c:pt idx="14">
                        <c:v>88.5</c:v>
                      </c:pt>
                      <c:pt idx="15">
                        <c:v>88.5</c:v>
                      </c:pt>
                      <c:pt idx="16">
                        <c:v>80</c:v>
                      </c:pt>
                      <c:pt idx="17">
                        <c:v>80</c:v>
                      </c:pt>
                      <c:pt idx="18">
                        <c:v>74.099999999999994</c:v>
                      </c:pt>
                      <c:pt idx="19">
                        <c:v>74.099999999999994</c:v>
                      </c:pt>
                      <c:pt idx="20">
                        <c:v>72.099999999999994</c:v>
                      </c:pt>
                      <c:pt idx="21">
                        <c:v>72.099999999999994</c:v>
                      </c:pt>
                      <c:pt idx="22">
                        <c:v>76.8</c:v>
                      </c:pt>
                      <c:pt idx="23">
                        <c:v>76.8</c:v>
                      </c:pt>
                      <c:pt idx="24">
                        <c:v>31.9</c:v>
                      </c:pt>
                      <c:pt idx="25">
                        <c:v>31.9</c:v>
                      </c:pt>
                      <c:pt idx="26">
                        <c:v>33.799999999999997</c:v>
                      </c:pt>
                      <c:pt idx="27">
                        <c:v>33.799999999999997</c:v>
                      </c:pt>
                      <c:pt idx="28">
                        <c:v>37</c:v>
                      </c:pt>
                      <c:pt idx="29">
                        <c:v>37</c:v>
                      </c:pt>
                      <c:pt idx="30">
                        <c:v>34.700000000000003</c:v>
                      </c:pt>
                      <c:pt idx="31">
                        <c:v>34.700000000000003</c:v>
                      </c:pt>
                    </c:numCache>
                  </c:numRef>
                </c:xVal>
                <c:yVal>
                  <c:numRef>
                    <c:extLst xmlns:c15="http://schemas.microsoft.com/office/drawing/2012/chart">
                      <c:ext xmlns:c15="http://schemas.microsoft.com/office/drawing/2012/chart" uri="{02D57815-91ED-43cb-92C2-25804820EDAC}">
                        <c15:formulaRef>
                          <c15:sqref>'Verde River'!$R$3:$R$34</c15:sqref>
                        </c15:formulaRef>
                      </c:ext>
                    </c:extLst>
                    <c:numCache>
                      <c:formatCode>General</c:formatCode>
                      <c:ptCount val="32"/>
                      <c:pt idx="0">
                        <c:v>7</c:v>
                      </c:pt>
                      <c:pt idx="1">
                        <c:v>7</c:v>
                      </c:pt>
                      <c:pt idx="2">
                        <c:v>4.5999999999999996</c:v>
                      </c:pt>
                      <c:pt idx="3">
                        <c:v>4.5999999999999996</c:v>
                      </c:pt>
                      <c:pt idx="4">
                        <c:v>0</c:v>
                      </c:pt>
                      <c:pt idx="5">
                        <c:v>0</c:v>
                      </c:pt>
                      <c:pt idx="6">
                        <c:v>6</c:v>
                      </c:pt>
                      <c:pt idx="7">
                        <c:v>6</c:v>
                      </c:pt>
                      <c:pt idx="8">
                        <c:v>5.3</c:v>
                      </c:pt>
                      <c:pt idx="9">
                        <c:v>5.3</c:v>
                      </c:pt>
                      <c:pt idx="10">
                        <c:v>2.4</c:v>
                      </c:pt>
                      <c:pt idx="11">
                        <c:v>2.4</c:v>
                      </c:pt>
                      <c:pt idx="12">
                        <c:v>2.4</c:v>
                      </c:pt>
                      <c:pt idx="13">
                        <c:v>2.4</c:v>
                      </c:pt>
                      <c:pt idx="14">
                        <c:v>5.2</c:v>
                      </c:pt>
                      <c:pt idx="15">
                        <c:v>5.2</c:v>
                      </c:pt>
                      <c:pt idx="16">
                        <c:v>5.9</c:v>
                      </c:pt>
                      <c:pt idx="17">
                        <c:v>5.9</c:v>
                      </c:pt>
                      <c:pt idx="18">
                        <c:v>4.2</c:v>
                      </c:pt>
                      <c:pt idx="19">
                        <c:v>4.2</c:v>
                      </c:pt>
                      <c:pt idx="20">
                        <c:v>3.4</c:v>
                      </c:pt>
                      <c:pt idx="21">
                        <c:v>3.4</c:v>
                      </c:pt>
                      <c:pt idx="22">
                        <c:v>4.7</c:v>
                      </c:pt>
                      <c:pt idx="23">
                        <c:v>4.7</c:v>
                      </c:pt>
                      <c:pt idx="24">
                        <c:v>5.9</c:v>
                      </c:pt>
                      <c:pt idx="25">
                        <c:v>5.9</c:v>
                      </c:pt>
                      <c:pt idx="26">
                        <c:v>5.3</c:v>
                      </c:pt>
                      <c:pt idx="27">
                        <c:v>5.3</c:v>
                      </c:pt>
                      <c:pt idx="28">
                        <c:v>7</c:v>
                      </c:pt>
                      <c:pt idx="29">
                        <c:v>7</c:v>
                      </c:pt>
                      <c:pt idx="30">
                        <c:v>5.2</c:v>
                      </c:pt>
                      <c:pt idx="31">
                        <c:v>5.2</c:v>
                      </c:pt>
                    </c:numCache>
                  </c:numRef>
                </c:yVal>
                <c:smooth val="0"/>
                <c:extLst xmlns:c15="http://schemas.microsoft.com/office/drawing/2012/chart">
                  <c:ext xmlns:c16="http://schemas.microsoft.com/office/drawing/2014/chart" uri="{C3380CC4-5D6E-409C-BE32-E72D297353CC}">
                    <c16:uniqueId val="{00000005-9459-4903-A699-32DCAE4DDEEA}"/>
                  </c:ext>
                </c:extLst>
              </c15:ser>
            </c15:filteredScatterSeries>
          </c:ext>
        </c:extLst>
      </c:scatterChart>
      <c:valAx>
        <c:axId val="158401280"/>
        <c:scaling>
          <c:orientation val="minMax"/>
          <c:max val="150"/>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Zr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8403584"/>
        <c:crossesAt val="-1"/>
        <c:crossBetween val="midCat"/>
      </c:valAx>
      <c:valAx>
        <c:axId val="158403584"/>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8401280"/>
        <c:crosses val="autoZero"/>
        <c:crossBetween val="midCat"/>
        <c:majorUnit val="5"/>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Profile</c:v>
          </c:tx>
          <c:spPr>
            <a:ln w="25400" cap="rnd">
              <a:noFill/>
              <a:round/>
            </a:ln>
            <a:effectLst/>
          </c:spPr>
          <c:marker>
            <c:symbol val="circle"/>
            <c:size val="8"/>
            <c:spPr>
              <a:solidFill>
                <a:schemeClr val="accent1"/>
              </a:solidFill>
              <a:ln w="9525">
                <a:solidFill>
                  <a:schemeClr val="tx1"/>
                </a:solidFill>
              </a:ln>
              <a:effectLst/>
            </c:spPr>
          </c:marker>
          <c:xVal>
            <c:numRef>
              <c:f>'Verde River'!$Q$3:$Q$51</c:f>
              <c:numCache>
                <c:formatCode>General</c:formatCode>
                <c:ptCount val="49"/>
                <c:pt idx="0">
                  <c:v>111.5</c:v>
                </c:pt>
                <c:pt idx="1">
                  <c:v>111.5</c:v>
                </c:pt>
                <c:pt idx="2">
                  <c:v>85.2</c:v>
                </c:pt>
                <c:pt idx="3">
                  <c:v>85.2</c:v>
                </c:pt>
                <c:pt idx="4">
                  <c:v>63.3</c:v>
                </c:pt>
                <c:pt idx="5">
                  <c:v>63.3</c:v>
                </c:pt>
                <c:pt idx="6">
                  <c:v>75</c:v>
                </c:pt>
                <c:pt idx="7">
                  <c:v>75</c:v>
                </c:pt>
                <c:pt idx="8">
                  <c:v>57.3</c:v>
                </c:pt>
                <c:pt idx="9">
                  <c:v>57.3</c:v>
                </c:pt>
                <c:pt idx="10">
                  <c:v>58</c:v>
                </c:pt>
                <c:pt idx="11">
                  <c:v>58</c:v>
                </c:pt>
                <c:pt idx="12">
                  <c:v>81.7</c:v>
                </c:pt>
                <c:pt idx="13">
                  <c:v>81.7</c:v>
                </c:pt>
                <c:pt idx="14">
                  <c:v>88.5</c:v>
                </c:pt>
                <c:pt idx="15">
                  <c:v>88.5</c:v>
                </c:pt>
                <c:pt idx="16">
                  <c:v>80</c:v>
                </c:pt>
                <c:pt idx="17">
                  <c:v>80</c:v>
                </c:pt>
                <c:pt idx="18">
                  <c:v>74.099999999999994</c:v>
                </c:pt>
                <c:pt idx="19">
                  <c:v>74.099999999999994</c:v>
                </c:pt>
                <c:pt idx="20">
                  <c:v>72.099999999999994</c:v>
                </c:pt>
                <c:pt idx="21">
                  <c:v>72.099999999999994</c:v>
                </c:pt>
                <c:pt idx="22">
                  <c:v>76.8</c:v>
                </c:pt>
                <c:pt idx="23">
                  <c:v>76.8</c:v>
                </c:pt>
                <c:pt idx="24">
                  <c:v>31.9</c:v>
                </c:pt>
                <c:pt idx="25">
                  <c:v>31.9</c:v>
                </c:pt>
                <c:pt idx="26">
                  <c:v>33.799999999999997</c:v>
                </c:pt>
                <c:pt idx="27">
                  <c:v>33.799999999999997</c:v>
                </c:pt>
                <c:pt idx="28">
                  <c:v>37</c:v>
                </c:pt>
                <c:pt idx="29">
                  <c:v>37</c:v>
                </c:pt>
                <c:pt idx="30">
                  <c:v>34.700000000000003</c:v>
                </c:pt>
                <c:pt idx="31">
                  <c:v>34.700000000000003</c:v>
                </c:pt>
                <c:pt idx="32">
                  <c:v>32.9</c:v>
                </c:pt>
                <c:pt idx="33">
                  <c:v>32.9</c:v>
                </c:pt>
                <c:pt idx="34">
                  <c:v>13.2</c:v>
                </c:pt>
                <c:pt idx="35">
                  <c:v>12.5</c:v>
                </c:pt>
                <c:pt idx="36">
                  <c:v>26.3</c:v>
                </c:pt>
                <c:pt idx="37">
                  <c:v>20</c:v>
                </c:pt>
                <c:pt idx="38">
                  <c:v>20.2</c:v>
                </c:pt>
                <c:pt idx="39">
                  <c:v>28.7</c:v>
                </c:pt>
                <c:pt idx="40">
                  <c:v>19.3</c:v>
                </c:pt>
                <c:pt idx="41">
                  <c:v>19.399999999999999</c:v>
                </c:pt>
                <c:pt idx="42">
                  <c:v>29.5</c:v>
                </c:pt>
                <c:pt idx="43">
                  <c:v>28.2</c:v>
                </c:pt>
                <c:pt idx="44">
                  <c:v>28.2</c:v>
                </c:pt>
                <c:pt idx="45">
                  <c:v>18.8</c:v>
                </c:pt>
                <c:pt idx="46">
                  <c:v>18.5</c:v>
                </c:pt>
                <c:pt idx="47">
                  <c:v>29.4</c:v>
                </c:pt>
                <c:pt idx="48">
                  <c:v>39.700000000000003</c:v>
                </c:pt>
              </c:numCache>
            </c:numRef>
          </c:xVal>
          <c:yVal>
            <c:numRef>
              <c:f>'Verde River'!$B$3:$B$51</c:f>
              <c:numCache>
                <c:formatCode>General</c:formatCode>
                <c:ptCount val="49"/>
                <c:pt idx="0">
                  <c:v>0</c:v>
                </c:pt>
                <c:pt idx="1">
                  <c:v>0</c:v>
                </c:pt>
                <c:pt idx="2">
                  <c:v>5</c:v>
                </c:pt>
                <c:pt idx="3">
                  <c:v>5</c:v>
                </c:pt>
                <c:pt idx="4">
                  <c:v>10</c:v>
                </c:pt>
                <c:pt idx="5">
                  <c:v>10</c:v>
                </c:pt>
                <c:pt idx="6">
                  <c:v>20</c:v>
                </c:pt>
                <c:pt idx="7">
                  <c:v>20</c:v>
                </c:pt>
                <c:pt idx="8">
                  <c:v>25</c:v>
                </c:pt>
                <c:pt idx="9">
                  <c:v>25</c:v>
                </c:pt>
                <c:pt idx="10">
                  <c:v>30</c:v>
                </c:pt>
                <c:pt idx="11">
                  <c:v>30</c:v>
                </c:pt>
                <c:pt idx="12">
                  <c:v>40</c:v>
                </c:pt>
                <c:pt idx="13">
                  <c:v>40</c:v>
                </c:pt>
                <c:pt idx="14">
                  <c:v>50</c:v>
                </c:pt>
                <c:pt idx="15">
                  <c:v>50</c:v>
                </c:pt>
                <c:pt idx="16">
                  <c:v>60</c:v>
                </c:pt>
                <c:pt idx="17">
                  <c:v>60</c:v>
                </c:pt>
                <c:pt idx="18">
                  <c:v>70</c:v>
                </c:pt>
                <c:pt idx="19">
                  <c:v>70</c:v>
                </c:pt>
                <c:pt idx="20">
                  <c:v>80</c:v>
                </c:pt>
                <c:pt idx="21">
                  <c:v>80</c:v>
                </c:pt>
                <c:pt idx="22">
                  <c:v>90</c:v>
                </c:pt>
                <c:pt idx="23">
                  <c:v>90</c:v>
                </c:pt>
                <c:pt idx="24">
                  <c:v>250</c:v>
                </c:pt>
                <c:pt idx="25">
                  <c:v>250</c:v>
                </c:pt>
                <c:pt idx="26">
                  <c:v>300</c:v>
                </c:pt>
                <c:pt idx="27">
                  <c:v>300</c:v>
                </c:pt>
                <c:pt idx="28">
                  <c:v>500</c:v>
                </c:pt>
                <c:pt idx="29">
                  <c:v>500</c:v>
                </c:pt>
                <c:pt idx="30">
                  <c:v>500</c:v>
                </c:pt>
                <c:pt idx="31">
                  <c:v>500</c:v>
                </c:pt>
                <c:pt idx="32">
                  <c:v>600</c:v>
                </c:pt>
                <c:pt idx="33">
                  <c:v>600</c:v>
                </c:pt>
                <c:pt idx="34">
                  <c:v>700</c:v>
                </c:pt>
                <c:pt idx="35">
                  <c:v>700</c:v>
                </c:pt>
                <c:pt idx="36">
                  <c:v>700</c:v>
                </c:pt>
                <c:pt idx="37">
                  <c:v>800</c:v>
                </c:pt>
                <c:pt idx="38">
                  <c:v>800</c:v>
                </c:pt>
                <c:pt idx="39">
                  <c:v>800</c:v>
                </c:pt>
                <c:pt idx="40">
                  <c:v>1000</c:v>
                </c:pt>
                <c:pt idx="41">
                  <c:v>1000</c:v>
                </c:pt>
                <c:pt idx="42">
                  <c:v>1000</c:v>
                </c:pt>
                <c:pt idx="43">
                  <c:v>1600</c:v>
                </c:pt>
                <c:pt idx="44">
                  <c:v>1600</c:v>
                </c:pt>
                <c:pt idx="45">
                  <c:v>2800</c:v>
                </c:pt>
                <c:pt idx="46">
                  <c:v>2800</c:v>
                </c:pt>
                <c:pt idx="47">
                  <c:v>2800</c:v>
                </c:pt>
                <c:pt idx="48">
                  <c:v>5000</c:v>
                </c:pt>
              </c:numCache>
            </c:numRef>
          </c:yVal>
          <c:smooth val="0"/>
          <c:extLst xmlns:c16r2="http://schemas.microsoft.com/office/drawing/2015/06/chart">
            <c:ext xmlns:c16="http://schemas.microsoft.com/office/drawing/2014/chart" uri="{C3380CC4-5D6E-409C-BE32-E72D297353CC}">
              <c16:uniqueId val="{00000001-BCA8-4C22-8699-67DD0AE9C636}"/>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'Verde River'!$Q$51</c:f>
              <c:numCache>
                <c:formatCode>General</c:formatCode>
                <c:ptCount val="1"/>
                <c:pt idx="0">
                  <c:v>39.700000000000003</c:v>
                </c:pt>
              </c:numCache>
            </c:numRef>
          </c:xVal>
          <c:yVal>
            <c:numRef>
              <c:f>'Verde River'!$B$51</c:f>
              <c:numCache>
                <c:formatCode>General</c:formatCode>
                <c:ptCount val="1"/>
                <c:pt idx="0">
                  <c:v>5000</c:v>
                </c:pt>
              </c:numCache>
            </c:numRef>
          </c:yVal>
          <c:smooth val="0"/>
          <c:extLst xmlns:c16r2="http://schemas.microsoft.com/office/drawing/2015/06/chart">
            <c:ext xmlns:c16="http://schemas.microsoft.com/office/drawing/2014/chart" uri="{C3380CC4-5D6E-409C-BE32-E72D297353CC}">
              <c16:uniqueId val="{00000002-BCA8-4C22-8699-67DD0AE9C636}"/>
            </c:ext>
          </c:extLst>
        </c:ser>
        <c:ser>
          <c:idx val="2"/>
          <c:order val="2"/>
          <c:tx>
            <c:v>Outliers</c:v>
          </c:tx>
          <c:spPr>
            <a:ln w="25400" cap="rnd">
              <a:noFill/>
              <a:round/>
            </a:ln>
            <a:effectLst/>
          </c:spPr>
          <c:marker>
            <c:symbol val="circle"/>
            <c:size val="8"/>
            <c:spPr>
              <a:solidFill>
                <a:schemeClr val="accent3"/>
              </a:solidFill>
              <a:ln w="9525">
                <a:solidFill>
                  <a:schemeClr val="tx1"/>
                </a:solidFill>
              </a:ln>
              <a:effectLst/>
            </c:spPr>
          </c:marker>
          <c:xVal>
            <c:numRef>
              <c:f>'Verde River'!$Q$3:$Q$26</c:f>
              <c:numCache>
                <c:formatCode>General</c:formatCode>
                <c:ptCount val="24"/>
                <c:pt idx="0">
                  <c:v>111.5</c:v>
                </c:pt>
                <c:pt idx="1">
                  <c:v>111.5</c:v>
                </c:pt>
                <c:pt idx="2">
                  <c:v>85.2</c:v>
                </c:pt>
                <c:pt idx="3">
                  <c:v>85.2</c:v>
                </c:pt>
                <c:pt idx="4">
                  <c:v>63.3</c:v>
                </c:pt>
                <c:pt idx="5">
                  <c:v>63.3</c:v>
                </c:pt>
                <c:pt idx="6">
                  <c:v>75</c:v>
                </c:pt>
                <c:pt idx="7">
                  <c:v>75</c:v>
                </c:pt>
                <c:pt idx="8">
                  <c:v>57.3</c:v>
                </c:pt>
                <c:pt idx="9">
                  <c:v>57.3</c:v>
                </c:pt>
                <c:pt idx="10">
                  <c:v>58</c:v>
                </c:pt>
                <c:pt idx="11">
                  <c:v>58</c:v>
                </c:pt>
                <c:pt idx="12">
                  <c:v>81.7</c:v>
                </c:pt>
                <c:pt idx="13">
                  <c:v>81.7</c:v>
                </c:pt>
                <c:pt idx="14">
                  <c:v>88.5</c:v>
                </c:pt>
                <c:pt idx="15">
                  <c:v>88.5</c:v>
                </c:pt>
                <c:pt idx="16">
                  <c:v>80</c:v>
                </c:pt>
                <c:pt idx="17">
                  <c:v>80</c:v>
                </c:pt>
                <c:pt idx="18">
                  <c:v>74.099999999999994</c:v>
                </c:pt>
                <c:pt idx="19">
                  <c:v>74.099999999999994</c:v>
                </c:pt>
                <c:pt idx="20">
                  <c:v>72.099999999999994</c:v>
                </c:pt>
                <c:pt idx="21">
                  <c:v>72.099999999999994</c:v>
                </c:pt>
                <c:pt idx="22">
                  <c:v>76.8</c:v>
                </c:pt>
                <c:pt idx="23">
                  <c:v>76.8</c:v>
                </c:pt>
              </c:numCache>
            </c:numRef>
          </c:xVal>
          <c:yVal>
            <c:numRef>
              <c:f>'Verde River'!$B$3:$B$26</c:f>
              <c:numCache>
                <c:formatCode>General</c:formatCode>
                <c:ptCount val="24"/>
                <c:pt idx="0">
                  <c:v>0</c:v>
                </c:pt>
                <c:pt idx="1">
                  <c:v>0</c:v>
                </c:pt>
                <c:pt idx="2">
                  <c:v>5</c:v>
                </c:pt>
                <c:pt idx="3">
                  <c:v>5</c:v>
                </c:pt>
                <c:pt idx="4">
                  <c:v>10</c:v>
                </c:pt>
                <c:pt idx="5">
                  <c:v>10</c:v>
                </c:pt>
                <c:pt idx="6">
                  <c:v>20</c:v>
                </c:pt>
                <c:pt idx="7">
                  <c:v>20</c:v>
                </c:pt>
                <c:pt idx="8">
                  <c:v>25</c:v>
                </c:pt>
                <c:pt idx="9">
                  <c:v>25</c:v>
                </c:pt>
                <c:pt idx="10">
                  <c:v>30</c:v>
                </c:pt>
                <c:pt idx="11">
                  <c:v>30</c:v>
                </c:pt>
                <c:pt idx="12">
                  <c:v>40</c:v>
                </c:pt>
                <c:pt idx="13">
                  <c:v>40</c:v>
                </c:pt>
                <c:pt idx="14">
                  <c:v>50</c:v>
                </c:pt>
                <c:pt idx="15">
                  <c:v>50</c:v>
                </c:pt>
                <c:pt idx="16">
                  <c:v>60</c:v>
                </c:pt>
                <c:pt idx="17">
                  <c:v>60</c:v>
                </c:pt>
                <c:pt idx="18">
                  <c:v>70</c:v>
                </c:pt>
                <c:pt idx="19">
                  <c:v>70</c:v>
                </c:pt>
                <c:pt idx="20">
                  <c:v>80</c:v>
                </c:pt>
                <c:pt idx="21">
                  <c:v>80</c:v>
                </c:pt>
                <c:pt idx="22">
                  <c:v>90</c:v>
                </c:pt>
                <c:pt idx="23">
                  <c:v>90</c:v>
                </c:pt>
              </c:numCache>
            </c:numRef>
          </c:yVal>
          <c:smooth val="0"/>
          <c:extLst xmlns:c16r2="http://schemas.microsoft.com/office/drawing/2015/06/chart">
            <c:ext xmlns:c16="http://schemas.microsoft.com/office/drawing/2014/chart" uri="{C3380CC4-5D6E-409C-BE32-E72D297353CC}">
              <c16:uniqueId val="{00000005-BCA8-4C22-8699-67DD0AE9C636}"/>
            </c:ext>
          </c:extLst>
        </c:ser>
        <c:dLbls>
          <c:showLegendKey val="0"/>
          <c:showVal val="0"/>
          <c:showCatName val="0"/>
          <c:showSerName val="0"/>
          <c:showPercent val="0"/>
          <c:showBubbleSize val="0"/>
        </c:dLbls>
        <c:axId val="158443392"/>
        <c:axId val="158458240"/>
      </c:scatterChart>
      <c:valAx>
        <c:axId val="158443392"/>
        <c:scaling>
          <c:orientation val="minMax"/>
          <c:max val="150"/>
        </c:scaling>
        <c:delete val="0"/>
        <c:axPos val="t"/>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Zr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8458240"/>
        <c:crossesAt val="-1"/>
        <c:crossBetween val="midCat"/>
      </c:valAx>
      <c:valAx>
        <c:axId val="158458240"/>
        <c:scaling>
          <c:orientation val="maxMin"/>
          <c:max val="5000"/>
          <c:min val="0"/>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Depth (cm)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8443392"/>
        <c:crosses val="autoZero"/>
        <c:crossBetween val="midCat"/>
        <c:majorUnit val="1000"/>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8682934541135E-2"/>
          <c:y val="0.14812739840941191"/>
          <c:w val="0.54488974398093459"/>
          <c:h val="0.82404965827769405"/>
        </c:manualLayout>
      </c:layout>
      <c:scatterChart>
        <c:scatterStyle val="lineMarker"/>
        <c:varyColors val="0"/>
        <c:ser>
          <c:idx val="0"/>
          <c:order val="0"/>
          <c:tx>
            <c:v>Profile</c:v>
          </c:tx>
          <c:spPr>
            <a:ln w="25400" cap="rnd">
              <a:noFill/>
              <a:round/>
            </a:ln>
            <a:effectLst/>
          </c:spPr>
          <c:marker>
            <c:symbol val="circle"/>
            <c:size val="8"/>
            <c:spPr>
              <a:solidFill>
                <a:schemeClr val="accent1"/>
              </a:solidFill>
              <a:ln w="9525">
                <a:solidFill>
                  <a:schemeClr val="tx1"/>
                </a:solidFill>
              </a:ln>
              <a:effectLst/>
            </c:spPr>
          </c:marker>
          <c:xVal>
            <c:numRef>
              <c:f>'Verde River'!$R$3:$R$51</c:f>
              <c:numCache>
                <c:formatCode>General</c:formatCode>
                <c:ptCount val="49"/>
                <c:pt idx="0">
                  <c:v>7</c:v>
                </c:pt>
                <c:pt idx="1">
                  <c:v>7</c:v>
                </c:pt>
                <c:pt idx="2">
                  <c:v>4.5999999999999996</c:v>
                </c:pt>
                <c:pt idx="3">
                  <c:v>4.5999999999999996</c:v>
                </c:pt>
                <c:pt idx="4">
                  <c:v>0</c:v>
                </c:pt>
                <c:pt idx="5">
                  <c:v>0</c:v>
                </c:pt>
                <c:pt idx="6">
                  <c:v>6</c:v>
                </c:pt>
                <c:pt idx="7">
                  <c:v>6</c:v>
                </c:pt>
                <c:pt idx="8">
                  <c:v>5.3</c:v>
                </c:pt>
                <c:pt idx="9">
                  <c:v>5.3</c:v>
                </c:pt>
                <c:pt idx="10">
                  <c:v>2.4</c:v>
                </c:pt>
                <c:pt idx="11">
                  <c:v>2.4</c:v>
                </c:pt>
                <c:pt idx="12">
                  <c:v>2.4</c:v>
                </c:pt>
                <c:pt idx="13">
                  <c:v>2.4</c:v>
                </c:pt>
                <c:pt idx="14">
                  <c:v>5.2</c:v>
                </c:pt>
                <c:pt idx="15">
                  <c:v>5.2</c:v>
                </c:pt>
                <c:pt idx="16">
                  <c:v>5.9</c:v>
                </c:pt>
                <c:pt idx="17">
                  <c:v>5.9</c:v>
                </c:pt>
                <c:pt idx="18">
                  <c:v>4.2</c:v>
                </c:pt>
                <c:pt idx="19">
                  <c:v>4.2</c:v>
                </c:pt>
                <c:pt idx="20">
                  <c:v>3.4</c:v>
                </c:pt>
                <c:pt idx="21">
                  <c:v>3.4</c:v>
                </c:pt>
                <c:pt idx="22">
                  <c:v>4.7</c:v>
                </c:pt>
                <c:pt idx="23">
                  <c:v>4.7</c:v>
                </c:pt>
                <c:pt idx="24">
                  <c:v>5.9</c:v>
                </c:pt>
                <c:pt idx="25">
                  <c:v>5.9</c:v>
                </c:pt>
                <c:pt idx="26">
                  <c:v>5.3</c:v>
                </c:pt>
                <c:pt idx="27">
                  <c:v>5.3</c:v>
                </c:pt>
                <c:pt idx="28">
                  <c:v>7</c:v>
                </c:pt>
                <c:pt idx="29">
                  <c:v>7</c:v>
                </c:pt>
                <c:pt idx="30">
                  <c:v>5.2</c:v>
                </c:pt>
                <c:pt idx="31">
                  <c:v>5.2</c:v>
                </c:pt>
                <c:pt idx="32">
                  <c:v>3.3</c:v>
                </c:pt>
                <c:pt idx="33">
                  <c:v>3.3</c:v>
                </c:pt>
                <c:pt idx="34">
                  <c:v>3.7</c:v>
                </c:pt>
                <c:pt idx="35">
                  <c:v>3.6</c:v>
                </c:pt>
                <c:pt idx="36">
                  <c:v>3</c:v>
                </c:pt>
                <c:pt idx="37">
                  <c:v>3.6</c:v>
                </c:pt>
                <c:pt idx="38">
                  <c:v>3</c:v>
                </c:pt>
                <c:pt idx="39">
                  <c:v>2.1</c:v>
                </c:pt>
                <c:pt idx="40">
                  <c:v>1.5</c:v>
                </c:pt>
                <c:pt idx="41">
                  <c:v>2.5</c:v>
                </c:pt>
                <c:pt idx="42">
                  <c:v>4</c:v>
                </c:pt>
                <c:pt idx="43">
                  <c:v>2.7</c:v>
                </c:pt>
                <c:pt idx="44">
                  <c:v>2.7</c:v>
                </c:pt>
                <c:pt idx="45">
                  <c:v>3.2</c:v>
                </c:pt>
                <c:pt idx="46">
                  <c:v>2.5</c:v>
                </c:pt>
                <c:pt idx="47">
                  <c:v>1.4</c:v>
                </c:pt>
                <c:pt idx="48">
                  <c:v>3.6</c:v>
                </c:pt>
              </c:numCache>
            </c:numRef>
          </c:xVal>
          <c:yVal>
            <c:numRef>
              <c:f>'Verde River'!$B$3:$B$51</c:f>
              <c:numCache>
                <c:formatCode>General</c:formatCode>
                <c:ptCount val="49"/>
                <c:pt idx="0">
                  <c:v>0</c:v>
                </c:pt>
                <c:pt idx="1">
                  <c:v>0</c:v>
                </c:pt>
                <c:pt idx="2">
                  <c:v>5</c:v>
                </c:pt>
                <c:pt idx="3">
                  <c:v>5</c:v>
                </c:pt>
                <c:pt idx="4">
                  <c:v>10</c:v>
                </c:pt>
                <c:pt idx="5">
                  <c:v>10</c:v>
                </c:pt>
                <c:pt idx="6">
                  <c:v>20</c:v>
                </c:pt>
                <c:pt idx="7">
                  <c:v>20</c:v>
                </c:pt>
                <c:pt idx="8">
                  <c:v>25</c:v>
                </c:pt>
                <c:pt idx="9">
                  <c:v>25</c:v>
                </c:pt>
                <c:pt idx="10">
                  <c:v>30</c:v>
                </c:pt>
                <c:pt idx="11">
                  <c:v>30</c:v>
                </c:pt>
                <c:pt idx="12">
                  <c:v>40</c:v>
                </c:pt>
                <c:pt idx="13">
                  <c:v>40</c:v>
                </c:pt>
                <c:pt idx="14">
                  <c:v>50</c:v>
                </c:pt>
                <c:pt idx="15">
                  <c:v>50</c:v>
                </c:pt>
                <c:pt idx="16">
                  <c:v>60</c:v>
                </c:pt>
                <c:pt idx="17">
                  <c:v>60</c:v>
                </c:pt>
                <c:pt idx="18">
                  <c:v>70</c:v>
                </c:pt>
                <c:pt idx="19">
                  <c:v>70</c:v>
                </c:pt>
                <c:pt idx="20">
                  <c:v>80</c:v>
                </c:pt>
                <c:pt idx="21">
                  <c:v>80</c:v>
                </c:pt>
                <c:pt idx="22">
                  <c:v>90</c:v>
                </c:pt>
                <c:pt idx="23">
                  <c:v>90</c:v>
                </c:pt>
                <c:pt idx="24">
                  <c:v>250</c:v>
                </c:pt>
                <c:pt idx="25">
                  <c:v>250</c:v>
                </c:pt>
                <c:pt idx="26">
                  <c:v>300</c:v>
                </c:pt>
                <c:pt idx="27">
                  <c:v>300</c:v>
                </c:pt>
                <c:pt idx="28">
                  <c:v>500</c:v>
                </c:pt>
                <c:pt idx="29">
                  <c:v>500</c:v>
                </c:pt>
                <c:pt idx="30">
                  <c:v>500</c:v>
                </c:pt>
                <c:pt idx="31">
                  <c:v>500</c:v>
                </c:pt>
                <c:pt idx="32">
                  <c:v>600</c:v>
                </c:pt>
                <c:pt idx="33">
                  <c:v>600</c:v>
                </c:pt>
                <c:pt idx="34">
                  <c:v>700</c:v>
                </c:pt>
                <c:pt idx="35">
                  <c:v>700</c:v>
                </c:pt>
                <c:pt idx="36">
                  <c:v>700</c:v>
                </c:pt>
                <c:pt idx="37">
                  <c:v>800</c:v>
                </c:pt>
                <c:pt idx="38">
                  <c:v>800</c:v>
                </c:pt>
                <c:pt idx="39">
                  <c:v>800</c:v>
                </c:pt>
                <c:pt idx="40">
                  <c:v>1000</c:v>
                </c:pt>
                <c:pt idx="41">
                  <c:v>1000</c:v>
                </c:pt>
                <c:pt idx="42">
                  <c:v>1000</c:v>
                </c:pt>
                <c:pt idx="43">
                  <c:v>1600</c:v>
                </c:pt>
                <c:pt idx="44">
                  <c:v>1600</c:v>
                </c:pt>
                <c:pt idx="45">
                  <c:v>2800</c:v>
                </c:pt>
                <c:pt idx="46">
                  <c:v>2800</c:v>
                </c:pt>
                <c:pt idx="47">
                  <c:v>2800</c:v>
                </c:pt>
                <c:pt idx="48">
                  <c:v>5000</c:v>
                </c:pt>
              </c:numCache>
            </c:numRef>
          </c:yVal>
          <c:smooth val="0"/>
          <c:extLst xmlns:c16r2="http://schemas.microsoft.com/office/drawing/2015/06/chart">
            <c:ext xmlns:c16="http://schemas.microsoft.com/office/drawing/2014/chart" uri="{C3380CC4-5D6E-409C-BE32-E72D297353CC}">
              <c16:uniqueId val="{00000000-4AE1-48E0-BFD9-02DFD93136D8}"/>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'Verde River'!$R$51</c:f>
              <c:numCache>
                <c:formatCode>General</c:formatCode>
                <c:ptCount val="1"/>
                <c:pt idx="0">
                  <c:v>3.6</c:v>
                </c:pt>
              </c:numCache>
            </c:numRef>
          </c:xVal>
          <c:yVal>
            <c:numRef>
              <c:f>'Verde River'!$B$51</c:f>
              <c:numCache>
                <c:formatCode>General</c:formatCode>
                <c:ptCount val="1"/>
                <c:pt idx="0">
                  <c:v>5000</c:v>
                </c:pt>
              </c:numCache>
            </c:numRef>
          </c:yVal>
          <c:smooth val="0"/>
          <c:extLst xmlns:c16r2="http://schemas.microsoft.com/office/drawing/2015/06/chart">
            <c:ext xmlns:c16="http://schemas.microsoft.com/office/drawing/2014/chart" uri="{C3380CC4-5D6E-409C-BE32-E72D297353CC}">
              <c16:uniqueId val="{00000001-4AE1-48E0-BFD9-02DFD93136D8}"/>
            </c:ext>
          </c:extLst>
        </c:ser>
        <c:ser>
          <c:idx val="2"/>
          <c:order val="2"/>
          <c:tx>
            <c:v>Zr outliers</c:v>
          </c:tx>
          <c:spPr>
            <a:ln w="25400" cap="rnd">
              <a:noFill/>
              <a:round/>
            </a:ln>
            <a:effectLst/>
          </c:spPr>
          <c:marker>
            <c:symbol val="circle"/>
            <c:size val="8"/>
            <c:spPr>
              <a:solidFill>
                <a:schemeClr val="bg1">
                  <a:lumMod val="85000"/>
                </a:schemeClr>
              </a:solidFill>
              <a:ln w="9525">
                <a:solidFill>
                  <a:schemeClr val="tx1"/>
                </a:solidFill>
              </a:ln>
              <a:effectLst/>
            </c:spPr>
          </c:marker>
          <c:xVal>
            <c:numRef>
              <c:f>'Verde River'!$R$3:$R$26</c:f>
              <c:numCache>
                <c:formatCode>General</c:formatCode>
                <c:ptCount val="24"/>
                <c:pt idx="0">
                  <c:v>7</c:v>
                </c:pt>
                <c:pt idx="1">
                  <c:v>7</c:v>
                </c:pt>
                <c:pt idx="2">
                  <c:v>4.5999999999999996</c:v>
                </c:pt>
                <c:pt idx="3">
                  <c:v>4.5999999999999996</c:v>
                </c:pt>
                <c:pt idx="4">
                  <c:v>0</c:v>
                </c:pt>
                <c:pt idx="5">
                  <c:v>0</c:v>
                </c:pt>
                <c:pt idx="6">
                  <c:v>6</c:v>
                </c:pt>
                <c:pt idx="7">
                  <c:v>6</c:v>
                </c:pt>
                <c:pt idx="8">
                  <c:v>5.3</c:v>
                </c:pt>
                <c:pt idx="9">
                  <c:v>5.3</c:v>
                </c:pt>
                <c:pt idx="10">
                  <c:v>2.4</c:v>
                </c:pt>
                <c:pt idx="11">
                  <c:v>2.4</c:v>
                </c:pt>
                <c:pt idx="12">
                  <c:v>2.4</c:v>
                </c:pt>
                <c:pt idx="13">
                  <c:v>2.4</c:v>
                </c:pt>
                <c:pt idx="14">
                  <c:v>5.2</c:v>
                </c:pt>
                <c:pt idx="15">
                  <c:v>5.2</c:v>
                </c:pt>
                <c:pt idx="16">
                  <c:v>5.9</c:v>
                </c:pt>
                <c:pt idx="17">
                  <c:v>5.9</c:v>
                </c:pt>
                <c:pt idx="18">
                  <c:v>4.2</c:v>
                </c:pt>
                <c:pt idx="19">
                  <c:v>4.2</c:v>
                </c:pt>
                <c:pt idx="20">
                  <c:v>3.4</c:v>
                </c:pt>
                <c:pt idx="21">
                  <c:v>3.4</c:v>
                </c:pt>
                <c:pt idx="22">
                  <c:v>4.7</c:v>
                </c:pt>
                <c:pt idx="23">
                  <c:v>4.7</c:v>
                </c:pt>
              </c:numCache>
            </c:numRef>
          </c:xVal>
          <c:yVal>
            <c:numRef>
              <c:f>'Verde River'!$B$3:$B$26</c:f>
              <c:numCache>
                <c:formatCode>General</c:formatCode>
                <c:ptCount val="24"/>
                <c:pt idx="0">
                  <c:v>0</c:v>
                </c:pt>
                <c:pt idx="1">
                  <c:v>0</c:v>
                </c:pt>
                <c:pt idx="2">
                  <c:v>5</c:v>
                </c:pt>
                <c:pt idx="3">
                  <c:v>5</c:v>
                </c:pt>
                <c:pt idx="4">
                  <c:v>10</c:v>
                </c:pt>
                <c:pt idx="5">
                  <c:v>10</c:v>
                </c:pt>
                <c:pt idx="6">
                  <c:v>20</c:v>
                </c:pt>
                <c:pt idx="7">
                  <c:v>20</c:v>
                </c:pt>
                <c:pt idx="8">
                  <c:v>25</c:v>
                </c:pt>
                <c:pt idx="9">
                  <c:v>25</c:v>
                </c:pt>
                <c:pt idx="10">
                  <c:v>30</c:v>
                </c:pt>
                <c:pt idx="11">
                  <c:v>30</c:v>
                </c:pt>
                <c:pt idx="12">
                  <c:v>40</c:v>
                </c:pt>
                <c:pt idx="13">
                  <c:v>40</c:v>
                </c:pt>
                <c:pt idx="14">
                  <c:v>50</c:v>
                </c:pt>
                <c:pt idx="15">
                  <c:v>50</c:v>
                </c:pt>
                <c:pt idx="16">
                  <c:v>60</c:v>
                </c:pt>
                <c:pt idx="17">
                  <c:v>60</c:v>
                </c:pt>
                <c:pt idx="18">
                  <c:v>70</c:v>
                </c:pt>
                <c:pt idx="19">
                  <c:v>70</c:v>
                </c:pt>
                <c:pt idx="20">
                  <c:v>80</c:v>
                </c:pt>
                <c:pt idx="21">
                  <c:v>80</c:v>
                </c:pt>
                <c:pt idx="22">
                  <c:v>90</c:v>
                </c:pt>
                <c:pt idx="23">
                  <c:v>90</c:v>
                </c:pt>
              </c:numCache>
            </c:numRef>
          </c:yVal>
          <c:smooth val="0"/>
          <c:extLst xmlns:c16r2="http://schemas.microsoft.com/office/drawing/2015/06/chart">
            <c:ext xmlns:c16="http://schemas.microsoft.com/office/drawing/2014/chart" uri="{C3380CC4-5D6E-409C-BE32-E72D297353CC}">
              <c16:uniqueId val="{00000002-4AE1-48E0-BFD9-02DFD93136D8}"/>
            </c:ext>
          </c:extLst>
        </c:ser>
        <c:dLbls>
          <c:showLegendKey val="0"/>
          <c:showVal val="0"/>
          <c:showCatName val="0"/>
          <c:showSerName val="0"/>
          <c:showPercent val="0"/>
          <c:showBubbleSize val="0"/>
        </c:dLbls>
        <c:axId val="158489216"/>
        <c:axId val="158491776"/>
      </c:scatterChart>
      <c:valAx>
        <c:axId val="158489216"/>
        <c:scaling>
          <c:orientation val="minMax"/>
          <c:max val="10"/>
        </c:scaling>
        <c:delete val="0"/>
        <c:axPos val="t"/>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Th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8491776"/>
        <c:crossesAt val="-1"/>
        <c:crossBetween val="midCat"/>
      </c:valAx>
      <c:valAx>
        <c:axId val="158491776"/>
        <c:scaling>
          <c:orientation val="maxMin"/>
          <c:max val="5000"/>
          <c:min val="0"/>
        </c:scaling>
        <c:delete val="1"/>
        <c:axPos val="l"/>
        <c:numFmt formatCode="General" sourceLinked="1"/>
        <c:majorTickMark val="none"/>
        <c:minorTickMark val="none"/>
        <c:tickLblPos val="nextTo"/>
        <c:crossAx val="158489216"/>
        <c:crosses val="autoZero"/>
        <c:crossBetween val="midCat"/>
        <c:majorUnit val="1000"/>
      </c:valAx>
      <c:spPr>
        <a:noFill/>
        <a:ln>
          <a:solidFill>
            <a:schemeClr val="tx1"/>
          </a:solidFill>
        </a:ln>
        <a:effectLst/>
      </c:spPr>
    </c:plotArea>
    <c:legend>
      <c:legendPos val="r"/>
      <c:overlay val="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Verde River</a:t>
            </a:r>
          </a:p>
        </c:rich>
      </c:tx>
      <c:overlay val="0"/>
      <c:spPr>
        <a:noFill/>
        <a:ln>
          <a:noFill/>
        </a:ln>
        <a:effectLst/>
      </c:spPr>
    </c:title>
    <c:autoTitleDeleted val="0"/>
    <c:plotArea>
      <c:layout/>
      <c:scatterChart>
        <c:scatterStyle val="lineMarker"/>
        <c:varyColors val="0"/>
        <c:ser>
          <c:idx val="0"/>
          <c:order val="0"/>
          <c:tx>
            <c:v>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33222592880715923"/>
                  <c:y val="5.69608526705963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mn-lt"/>
                      <a:ea typeface="+mn-ea"/>
                      <a:cs typeface="+mn-cs"/>
                    </a:defRPr>
                  </a:pPr>
                  <a:endParaRPr lang="en-US"/>
                </a:p>
              </c:txPr>
            </c:trendlineLbl>
          </c:trendline>
          <c:xVal>
            <c:numRef>
              <c:f>'Verde River'!$M$3:$M$51</c:f>
              <c:numCache>
                <c:formatCode>General</c:formatCode>
                <c:ptCount val="49"/>
                <c:pt idx="0">
                  <c:v>0.18677531847133758</c:v>
                </c:pt>
                <c:pt idx="1">
                  <c:v>0.18677531847133758</c:v>
                </c:pt>
                <c:pt idx="2">
                  <c:v>0.16187194267515925</c:v>
                </c:pt>
                <c:pt idx="3">
                  <c:v>0.16187194267515925</c:v>
                </c:pt>
                <c:pt idx="4">
                  <c:v>0.27808769639065822</c:v>
                </c:pt>
                <c:pt idx="5">
                  <c:v>0.27808769639065822</c:v>
                </c:pt>
                <c:pt idx="6">
                  <c:v>0.39015288747346066</c:v>
                </c:pt>
                <c:pt idx="7">
                  <c:v>0.39015288747346066</c:v>
                </c:pt>
                <c:pt idx="8">
                  <c:v>0.21582925690021232</c:v>
                </c:pt>
                <c:pt idx="9">
                  <c:v>0.21582925690021232</c:v>
                </c:pt>
                <c:pt idx="10">
                  <c:v>0.1369685668789809</c:v>
                </c:pt>
                <c:pt idx="11">
                  <c:v>0.1369685668789809</c:v>
                </c:pt>
                <c:pt idx="12">
                  <c:v>0.21582925690021232</c:v>
                </c:pt>
                <c:pt idx="13">
                  <c:v>0.21582925690021232</c:v>
                </c:pt>
                <c:pt idx="14">
                  <c:v>0.25733488322717624</c:v>
                </c:pt>
                <c:pt idx="15">
                  <c:v>0.25733488322717624</c:v>
                </c:pt>
                <c:pt idx="16">
                  <c:v>0.35279782377919322</c:v>
                </c:pt>
                <c:pt idx="17">
                  <c:v>0.35279782377919322</c:v>
                </c:pt>
                <c:pt idx="18">
                  <c:v>0.435809076433121</c:v>
                </c:pt>
                <c:pt idx="19">
                  <c:v>0.435809076433121</c:v>
                </c:pt>
                <c:pt idx="20">
                  <c:v>0.49806751592356685</c:v>
                </c:pt>
                <c:pt idx="21">
                  <c:v>0.49806751592356685</c:v>
                </c:pt>
                <c:pt idx="22">
                  <c:v>1.2244159766454354</c:v>
                </c:pt>
                <c:pt idx="23">
                  <c:v>1.2244159766454354</c:v>
                </c:pt>
                <c:pt idx="24">
                  <c:v>2.7808769639065818</c:v>
                </c:pt>
                <c:pt idx="25">
                  <c:v>2.7808769639065818</c:v>
                </c:pt>
                <c:pt idx="26">
                  <c:v>1.7515374309978766</c:v>
                </c:pt>
                <c:pt idx="27">
                  <c:v>1.7515374309978766</c:v>
                </c:pt>
                <c:pt idx="28">
                  <c:v>2.4571330785562635</c:v>
                </c:pt>
                <c:pt idx="29">
                  <c:v>2.4571330785562635</c:v>
                </c:pt>
                <c:pt idx="30">
                  <c:v>1.9134093736730362</c:v>
                </c:pt>
                <c:pt idx="31">
                  <c:v>1.9134093736730362</c:v>
                </c:pt>
                <c:pt idx="32">
                  <c:v>1.2700721656050955</c:v>
                </c:pt>
                <c:pt idx="33">
                  <c:v>1.2700721656050955</c:v>
                </c:pt>
                <c:pt idx="34">
                  <c:v>0.71389677282377917</c:v>
                </c:pt>
                <c:pt idx="35">
                  <c:v>0.71389677282377917</c:v>
                </c:pt>
                <c:pt idx="36">
                  <c:v>0.7180473354564757</c:v>
                </c:pt>
                <c:pt idx="37">
                  <c:v>0.59353045647558389</c:v>
                </c:pt>
                <c:pt idx="38">
                  <c:v>0.59353045647558389</c:v>
                </c:pt>
                <c:pt idx="39">
                  <c:v>0.5976810191082802</c:v>
                </c:pt>
                <c:pt idx="40">
                  <c:v>0.36524951167728242</c:v>
                </c:pt>
                <c:pt idx="41">
                  <c:v>0.36524951167728242</c:v>
                </c:pt>
                <c:pt idx="42">
                  <c:v>0.36524951167728242</c:v>
                </c:pt>
                <c:pt idx="43">
                  <c:v>0.21582925690021232</c:v>
                </c:pt>
                <c:pt idx="44">
                  <c:v>0.21582925690021232</c:v>
                </c:pt>
                <c:pt idx="45">
                  <c:v>0.14942025477707005</c:v>
                </c:pt>
                <c:pt idx="46">
                  <c:v>0.15357081740976647</c:v>
                </c:pt>
                <c:pt idx="47">
                  <c:v>0.14942025477707005</c:v>
                </c:pt>
                <c:pt idx="48">
                  <c:v>0.24073263269639064</c:v>
                </c:pt>
              </c:numCache>
            </c:numRef>
          </c:xVal>
          <c:yVal>
            <c:numRef>
              <c:f>'Verde River'!$S$3:$S$51</c:f>
              <c:numCache>
                <c:formatCode>General</c:formatCode>
                <c:ptCount val="49"/>
                <c:pt idx="0">
                  <c:v>16</c:v>
                </c:pt>
                <c:pt idx="1">
                  <c:v>16</c:v>
                </c:pt>
                <c:pt idx="2">
                  <c:v>14.7</c:v>
                </c:pt>
                <c:pt idx="3">
                  <c:v>14.7</c:v>
                </c:pt>
                <c:pt idx="4">
                  <c:v>22.9</c:v>
                </c:pt>
                <c:pt idx="5">
                  <c:v>22.9</c:v>
                </c:pt>
                <c:pt idx="6">
                  <c:v>30.8</c:v>
                </c:pt>
                <c:pt idx="7">
                  <c:v>30.8</c:v>
                </c:pt>
                <c:pt idx="8">
                  <c:v>15.4</c:v>
                </c:pt>
                <c:pt idx="9">
                  <c:v>15.4</c:v>
                </c:pt>
                <c:pt idx="10">
                  <c:v>11.6</c:v>
                </c:pt>
                <c:pt idx="11">
                  <c:v>11.6</c:v>
                </c:pt>
                <c:pt idx="12">
                  <c:v>17</c:v>
                </c:pt>
                <c:pt idx="13">
                  <c:v>17</c:v>
                </c:pt>
                <c:pt idx="14">
                  <c:v>21.5</c:v>
                </c:pt>
                <c:pt idx="15">
                  <c:v>21.5</c:v>
                </c:pt>
                <c:pt idx="16">
                  <c:v>36.9</c:v>
                </c:pt>
                <c:pt idx="17">
                  <c:v>36.9</c:v>
                </c:pt>
                <c:pt idx="18">
                  <c:v>27.1</c:v>
                </c:pt>
                <c:pt idx="19">
                  <c:v>27.1</c:v>
                </c:pt>
                <c:pt idx="20">
                  <c:v>29.9</c:v>
                </c:pt>
                <c:pt idx="21">
                  <c:v>29.9</c:v>
                </c:pt>
                <c:pt idx="22">
                  <c:v>61.2</c:v>
                </c:pt>
                <c:pt idx="23">
                  <c:v>61.2</c:v>
                </c:pt>
                <c:pt idx="24">
                  <c:v>111</c:v>
                </c:pt>
                <c:pt idx="25">
                  <c:v>111</c:v>
                </c:pt>
                <c:pt idx="26">
                  <c:v>81.599999999999994</c:v>
                </c:pt>
                <c:pt idx="27">
                  <c:v>81.599999999999994</c:v>
                </c:pt>
                <c:pt idx="28">
                  <c:v>83.3</c:v>
                </c:pt>
                <c:pt idx="29">
                  <c:v>83.3</c:v>
                </c:pt>
                <c:pt idx="30">
                  <c:v>93.3</c:v>
                </c:pt>
                <c:pt idx="31">
                  <c:v>93.3</c:v>
                </c:pt>
                <c:pt idx="32">
                  <c:v>47.1</c:v>
                </c:pt>
                <c:pt idx="33">
                  <c:v>47.1</c:v>
                </c:pt>
                <c:pt idx="34">
                  <c:v>30.4</c:v>
                </c:pt>
                <c:pt idx="35">
                  <c:v>30.7</c:v>
                </c:pt>
                <c:pt idx="36">
                  <c:v>29.9</c:v>
                </c:pt>
                <c:pt idx="37">
                  <c:v>40.799999999999997</c:v>
                </c:pt>
                <c:pt idx="38">
                  <c:v>39.1</c:v>
                </c:pt>
                <c:pt idx="39">
                  <c:v>39.6</c:v>
                </c:pt>
                <c:pt idx="40">
                  <c:v>29.9</c:v>
                </c:pt>
                <c:pt idx="41">
                  <c:v>30.6</c:v>
                </c:pt>
                <c:pt idx="42">
                  <c:v>29.6</c:v>
                </c:pt>
                <c:pt idx="43">
                  <c:v>16.7</c:v>
                </c:pt>
                <c:pt idx="44">
                  <c:v>16.7</c:v>
                </c:pt>
                <c:pt idx="45">
                  <c:v>8.5</c:v>
                </c:pt>
                <c:pt idx="46">
                  <c:v>7.8</c:v>
                </c:pt>
                <c:pt idx="47">
                  <c:v>8</c:v>
                </c:pt>
                <c:pt idx="48" formatCode="0.0">
                  <c:v>10.066666666666666</c:v>
                </c:pt>
              </c:numCache>
            </c:numRef>
          </c:yVal>
          <c:smooth val="0"/>
          <c:extLst xmlns:c16r2="http://schemas.microsoft.com/office/drawing/2015/06/chart">
            <c:ext xmlns:c16="http://schemas.microsoft.com/office/drawing/2014/chart" uri="{C3380CC4-5D6E-409C-BE32-E72D297353CC}">
              <c16:uniqueId val="{00000003-50A4-42D3-9024-37DEA53A0DBB}"/>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'Verde River'!$M$51</c:f>
              <c:numCache>
                <c:formatCode>General</c:formatCode>
                <c:ptCount val="1"/>
                <c:pt idx="0">
                  <c:v>0.24073263269639064</c:v>
                </c:pt>
              </c:numCache>
            </c:numRef>
          </c:xVal>
          <c:yVal>
            <c:numRef>
              <c:f>'Verde River'!$S$51</c:f>
              <c:numCache>
                <c:formatCode>0.0</c:formatCode>
                <c:ptCount val="1"/>
                <c:pt idx="0">
                  <c:v>10.066666666666666</c:v>
                </c:pt>
              </c:numCache>
            </c:numRef>
          </c:yVal>
          <c:smooth val="0"/>
          <c:extLst xmlns:c16r2="http://schemas.microsoft.com/office/drawing/2015/06/chart">
            <c:ext xmlns:c16="http://schemas.microsoft.com/office/drawing/2014/chart" uri="{C3380CC4-5D6E-409C-BE32-E72D297353CC}">
              <c16:uniqueId val="{00000004-50A4-42D3-9024-37DEA53A0DBB}"/>
            </c:ext>
          </c:extLst>
        </c:ser>
        <c:dLbls>
          <c:showLegendKey val="0"/>
          <c:showVal val="0"/>
          <c:showCatName val="0"/>
          <c:showSerName val="0"/>
          <c:showPercent val="0"/>
          <c:showBubbleSize val="0"/>
        </c:dLbls>
        <c:axId val="158533888"/>
        <c:axId val="158544640"/>
      </c:scatterChart>
      <c:valAx>
        <c:axId val="158533888"/>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K (wt%)</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8544640"/>
        <c:crossesAt val="-1"/>
        <c:crossBetween val="midCat"/>
      </c:valAx>
      <c:valAx>
        <c:axId val="158544640"/>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Rb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8533888"/>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Verde River</a:t>
            </a:r>
          </a:p>
        </c:rich>
      </c:tx>
      <c:overlay val="0"/>
      <c:spPr>
        <a:noFill/>
        <a:ln>
          <a:noFill/>
        </a:ln>
        <a:effectLst/>
      </c:spPr>
    </c:title>
    <c:autoTitleDeleted val="0"/>
    <c:plotArea>
      <c:layout/>
      <c:scatterChart>
        <c:scatterStyle val="lineMarker"/>
        <c:varyColors val="0"/>
        <c:ser>
          <c:idx val="0"/>
          <c:order val="0"/>
          <c:tx>
            <c:v>Profile</c:v>
          </c:tx>
          <c:spPr>
            <a:ln w="25400" cap="rnd">
              <a:noFill/>
              <a:round/>
            </a:ln>
            <a:effectLst/>
          </c:spPr>
          <c:marker>
            <c:symbol val="circle"/>
            <c:size val="8"/>
            <c:spPr>
              <a:solidFill>
                <a:schemeClr val="accent1"/>
              </a:solidFill>
              <a:ln w="9525">
                <a:solidFill>
                  <a:schemeClr val="tx1"/>
                </a:solidFill>
              </a:ln>
              <a:effectLst/>
            </c:spPr>
          </c:marker>
          <c:dPt>
            <c:idx val="21"/>
            <c:bubble3D val="0"/>
            <c:extLst xmlns:c16r2="http://schemas.microsoft.com/office/drawing/2015/06/chart">
              <c:ext xmlns:c16="http://schemas.microsoft.com/office/drawing/2014/chart" uri="{C3380CC4-5D6E-409C-BE32-E72D297353CC}">
                <c16:uniqueId val="{00000001-D8F1-4352-AACF-335AD22C9D62}"/>
              </c:ext>
            </c:extLst>
          </c:dPt>
          <c:dPt>
            <c:idx val="48"/>
            <c:bubble3D val="0"/>
            <c:extLst xmlns:c16r2="http://schemas.microsoft.com/office/drawing/2015/06/chart">
              <c:ext xmlns:c16="http://schemas.microsoft.com/office/drawing/2014/chart" uri="{C3380CC4-5D6E-409C-BE32-E72D297353CC}">
                <c16:uniqueId val="{00000003-C807-4199-B177-318EDBD8F457}"/>
              </c:ext>
            </c:extLst>
          </c:dPt>
          <c:trendline>
            <c:spPr>
              <a:ln w="19050" cap="rnd">
                <a:solidFill>
                  <a:schemeClr val="tx1"/>
                </a:solidFill>
                <a:prstDash val="sysDot"/>
              </a:ln>
              <a:effectLst/>
            </c:spPr>
            <c:trendlineType val="linear"/>
            <c:dispRSqr val="1"/>
            <c:dispEq val="0"/>
            <c:trendlineLbl>
              <c:layout>
                <c:manualLayout>
                  <c:x val="-0.1110707222500591"/>
                  <c:y val="-0.15068833875933324"/>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mn-lt"/>
                      <a:ea typeface="+mn-ea"/>
                      <a:cs typeface="+mn-cs"/>
                    </a:defRPr>
                  </a:pPr>
                  <a:endParaRPr lang="en-US"/>
                </a:p>
              </c:txPr>
            </c:trendlineLbl>
          </c:trendline>
          <c:xVal>
            <c:numRef>
              <c:f>'Verde River'!$S$3:$S$51</c:f>
              <c:numCache>
                <c:formatCode>General</c:formatCode>
                <c:ptCount val="49"/>
                <c:pt idx="0">
                  <c:v>16</c:v>
                </c:pt>
                <c:pt idx="1">
                  <c:v>16</c:v>
                </c:pt>
                <c:pt idx="2">
                  <c:v>14.7</c:v>
                </c:pt>
                <c:pt idx="3">
                  <c:v>14.7</c:v>
                </c:pt>
                <c:pt idx="4">
                  <c:v>22.9</c:v>
                </c:pt>
                <c:pt idx="5">
                  <c:v>22.9</c:v>
                </c:pt>
                <c:pt idx="6">
                  <c:v>30.8</c:v>
                </c:pt>
                <c:pt idx="7">
                  <c:v>30.8</c:v>
                </c:pt>
                <c:pt idx="8">
                  <c:v>15.4</c:v>
                </c:pt>
                <c:pt idx="9">
                  <c:v>15.4</c:v>
                </c:pt>
                <c:pt idx="10">
                  <c:v>11.6</c:v>
                </c:pt>
                <c:pt idx="11">
                  <c:v>11.6</c:v>
                </c:pt>
                <c:pt idx="12">
                  <c:v>17</c:v>
                </c:pt>
                <c:pt idx="13">
                  <c:v>17</c:v>
                </c:pt>
                <c:pt idx="14">
                  <c:v>21.5</c:v>
                </c:pt>
                <c:pt idx="15">
                  <c:v>21.5</c:v>
                </c:pt>
                <c:pt idx="16">
                  <c:v>36.9</c:v>
                </c:pt>
                <c:pt idx="17">
                  <c:v>36.9</c:v>
                </c:pt>
                <c:pt idx="18">
                  <c:v>27.1</c:v>
                </c:pt>
                <c:pt idx="19">
                  <c:v>27.1</c:v>
                </c:pt>
                <c:pt idx="20">
                  <c:v>29.9</c:v>
                </c:pt>
                <c:pt idx="21">
                  <c:v>29.9</c:v>
                </c:pt>
                <c:pt idx="22">
                  <c:v>61.2</c:v>
                </c:pt>
                <c:pt idx="23">
                  <c:v>61.2</c:v>
                </c:pt>
                <c:pt idx="24">
                  <c:v>111</c:v>
                </c:pt>
                <c:pt idx="25">
                  <c:v>111</c:v>
                </c:pt>
                <c:pt idx="26">
                  <c:v>81.599999999999994</c:v>
                </c:pt>
                <c:pt idx="27">
                  <c:v>81.599999999999994</c:v>
                </c:pt>
                <c:pt idx="28">
                  <c:v>83.3</c:v>
                </c:pt>
                <c:pt idx="29">
                  <c:v>83.3</c:v>
                </c:pt>
                <c:pt idx="30">
                  <c:v>93.3</c:v>
                </c:pt>
                <c:pt idx="31">
                  <c:v>93.3</c:v>
                </c:pt>
                <c:pt idx="32">
                  <c:v>47.1</c:v>
                </c:pt>
                <c:pt idx="33">
                  <c:v>47.1</c:v>
                </c:pt>
                <c:pt idx="34">
                  <c:v>30.4</c:v>
                </c:pt>
                <c:pt idx="35">
                  <c:v>30.7</c:v>
                </c:pt>
                <c:pt idx="36">
                  <c:v>29.9</c:v>
                </c:pt>
                <c:pt idx="37">
                  <c:v>40.799999999999997</c:v>
                </c:pt>
                <c:pt idx="38">
                  <c:v>39.1</c:v>
                </c:pt>
                <c:pt idx="39">
                  <c:v>39.6</c:v>
                </c:pt>
                <c:pt idx="40">
                  <c:v>29.9</c:v>
                </c:pt>
                <c:pt idx="41">
                  <c:v>30.6</c:v>
                </c:pt>
                <c:pt idx="42">
                  <c:v>29.6</c:v>
                </c:pt>
                <c:pt idx="43">
                  <c:v>16.7</c:v>
                </c:pt>
                <c:pt idx="44">
                  <c:v>16.7</c:v>
                </c:pt>
                <c:pt idx="45">
                  <c:v>8.5</c:v>
                </c:pt>
                <c:pt idx="46">
                  <c:v>7.8</c:v>
                </c:pt>
                <c:pt idx="47">
                  <c:v>8</c:v>
                </c:pt>
                <c:pt idx="48" formatCode="0.0">
                  <c:v>10.066666666666666</c:v>
                </c:pt>
              </c:numCache>
            </c:numRef>
          </c:xVal>
          <c:yVal>
            <c:numRef>
              <c:f>'Verde River'!$R$3:$R$51</c:f>
              <c:numCache>
                <c:formatCode>General</c:formatCode>
                <c:ptCount val="49"/>
                <c:pt idx="0">
                  <c:v>7</c:v>
                </c:pt>
                <c:pt idx="1">
                  <c:v>7</c:v>
                </c:pt>
                <c:pt idx="2">
                  <c:v>4.5999999999999996</c:v>
                </c:pt>
                <c:pt idx="3">
                  <c:v>4.5999999999999996</c:v>
                </c:pt>
                <c:pt idx="4">
                  <c:v>0</c:v>
                </c:pt>
                <c:pt idx="5">
                  <c:v>0</c:v>
                </c:pt>
                <c:pt idx="6">
                  <c:v>6</c:v>
                </c:pt>
                <c:pt idx="7">
                  <c:v>6</c:v>
                </c:pt>
                <c:pt idx="8">
                  <c:v>5.3</c:v>
                </c:pt>
                <c:pt idx="9">
                  <c:v>5.3</c:v>
                </c:pt>
                <c:pt idx="10">
                  <c:v>2.4</c:v>
                </c:pt>
                <c:pt idx="11">
                  <c:v>2.4</c:v>
                </c:pt>
                <c:pt idx="12">
                  <c:v>2.4</c:v>
                </c:pt>
                <c:pt idx="13">
                  <c:v>2.4</c:v>
                </c:pt>
                <c:pt idx="14">
                  <c:v>5.2</c:v>
                </c:pt>
                <c:pt idx="15">
                  <c:v>5.2</c:v>
                </c:pt>
                <c:pt idx="16">
                  <c:v>5.9</c:v>
                </c:pt>
                <c:pt idx="17">
                  <c:v>5.9</c:v>
                </c:pt>
                <c:pt idx="18">
                  <c:v>4.2</c:v>
                </c:pt>
                <c:pt idx="19">
                  <c:v>4.2</c:v>
                </c:pt>
                <c:pt idx="20">
                  <c:v>3.4</c:v>
                </c:pt>
                <c:pt idx="21">
                  <c:v>3.4</c:v>
                </c:pt>
                <c:pt idx="22">
                  <c:v>4.7</c:v>
                </c:pt>
                <c:pt idx="23">
                  <c:v>4.7</c:v>
                </c:pt>
                <c:pt idx="24">
                  <c:v>5.9</c:v>
                </c:pt>
                <c:pt idx="25">
                  <c:v>5.9</c:v>
                </c:pt>
                <c:pt idx="26">
                  <c:v>5.3</c:v>
                </c:pt>
                <c:pt idx="27">
                  <c:v>5.3</c:v>
                </c:pt>
                <c:pt idx="28">
                  <c:v>7</c:v>
                </c:pt>
                <c:pt idx="29">
                  <c:v>7</c:v>
                </c:pt>
                <c:pt idx="30">
                  <c:v>5.2</c:v>
                </c:pt>
                <c:pt idx="31">
                  <c:v>5.2</c:v>
                </c:pt>
                <c:pt idx="32">
                  <c:v>3.3</c:v>
                </c:pt>
                <c:pt idx="33">
                  <c:v>3.3</c:v>
                </c:pt>
                <c:pt idx="34">
                  <c:v>3.7</c:v>
                </c:pt>
                <c:pt idx="35">
                  <c:v>3.6</c:v>
                </c:pt>
                <c:pt idx="36">
                  <c:v>3</c:v>
                </c:pt>
                <c:pt idx="37">
                  <c:v>3.6</c:v>
                </c:pt>
                <c:pt idx="38">
                  <c:v>3</c:v>
                </c:pt>
                <c:pt idx="39">
                  <c:v>2.1</c:v>
                </c:pt>
                <c:pt idx="40">
                  <c:v>1.5</c:v>
                </c:pt>
                <c:pt idx="41">
                  <c:v>2.5</c:v>
                </c:pt>
                <c:pt idx="42">
                  <c:v>4</c:v>
                </c:pt>
                <c:pt idx="43">
                  <c:v>2.7</c:v>
                </c:pt>
                <c:pt idx="44">
                  <c:v>2.7</c:v>
                </c:pt>
                <c:pt idx="45">
                  <c:v>3.2</c:v>
                </c:pt>
                <c:pt idx="46">
                  <c:v>2.5</c:v>
                </c:pt>
                <c:pt idx="47">
                  <c:v>1.4</c:v>
                </c:pt>
                <c:pt idx="48">
                  <c:v>3.6</c:v>
                </c:pt>
              </c:numCache>
            </c:numRef>
          </c:yVal>
          <c:smooth val="0"/>
          <c:extLst xmlns:c16r2="http://schemas.microsoft.com/office/drawing/2015/06/chart">
            <c:ext xmlns:c16="http://schemas.microsoft.com/office/drawing/2014/chart" uri="{C3380CC4-5D6E-409C-BE32-E72D297353CC}">
              <c16:uniqueId val="{00000003-D8F1-4352-AACF-335AD22C9D62}"/>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'Verde River'!$S$51</c:f>
              <c:numCache>
                <c:formatCode>0.0</c:formatCode>
                <c:ptCount val="1"/>
                <c:pt idx="0">
                  <c:v>10.066666666666666</c:v>
                </c:pt>
              </c:numCache>
            </c:numRef>
          </c:xVal>
          <c:yVal>
            <c:numRef>
              <c:f>'Verde River'!$S$51</c:f>
              <c:numCache>
                <c:formatCode>0.0</c:formatCode>
                <c:ptCount val="1"/>
                <c:pt idx="0">
                  <c:v>10.066666666666666</c:v>
                </c:pt>
              </c:numCache>
            </c:numRef>
          </c:yVal>
          <c:smooth val="0"/>
          <c:extLst xmlns:c16r2="http://schemas.microsoft.com/office/drawing/2015/06/chart">
            <c:ext xmlns:c16="http://schemas.microsoft.com/office/drawing/2014/chart" uri="{C3380CC4-5D6E-409C-BE32-E72D297353CC}">
              <c16:uniqueId val="{00000004-D8F1-4352-AACF-335AD22C9D62}"/>
            </c:ext>
          </c:extLst>
        </c:ser>
        <c:dLbls>
          <c:showLegendKey val="0"/>
          <c:showVal val="0"/>
          <c:showCatName val="0"/>
          <c:showSerName val="0"/>
          <c:showPercent val="0"/>
          <c:showBubbleSize val="0"/>
        </c:dLbls>
        <c:axId val="158217728"/>
        <c:axId val="158224384"/>
      </c:scatterChart>
      <c:valAx>
        <c:axId val="158217728"/>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Rb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8224384"/>
        <c:crossesAt val="-1"/>
        <c:crossBetween val="midCat"/>
      </c:valAx>
      <c:valAx>
        <c:axId val="158224384"/>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8217728"/>
        <c:crosses val="autoZero"/>
        <c:crossBetween val="midCat"/>
        <c:majorUnit val="5"/>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Profile</c:v>
          </c:tx>
          <c:spPr>
            <a:ln w="25400" cap="rnd">
              <a:noFill/>
              <a:round/>
            </a:ln>
            <a:effectLst/>
          </c:spPr>
          <c:marker>
            <c:symbol val="circle"/>
            <c:size val="8"/>
            <c:spPr>
              <a:solidFill>
                <a:schemeClr val="accent1"/>
              </a:solidFill>
              <a:ln w="9525">
                <a:solidFill>
                  <a:schemeClr val="tx1"/>
                </a:solidFill>
              </a:ln>
              <a:effectLst/>
            </c:spPr>
          </c:marker>
          <c:xVal>
            <c:numRef>
              <c:f>'Verde River'!$M$3:$M$51</c:f>
              <c:numCache>
                <c:formatCode>General</c:formatCode>
                <c:ptCount val="49"/>
                <c:pt idx="0">
                  <c:v>0.18677531847133758</c:v>
                </c:pt>
                <c:pt idx="1">
                  <c:v>0.18677531847133758</c:v>
                </c:pt>
                <c:pt idx="2">
                  <c:v>0.16187194267515925</c:v>
                </c:pt>
                <c:pt idx="3">
                  <c:v>0.16187194267515925</c:v>
                </c:pt>
                <c:pt idx="4">
                  <c:v>0.27808769639065822</c:v>
                </c:pt>
                <c:pt idx="5">
                  <c:v>0.27808769639065822</c:v>
                </c:pt>
                <c:pt idx="6">
                  <c:v>0.39015288747346066</c:v>
                </c:pt>
                <c:pt idx="7">
                  <c:v>0.39015288747346066</c:v>
                </c:pt>
                <c:pt idx="8">
                  <c:v>0.21582925690021232</c:v>
                </c:pt>
                <c:pt idx="9">
                  <c:v>0.21582925690021232</c:v>
                </c:pt>
                <c:pt idx="10">
                  <c:v>0.1369685668789809</c:v>
                </c:pt>
                <c:pt idx="11">
                  <c:v>0.1369685668789809</c:v>
                </c:pt>
                <c:pt idx="12">
                  <c:v>0.21582925690021232</c:v>
                </c:pt>
                <c:pt idx="13">
                  <c:v>0.21582925690021232</c:v>
                </c:pt>
                <c:pt idx="14">
                  <c:v>0.25733488322717624</c:v>
                </c:pt>
                <c:pt idx="15">
                  <c:v>0.25733488322717624</c:v>
                </c:pt>
                <c:pt idx="16">
                  <c:v>0.35279782377919322</c:v>
                </c:pt>
                <c:pt idx="17">
                  <c:v>0.35279782377919322</c:v>
                </c:pt>
                <c:pt idx="18">
                  <c:v>0.435809076433121</c:v>
                </c:pt>
                <c:pt idx="19">
                  <c:v>0.435809076433121</c:v>
                </c:pt>
                <c:pt idx="20">
                  <c:v>0.49806751592356685</c:v>
                </c:pt>
                <c:pt idx="21">
                  <c:v>0.49806751592356685</c:v>
                </c:pt>
                <c:pt idx="22">
                  <c:v>1.2244159766454354</c:v>
                </c:pt>
                <c:pt idx="23">
                  <c:v>1.2244159766454354</c:v>
                </c:pt>
                <c:pt idx="24">
                  <c:v>2.7808769639065818</c:v>
                </c:pt>
                <c:pt idx="25">
                  <c:v>2.7808769639065818</c:v>
                </c:pt>
                <c:pt idx="26">
                  <c:v>1.7515374309978766</c:v>
                </c:pt>
                <c:pt idx="27">
                  <c:v>1.7515374309978766</c:v>
                </c:pt>
                <c:pt idx="28">
                  <c:v>2.4571330785562635</c:v>
                </c:pt>
                <c:pt idx="29">
                  <c:v>2.4571330785562635</c:v>
                </c:pt>
                <c:pt idx="30">
                  <c:v>1.9134093736730362</c:v>
                </c:pt>
                <c:pt idx="31">
                  <c:v>1.9134093736730362</c:v>
                </c:pt>
                <c:pt idx="32">
                  <c:v>1.2700721656050955</c:v>
                </c:pt>
                <c:pt idx="33">
                  <c:v>1.2700721656050955</c:v>
                </c:pt>
                <c:pt idx="34">
                  <c:v>0.71389677282377917</c:v>
                </c:pt>
                <c:pt idx="35">
                  <c:v>0.71389677282377917</c:v>
                </c:pt>
                <c:pt idx="36">
                  <c:v>0.7180473354564757</c:v>
                </c:pt>
                <c:pt idx="37">
                  <c:v>0.59353045647558389</c:v>
                </c:pt>
                <c:pt idx="38">
                  <c:v>0.59353045647558389</c:v>
                </c:pt>
                <c:pt idx="39">
                  <c:v>0.5976810191082802</c:v>
                </c:pt>
                <c:pt idx="40">
                  <c:v>0.36524951167728242</c:v>
                </c:pt>
                <c:pt idx="41">
                  <c:v>0.36524951167728242</c:v>
                </c:pt>
                <c:pt idx="42">
                  <c:v>0.36524951167728242</c:v>
                </c:pt>
                <c:pt idx="43">
                  <c:v>0.21582925690021232</c:v>
                </c:pt>
                <c:pt idx="44">
                  <c:v>0.21582925690021232</c:v>
                </c:pt>
                <c:pt idx="45">
                  <c:v>0.14942025477707005</c:v>
                </c:pt>
                <c:pt idx="46">
                  <c:v>0.15357081740976647</c:v>
                </c:pt>
                <c:pt idx="47">
                  <c:v>0.14942025477707005</c:v>
                </c:pt>
                <c:pt idx="48">
                  <c:v>0.24073263269639064</c:v>
                </c:pt>
              </c:numCache>
            </c:numRef>
          </c:xVal>
          <c:yVal>
            <c:numRef>
              <c:f>'Verde River'!$B$3:$B$51</c:f>
              <c:numCache>
                <c:formatCode>General</c:formatCode>
                <c:ptCount val="49"/>
                <c:pt idx="0">
                  <c:v>0</c:v>
                </c:pt>
                <c:pt idx="1">
                  <c:v>0</c:v>
                </c:pt>
                <c:pt idx="2">
                  <c:v>5</c:v>
                </c:pt>
                <c:pt idx="3">
                  <c:v>5</c:v>
                </c:pt>
                <c:pt idx="4">
                  <c:v>10</c:v>
                </c:pt>
                <c:pt idx="5">
                  <c:v>10</c:v>
                </c:pt>
                <c:pt idx="6">
                  <c:v>20</c:v>
                </c:pt>
                <c:pt idx="7">
                  <c:v>20</c:v>
                </c:pt>
                <c:pt idx="8">
                  <c:v>25</c:v>
                </c:pt>
                <c:pt idx="9">
                  <c:v>25</c:v>
                </c:pt>
                <c:pt idx="10">
                  <c:v>30</c:v>
                </c:pt>
                <c:pt idx="11">
                  <c:v>30</c:v>
                </c:pt>
                <c:pt idx="12">
                  <c:v>40</c:v>
                </c:pt>
                <c:pt idx="13">
                  <c:v>40</c:v>
                </c:pt>
                <c:pt idx="14">
                  <c:v>50</c:v>
                </c:pt>
                <c:pt idx="15">
                  <c:v>50</c:v>
                </c:pt>
                <c:pt idx="16">
                  <c:v>60</c:v>
                </c:pt>
                <c:pt idx="17">
                  <c:v>60</c:v>
                </c:pt>
                <c:pt idx="18">
                  <c:v>70</c:v>
                </c:pt>
                <c:pt idx="19">
                  <c:v>70</c:v>
                </c:pt>
                <c:pt idx="20">
                  <c:v>80</c:v>
                </c:pt>
                <c:pt idx="21">
                  <c:v>80</c:v>
                </c:pt>
                <c:pt idx="22">
                  <c:v>90</c:v>
                </c:pt>
                <c:pt idx="23">
                  <c:v>90</c:v>
                </c:pt>
                <c:pt idx="24">
                  <c:v>250</c:v>
                </c:pt>
                <c:pt idx="25">
                  <c:v>250</c:v>
                </c:pt>
                <c:pt idx="26">
                  <c:v>300</c:v>
                </c:pt>
                <c:pt idx="27">
                  <c:v>300</c:v>
                </c:pt>
                <c:pt idx="28">
                  <c:v>500</c:v>
                </c:pt>
                <c:pt idx="29">
                  <c:v>500</c:v>
                </c:pt>
                <c:pt idx="30">
                  <c:v>500</c:v>
                </c:pt>
                <c:pt idx="31">
                  <c:v>500</c:v>
                </c:pt>
                <c:pt idx="32">
                  <c:v>600</c:v>
                </c:pt>
                <c:pt idx="33">
                  <c:v>600</c:v>
                </c:pt>
                <c:pt idx="34">
                  <c:v>700</c:v>
                </c:pt>
                <c:pt idx="35">
                  <c:v>700</c:v>
                </c:pt>
                <c:pt idx="36">
                  <c:v>700</c:v>
                </c:pt>
                <c:pt idx="37">
                  <c:v>800</c:v>
                </c:pt>
                <c:pt idx="38">
                  <c:v>800</c:v>
                </c:pt>
                <c:pt idx="39">
                  <c:v>800</c:v>
                </c:pt>
                <c:pt idx="40">
                  <c:v>1000</c:v>
                </c:pt>
                <c:pt idx="41">
                  <c:v>1000</c:v>
                </c:pt>
                <c:pt idx="42">
                  <c:v>1000</c:v>
                </c:pt>
                <c:pt idx="43">
                  <c:v>1600</c:v>
                </c:pt>
                <c:pt idx="44">
                  <c:v>1600</c:v>
                </c:pt>
                <c:pt idx="45">
                  <c:v>2800</c:v>
                </c:pt>
                <c:pt idx="46">
                  <c:v>2800</c:v>
                </c:pt>
                <c:pt idx="47">
                  <c:v>2800</c:v>
                </c:pt>
                <c:pt idx="48">
                  <c:v>5000</c:v>
                </c:pt>
              </c:numCache>
            </c:numRef>
          </c:yVal>
          <c:smooth val="0"/>
          <c:extLst xmlns:c16r2="http://schemas.microsoft.com/office/drawing/2015/06/chart">
            <c:ext xmlns:c16="http://schemas.microsoft.com/office/drawing/2014/chart" uri="{C3380CC4-5D6E-409C-BE32-E72D297353CC}">
              <c16:uniqueId val="{00000000-72E5-4EB8-9E19-CAF5616CBCC4}"/>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'Verde River'!$M$51</c:f>
              <c:numCache>
                <c:formatCode>General</c:formatCode>
                <c:ptCount val="1"/>
                <c:pt idx="0">
                  <c:v>0.24073263269639064</c:v>
                </c:pt>
              </c:numCache>
            </c:numRef>
          </c:xVal>
          <c:yVal>
            <c:numRef>
              <c:f>'Verde River'!$B$51</c:f>
              <c:numCache>
                <c:formatCode>General</c:formatCode>
                <c:ptCount val="1"/>
                <c:pt idx="0">
                  <c:v>5000</c:v>
                </c:pt>
              </c:numCache>
            </c:numRef>
          </c:yVal>
          <c:smooth val="0"/>
          <c:extLst xmlns:c16r2="http://schemas.microsoft.com/office/drawing/2015/06/chart">
            <c:ext xmlns:c16="http://schemas.microsoft.com/office/drawing/2014/chart" uri="{C3380CC4-5D6E-409C-BE32-E72D297353CC}">
              <c16:uniqueId val="{00000001-72E5-4EB8-9E19-CAF5616CBCC4}"/>
            </c:ext>
          </c:extLst>
        </c:ser>
        <c:dLbls>
          <c:showLegendKey val="0"/>
          <c:showVal val="0"/>
          <c:showCatName val="0"/>
          <c:showSerName val="0"/>
          <c:showPercent val="0"/>
          <c:showBubbleSize val="0"/>
        </c:dLbls>
        <c:axId val="158340608"/>
        <c:axId val="158343168"/>
        <c:extLst xmlns:c16r2="http://schemas.microsoft.com/office/drawing/2015/06/chart">
          <c:ext xmlns:c15="http://schemas.microsoft.com/office/drawing/2012/chart" uri="{02D57815-91ED-43cb-92C2-25804820EDAC}">
            <c15:filteredScatterSeries>
              <c15:ser>
                <c:idx val="2"/>
                <c:order val="2"/>
                <c:tx>
                  <c:v>Outliers</c:v>
                </c:tx>
                <c:spPr>
                  <a:ln w="25400" cap="rnd">
                    <a:noFill/>
                    <a:round/>
                  </a:ln>
                  <a:effectLst/>
                </c:spPr>
                <c:marker>
                  <c:symbol val="circle"/>
                  <c:size val="8"/>
                  <c:spPr>
                    <a:solidFill>
                      <a:schemeClr val="accent3"/>
                    </a:solidFill>
                    <a:ln w="9525">
                      <a:solidFill>
                        <a:schemeClr val="tx1"/>
                      </a:solidFill>
                    </a:ln>
                    <a:effectLst/>
                  </c:spPr>
                </c:marker>
                <c:xVal>
                  <c:numRef>
                    <c:extLst>
                      <c:ext uri="{02D57815-91ED-43cb-92C2-25804820EDAC}">
                        <c15:formulaRef>
                          <c15:sqref>'Verde River'!$M$3:$M$26</c15:sqref>
                        </c15:formulaRef>
                      </c:ext>
                    </c:extLst>
                    <c:numCache>
                      <c:formatCode>General</c:formatCode>
                      <c:ptCount val="24"/>
                      <c:pt idx="0">
                        <c:v>0.18677531847133758</c:v>
                      </c:pt>
                      <c:pt idx="1">
                        <c:v>0.18677531847133758</c:v>
                      </c:pt>
                      <c:pt idx="2">
                        <c:v>0.16187194267515925</c:v>
                      </c:pt>
                      <c:pt idx="3">
                        <c:v>0.16187194267515925</c:v>
                      </c:pt>
                      <c:pt idx="4">
                        <c:v>0.27808769639065822</c:v>
                      </c:pt>
                      <c:pt idx="5">
                        <c:v>0.27808769639065822</c:v>
                      </c:pt>
                      <c:pt idx="6">
                        <c:v>0.39015288747346066</c:v>
                      </c:pt>
                      <c:pt idx="7">
                        <c:v>0.39015288747346066</c:v>
                      </c:pt>
                      <c:pt idx="8">
                        <c:v>0.21582925690021232</c:v>
                      </c:pt>
                      <c:pt idx="9">
                        <c:v>0.21582925690021232</c:v>
                      </c:pt>
                      <c:pt idx="10">
                        <c:v>0.1369685668789809</c:v>
                      </c:pt>
                      <c:pt idx="11">
                        <c:v>0.1369685668789809</c:v>
                      </c:pt>
                      <c:pt idx="12">
                        <c:v>0.21582925690021232</c:v>
                      </c:pt>
                      <c:pt idx="13">
                        <c:v>0.21582925690021232</c:v>
                      </c:pt>
                      <c:pt idx="14">
                        <c:v>0.25733488322717624</c:v>
                      </c:pt>
                      <c:pt idx="15">
                        <c:v>0.25733488322717624</c:v>
                      </c:pt>
                      <c:pt idx="16">
                        <c:v>0.35279782377919322</c:v>
                      </c:pt>
                      <c:pt idx="17">
                        <c:v>0.35279782377919322</c:v>
                      </c:pt>
                      <c:pt idx="18">
                        <c:v>0.435809076433121</c:v>
                      </c:pt>
                      <c:pt idx="19">
                        <c:v>0.435809076433121</c:v>
                      </c:pt>
                      <c:pt idx="20">
                        <c:v>0.49806751592356685</c:v>
                      </c:pt>
                      <c:pt idx="21">
                        <c:v>0.49806751592356685</c:v>
                      </c:pt>
                      <c:pt idx="22">
                        <c:v>1.2244159766454354</c:v>
                      </c:pt>
                      <c:pt idx="23">
                        <c:v>1.2244159766454354</c:v>
                      </c:pt>
                    </c:numCache>
                  </c:numRef>
                </c:xVal>
                <c:yVal>
                  <c:numRef>
                    <c:extLst>
                      <c:ext uri="{02D57815-91ED-43cb-92C2-25804820EDAC}">
                        <c15:formulaRef>
                          <c15:sqref>'Verde River'!$B$3:$B$26</c15:sqref>
                        </c15:formulaRef>
                      </c:ext>
                    </c:extLst>
                    <c:numCache>
                      <c:formatCode>General</c:formatCode>
                      <c:ptCount val="24"/>
                      <c:pt idx="0">
                        <c:v>0</c:v>
                      </c:pt>
                      <c:pt idx="1">
                        <c:v>0</c:v>
                      </c:pt>
                      <c:pt idx="2">
                        <c:v>5</c:v>
                      </c:pt>
                      <c:pt idx="3">
                        <c:v>5</c:v>
                      </c:pt>
                      <c:pt idx="4">
                        <c:v>10</c:v>
                      </c:pt>
                      <c:pt idx="5">
                        <c:v>10</c:v>
                      </c:pt>
                      <c:pt idx="6">
                        <c:v>20</c:v>
                      </c:pt>
                      <c:pt idx="7">
                        <c:v>20</c:v>
                      </c:pt>
                      <c:pt idx="8">
                        <c:v>25</c:v>
                      </c:pt>
                      <c:pt idx="9">
                        <c:v>25</c:v>
                      </c:pt>
                      <c:pt idx="10">
                        <c:v>30</c:v>
                      </c:pt>
                      <c:pt idx="11">
                        <c:v>30</c:v>
                      </c:pt>
                      <c:pt idx="12">
                        <c:v>40</c:v>
                      </c:pt>
                      <c:pt idx="13">
                        <c:v>40</c:v>
                      </c:pt>
                      <c:pt idx="14">
                        <c:v>50</c:v>
                      </c:pt>
                      <c:pt idx="15">
                        <c:v>50</c:v>
                      </c:pt>
                      <c:pt idx="16">
                        <c:v>60</c:v>
                      </c:pt>
                      <c:pt idx="17">
                        <c:v>60</c:v>
                      </c:pt>
                      <c:pt idx="18">
                        <c:v>70</c:v>
                      </c:pt>
                      <c:pt idx="19">
                        <c:v>70</c:v>
                      </c:pt>
                      <c:pt idx="20">
                        <c:v>80</c:v>
                      </c:pt>
                      <c:pt idx="21">
                        <c:v>80</c:v>
                      </c:pt>
                      <c:pt idx="22">
                        <c:v>90</c:v>
                      </c:pt>
                      <c:pt idx="23">
                        <c:v>90</c:v>
                      </c:pt>
                    </c:numCache>
                  </c:numRef>
                </c:yVal>
                <c:smooth val="0"/>
                <c:extLst>
                  <c:ext xmlns:c16="http://schemas.microsoft.com/office/drawing/2014/chart" uri="{C3380CC4-5D6E-409C-BE32-E72D297353CC}">
                    <c16:uniqueId val="{00000002-72E5-4EB8-9E19-CAF5616CBCC4}"/>
                  </c:ext>
                </c:extLst>
              </c15:ser>
            </c15:filteredScatterSeries>
          </c:ext>
        </c:extLst>
      </c:scatterChart>
      <c:valAx>
        <c:axId val="158340608"/>
        <c:scaling>
          <c:orientation val="minMax"/>
        </c:scaling>
        <c:delete val="0"/>
        <c:axPos val="t"/>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K (wt%)</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8343168"/>
        <c:crossesAt val="-1"/>
        <c:crossBetween val="midCat"/>
      </c:valAx>
      <c:valAx>
        <c:axId val="158343168"/>
        <c:scaling>
          <c:orientation val="maxMin"/>
          <c:min val="0"/>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Depth (cm)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8340608"/>
        <c:crosses val="autoZero"/>
        <c:crossBetween val="midCat"/>
        <c:majorUnit val="1000"/>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Negative minimum</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tx1"/>
              </a:solidFill>
              <a:ln w="9525">
                <a:noFill/>
              </a:ln>
              <a:effectLst/>
            </c:spPr>
          </c:marker>
          <c:trendline>
            <c:spPr>
              <a:ln w="19050" cap="rnd">
                <a:solidFill>
                  <a:schemeClr val="tx1"/>
                </a:solidFill>
                <a:prstDash val="sysDot"/>
              </a:ln>
              <a:effectLst/>
            </c:spPr>
            <c:trendlineType val="linear"/>
            <c:dispRSqr val="1"/>
            <c:dispEq val="0"/>
            <c:trendlineLbl>
              <c:layout>
                <c:manualLayout>
                  <c:x val="-0.13557081130875354"/>
                  <c:y val="0.3028493291485417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strRef>
              <c:f>('[1]Paleolatitude correlation'!$B$3,'[1]Paleolatitude correlation'!$B$9,'[1]Paleolatitude correlation'!$B$10,'[1]Paleolatitude correlation'!$B$11,'[1]Paleolatitude correlation'!$B$12,'[1]Paleolatitude correlation'!$B$13,'[1]Paleolatitude correlation'!$B$14,'[1]Paleolatitude correlation'!$B$15,'[1]Paleolatitude correlation'!$B$17,'[1]Paleolatitude correlation'!$B$19,'[1]Paleolatitude correlation'!$B$20,'[1]Paleolatitude correlation'!$B$21,'[1]Paleolatitude correlation'!$B$21,'[1]Paleolatitude correlation'!$B$22,'[1]Paleolatitude correlation'!$B$27,'[1]Paleolatitude correlation'!$B$28,'[1]Paleolatitude correlation'!$B$29,'[1]Paleolatitude correlation'!$B$30,'[1]Paleolatitude correlation'!$B$31,'[1]Paleolatitude correlation'!$B$32,'[1]Paleolatitude correlation'!$B$33,'[1]Paleolatitude correlation'!$B$34)</c:f>
              <c:strCache>
                <c:ptCount val="22"/>
                <c:pt idx="0">
                  <c:v>30</c:v>
                </c:pt>
                <c:pt idx="1">
                  <c:v>14</c:v>
                </c:pt>
                <c:pt idx="2">
                  <c:v>14</c:v>
                </c:pt>
                <c:pt idx="3">
                  <c:v>14</c:v>
                </c:pt>
                <c:pt idx="4">
                  <c:v>14</c:v>
                </c:pt>
                <c:pt idx="5">
                  <c:v>14</c:v>
                </c:pt>
                <c:pt idx="6">
                  <c:v>1</c:v>
                </c:pt>
                <c:pt idx="7">
                  <c:v>NA</c:v>
                </c:pt>
                <c:pt idx="8">
                  <c:v>NA</c:v>
                </c:pt>
                <c:pt idx="9">
                  <c:v>26</c:v>
                </c:pt>
                <c:pt idx="10">
                  <c:v>26</c:v>
                </c:pt>
                <c:pt idx="11">
                  <c:v>26</c:v>
                </c:pt>
                <c:pt idx="12">
                  <c:v>26</c:v>
                </c:pt>
                <c:pt idx="13">
                  <c:v>NA</c:v>
                </c:pt>
                <c:pt idx="14">
                  <c:v>50</c:v>
                </c:pt>
                <c:pt idx="15">
                  <c:v>8</c:v>
                </c:pt>
                <c:pt idx="16">
                  <c:v>48</c:v>
                </c:pt>
                <c:pt idx="17">
                  <c:v>45</c:v>
                </c:pt>
                <c:pt idx="18">
                  <c:v>46</c:v>
                </c:pt>
                <c:pt idx="19">
                  <c:v>46</c:v>
                </c:pt>
                <c:pt idx="20">
                  <c:v>46</c:v>
                </c:pt>
              </c:strCache>
            </c:strRef>
          </c:xVal>
          <c:yVal>
            <c:numRef>
              <c:f>('[1]Paleolatitude correlation'!$D$3,'[1]Paleolatitude correlation'!$D$9,'[1]Paleolatitude correlation'!$D$10,'[1]Paleolatitude correlation'!$D$11,'[1]Paleolatitude correlation'!$D$12,'[1]Paleolatitude correlation'!$D$13,'[1]Paleolatitude correlation'!$D$14,'[1]Paleolatitude correlation'!$D$15,'[1]Paleolatitude correlation'!$D$17,'[1]Paleolatitude correlation'!$D$19,'[1]Paleolatitude correlation'!$D$20,'[1]Paleolatitude correlation'!$D$21,'[1]Paleolatitude correlation'!$D$21,'[1]Paleolatitude correlation'!$D$22,'[1]Paleolatitude correlation'!$D$27,'[1]Paleolatitude correlation'!$D$28,'[1]Paleolatitude correlation'!$D$29,'[1]Paleolatitude correlation'!$D$30,'[1]Paleolatitude correlation'!$D$31,'[1]Paleolatitude correlation'!$D$32,'[1]Paleolatitude correlation'!$D$33,'[1]Paleolatitude correlation'!$D$34)</c:f>
              <c:numCache>
                <c:formatCode>General</c:formatCode>
                <c:ptCount val="22"/>
                <c:pt idx="0">
                  <c:v>-0.43372145202679124</c:v>
                </c:pt>
                <c:pt idx="1">
                  <c:v>-0.42062193126022929</c:v>
                </c:pt>
                <c:pt idx="2">
                  <c:v>-0.38973063973063959</c:v>
                </c:pt>
                <c:pt idx="3">
                  <c:v>-0.57543780871127082</c:v>
                </c:pt>
                <c:pt idx="4">
                  <c:v>-0.11299043017178956</c:v>
                </c:pt>
                <c:pt idx="5">
                  <c:v>-0.33174757746523831</c:v>
                </c:pt>
                <c:pt idx="6">
                  <c:v>-3.1373618052400354E-2</c:v>
                </c:pt>
                <c:pt idx="7">
                  <c:v>7.359924026590714E-2</c:v>
                </c:pt>
                <c:pt idx="8">
                  <c:v>-0.52723464547526655</c:v>
                </c:pt>
                <c:pt idx="9">
                  <c:v>-4.6623781676413234E-2</c:v>
                </c:pt>
                <c:pt idx="10">
                  <c:v>-0.1279447637160458</c:v>
                </c:pt>
                <c:pt idx="11">
                  <c:v>-0.53846153846153832</c:v>
                </c:pt>
                <c:pt idx="12">
                  <c:v>-0.53846153846153832</c:v>
                </c:pt>
                <c:pt idx="13">
                  <c:v>-0.12841809217941369</c:v>
                </c:pt>
                <c:pt idx="14">
                  <c:v>-0.11667777666542145</c:v>
                </c:pt>
                <c:pt idx="15">
                  <c:v>-0.59637613245860677</c:v>
                </c:pt>
                <c:pt idx="16">
                  <c:v>-0.26009303474066958</c:v>
                </c:pt>
                <c:pt idx="17">
                  <c:v>-8.8292309255625923E-2</c:v>
                </c:pt>
                <c:pt idx="18">
                  <c:v>-7.6005664027442466E-2</c:v>
                </c:pt>
                <c:pt idx="19">
                  <c:v>-3.1619464999463665E-2</c:v>
                </c:pt>
                <c:pt idx="20">
                  <c:v>-1.4590320084138853E-2</c:v>
                </c:pt>
              </c:numCache>
            </c:numRef>
          </c:yVal>
          <c:smooth val="0"/>
          <c:extLst xmlns:c16r2="http://schemas.microsoft.com/office/drawing/2015/06/chart">
            <c:ext xmlns:c16="http://schemas.microsoft.com/office/drawing/2014/chart" uri="{C3380CC4-5D6E-409C-BE32-E72D297353CC}">
              <c16:uniqueId val="{00000001-7B60-4D1C-BF12-7FB872ED4597}"/>
            </c:ext>
          </c:extLst>
        </c:ser>
        <c:dLbls>
          <c:showLegendKey val="0"/>
          <c:showVal val="0"/>
          <c:showCatName val="0"/>
          <c:showSerName val="0"/>
          <c:showPercent val="0"/>
          <c:showBubbleSize val="0"/>
        </c:dLbls>
        <c:axId val="152414464"/>
        <c:axId val="152420736"/>
      </c:scatterChart>
      <c:valAx>
        <c:axId val="1524144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Paleolatitude (degrees)</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420736"/>
        <c:crossesAt val="-1"/>
        <c:crossBetween val="midCat"/>
      </c:valAx>
      <c:valAx>
        <c:axId val="152420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000" b="0" i="0" baseline="0">
                    <a:effectLst/>
                  </a:rPr>
                  <a:t>τ</a:t>
                </a:r>
                <a:r>
                  <a:rPr lang="en-US" sz="1000" b="0" i="0" baseline="-25000">
                    <a:effectLst/>
                  </a:rPr>
                  <a:t>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414464"/>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Boulder Creek</a:t>
            </a:r>
          </a:p>
        </c:rich>
      </c:tx>
      <c:overlay val="0"/>
      <c:spPr>
        <a:noFill/>
        <a:ln>
          <a:noFill/>
        </a:ln>
        <a:effectLst/>
      </c:spPr>
    </c:title>
    <c:autoTitleDeleted val="0"/>
    <c:plotArea>
      <c:layout/>
      <c:scatterChart>
        <c:scatterStyle val="lineMarker"/>
        <c:varyColors val="0"/>
        <c:ser>
          <c:idx val="0"/>
          <c:order val="0"/>
          <c:tx>
            <c:v>Total 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accent1"/>
                </a:solidFill>
                <a:prstDash val="sysDot"/>
              </a:ln>
              <a:effectLst/>
            </c:spPr>
            <c:trendlineType val="linear"/>
            <c:dispRSqr val="1"/>
            <c:dispEq val="0"/>
            <c:trendlineLbl>
              <c:layout>
                <c:manualLayout>
                  <c:x val="-0.2841000856292224"/>
                  <c:y val="9.7102659906432437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chemeClr val="accent1">
                          <a:lumMod val="50000"/>
                        </a:schemeClr>
                      </a:solidFill>
                      <a:latin typeface="Arial" panose="020B0604020202020204" pitchFamily="34" charset="0"/>
                      <a:ea typeface="+mn-ea"/>
                      <a:cs typeface="Arial" panose="020B0604020202020204" pitchFamily="34" charset="0"/>
                    </a:defRPr>
                  </a:pPr>
                  <a:endParaRPr lang="en-US"/>
                </a:p>
              </c:txPr>
            </c:trendlineLbl>
          </c:trendline>
          <c:xVal>
            <c:numRef>
              <c:f>'Boulder Creek'!$Q$3:$Q$16</c:f>
              <c:numCache>
                <c:formatCode>General</c:formatCode>
                <c:ptCount val="14"/>
                <c:pt idx="0">
                  <c:v>166</c:v>
                </c:pt>
                <c:pt idx="1">
                  <c:v>180</c:v>
                </c:pt>
                <c:pt idx="2">
                  <c:v>156</c:v>
                </c:pt>
                <c:pt idx="3">
                  <c:v>208</c:v>
                </c:pt>
                <c:pt idx="4">
                  <c:v>215</c:v>
                </c:pt>
                <c:pt idx="5">
                  <c:v>206</c:v>
                </c:pt>
                <c:pt idx="6">
                  <c:v>242</c:v>
                </c:pt>
                <c:pt idx="7">
                  <c:v>176</c:v>
                </c:pt>
                <c:pt idx="8">
                  <c:v>218</c:v>
                </c:pt>
                <c:pt idx="9">
                  <c:v>172</c:v>
                </c:pt>
                <c:pt idx="10">
                  <c:v>160</c:v>
                </c:pt>
                <c:pt idx="11">
                  <c:v>119</c:v>
                </c:pt>
                <c:pt idx="12">
                  <c:v>145</c:v>
                </c:pt>
                <c:pt idx="13">
                  <c:v>108.5</c:v>
                </c:pt>
              </c:numCache>
            </c:numRef>
          </c:xVal>
          <c:yVal>
            <c:numRef>
              <c:f>'Boulder Creek'!$R$3:$R$16</c:f>
              <c:numCache>
                <c:formatCode>General</c:formatCode>
                <c:ptCount val="14"/>
                <c:pt idx="0">
                  <c:v>16.7</c:v>
                </c:pt>
                <c:pt idx="1">
                  <c:v>12.5</c:v>
                </c:pt>
                <c:pt idx="2">
                  <c:v>19.899999999999999</c:v>
                </c:pt>
                <c:pt idx="3">
                  <c:v>14.2</c:v>
                </c:pt>
                <c:pt idx="4">
                  <c:v>25.6</c:v>
                </c:pt>
                <c:pt idx="5">
                  <c:v>10.6</c:v>
                </c:pt>
                <c:pt idx="6">
                  <c:v>15.7</c:v>
                </c:pt>
                <c:pt idx="7">
                  <c:v>10.8</c:v>
                </c:pt>
                <c:pt idx="8">
                  <c:v>11.5</c:v>
                </c:pt>
                <c:pt idx="9">
                  <c:v>9.1999999999999993</c:v>
                </c:pt>
                <c:pt idx="10">
                  <c:v>8.1999999999999993</c:v>
                </c:pt>
                <c:pt idx="11">
                  <c:v>8.5</c:v>
                </c:pt>
                <c:pt idx="12">
                  <c:v>9.1</c:v>
                </c:pt>
                <c:pt idx="13">
                  <c:v>5.0999999999999996</c:v>
                </c:pt>
              </c:numCache>
            </c:numRef>
          </c:yVal>
          <c:smooth val="0"/>
          <c:extLst xmlns:c16r2="http://schemas.microsoft.com/office/drawing/2015/06/chart">
            <c:ext xmlns:c16="http://schemas.microsoft.com/office/drawing/2014/chart" uri="{C3380CC4-5D6E-409C-BE32-E72D297353CC}">
              <c16:uniqueId val="{00000001-7D13-4AC0-AF99-5CCC52330BB7}"/>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'Boulder Creek'!$Q$16</c:f>
              <c:numCache>
                <c:formatCode>General</c:formatCode>
                <c:ptCount val="1"/>
                <c:pt idx="0">
                  <c:v>108.5</c:v>
                </c:pt>
              </c:numCache>
            </c:numRef>
          </c:xVal>
          <c:yVal>
            <c:numRef>
              <c:f>'Boulder Creek'!$R$16</c:f>
              <c:numCache>
                <c:formatCode>General</c:formatCode>
                <c:ptCount val="1"/>
                <c:pt idx="0">
                  <c:v>5.0999999999999996</c:v>
                </c:pt>
              </c:numCache>
            </c:numRef>
          </c:yVal>
          <c:smooth val="0"/>
          <c:extLst xmlns:c16r2="http://schemas.microsoft.com/office/drawing/2015/06/chart">
            <c:ext xmlns:c16="http://schemas.microsoft.com/office/drawing/2014/chart" uri="{C3380CC4-5D6E-409C-BE32-E72D297353CC}">
              <c16:uniqueId val="{00000002-7D13-4AC0-AF99-5CCC52330BB7}"/>
            </c:ext>
          </c:extLst>
        </c:ser>
        <c:ser>
          <c:idx val="2"/>
          <c:order val="2"/>
          <c:tx>
            <c:v>Outliers removed</c:v>
          </c:tx>
          <c:spPr>
            <a:ln w="25400" cap="rnd">
              <a:noFill/>
              <a:round/>
            </a:ln>
            <a:effectLst/>
          </c:spPr>
          <c:marker>
            <c:symbol val="circle"/>
            <c:size val="8"/>
            <c:spPr>
              <a:solidFill>
                <a:schemeClr val="accent1">
                  <a:lumMod val="60000"/>
                  <a:lumOff val="40000"/>
                </a:schemeClr>
              </a:solidFill>
              <a:ln w="9525">
                <a:solidFill>
                  <a:schemeClr val="tx1"/>
                </a:solidFill>
              </a:ln>
              <a:effectLst/>
            </c:spPr>
          </c:marker>
          <c:trendline>
            <c:spPr>
              <a:ln w="19050" cap="rnd">
                <a:solidFill>
                  <a:schemeClr val="accent1">
                    <a:lumMod val="60000"/>
                    <a:lumOff val="40000"/>
                  </a:schemeClr>
                </a:solidFill>
                <a:prstDash val="sysDot"/>
              </a:ln>
              <a:effectLst/>
            </c:spPr>
            <c:trendlineType val="linear"/>
            <c:dispRSqr val="1"/>
            <c:dispEq val="0"/>
            <c:trendlineLbl>
              <c:layout>
                <c:manualLayout>
                  <c:x val="0.10934340510836763"/>
                  <c:y val="0.15652343399243737"/>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trendlineLbl>
          </c:trendline>
          <c:xVal>
            <c:numRef>
              <c:f>('Boulder Creek'!$Q$4,'Boulder Creek'!$Q$6,'Boulder Creek'!$Q$8:$Q$16)</c:f>
              <c:numCache>
                <c:formatCode>General</c:formatCode>
                <c:ptCount val="11"/>
                <c:pt idx="0">
                  <c:v>180</c:v>
                </c:pt>
                <c:pt idx="1">
                  <c:v>208</c:v>
                </c:pt>
                <c:pt idx="2">
                  <c:v>206</c:v>
                </c:pt>
                <c:pt idx="3">
                  <c:v>242</c:v>
                </c:pt>
                <c:pt idx="4">
                  <c:v>176</c:v>
                </c:pt>
                <c:pt idx="5">
                  <c:v>218</c:v>
                </c:pt>
                <c:pt idx="6">
                  <c:v>172</c:v>
                </c:pt>
                <c:pt idx="7">
                  <c:v>160</c:v>
                </c:pt>
                <c:pt idx="8">
                  <c:v>119</c:v>
                </c:pt>
                <c:pt idx="9">
                  <c:v>145</c:v>
                </c:pt>
                <c:pt idx="10">
                  <c:v>108.5</c:v>
                </c:pt>
              </c:numCache>
            </c:numRef>
          </c:xVal>
          <c:yVal>
            <c:numRef>
              <c:f>('Boulder Creek'!$R$4,'Boulder Creek'!$R$6,'Boulder Creek'!$R$8:$R$16)</c:f>
              <c:numCache>
                <c:formatCode>General</c:formatCode>
                <c:ptCount val="11"/>
                <c:pt idx="0">
                  <c:v>12.5</c:v>
                </c:pt>
                <c:pt idx="1">
                  <c:v>14.2</c:v>
                </c:pt>
                <c:pt idx="2">
                  <c:v>10.6</c:v>
                </c:pt>
                <c:pt idx="3">
                  <c:v>15.7</c:v>
                </c:pt>
                <c:pt idx="4">
                  <c:v>10.8</c:v>
                </c:pt>
                <c:pt idx="5">
                  <c:v>11.5</c:v>
                </c:pt>
                <c:pt idx="6">
                  <c:v>9.1999999999999993</c:v>
                </c:pt>
                <c:pt idx="7">
                  <c:v>8.1999999999999993</c:v>
                </c:pt>
                <c:pt idx="8">
                  <c:v>8.5</c:v>
                </c:pt>
                <c:pt idx="9">
                  <c:v>9.1</c:v>
                </c:pt>
                <c:pt idx="10">
                  <c:v>5.0999999999999996</c:v>
                </c:pt>
              </c:numCache>
            </c:numRef>
          </c:yVal>
          <c:smooth val="0"/>
          <c:extLst xmlns:c16r2="http://schemas.microsoft.com/office/drawing/2015/06/chart">
            <c:ext xmlns:c16="http://schemas.microsoft.com/office/drawing/2014/chart" uri="{C3380CC4-5D6E-409C-BE32-E72D297353CC}">
              <c16:uniqueId val="{00000005-7D13-4AC0-AF99-5CCC52330BB7}"/>
            </c:ext>
          </c:extLst>
        </c:ser>
        <c:dLbls>
          <c:showLegendKey val="0"/>
          <c:showVal val="0"/>
          <c:showCatName val="0"/>
          <c:showSerName val="0"/>
          <c:showPercent val="0"/>
          <c:showBubbleSize val="0"/>
        </c:dLbls>
        <c:axId val="157939200"/>
        <c:axId val="157941120"/>
        <c:extLst xmlns:c16r2="http://schemas.microsoft.com/office/drawing/2015/06/chart"/>
      </c:scatterChart>
      <c:valAx>
        <c:axId val="157939200"/>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Zr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941120"/>
        <c:crossesAt val="-1"/>
        <c:crossBetween val="midCat"/>
      </c:valAx>
      <c:valAx>
        <c:axId val="157941120"/>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939200"/>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Boulder Creek</a:t>
            </a:r>
          </a:p>
        </c:rich>
      </c:tx>
      <c:overlay val="0"/>
      <c:spPr>
        <a:noFill/>
        <a:ln>
          <a:noFill/>
        </a:ln>
        <a:effectLst/>
      </c:spPr>
    </c:title>
    <c:autoTitleDeleted val="0"/>
    <c:plotArea>
      <c:layout/>
      <c:scatterChart>
        <c:scatterStyle val="lineMarker"/>
        <c:varyColors val="0"/>
        <c:ser>
          <c:idx val="0"/>
          <c:order val="0"/>
          <c:tx>
            <c:v>Total profile</c:v>
          </c:tx>
          <c:spPr>
            <a:ln w="25400" cap="rnd">
              <a:noFill/>
              <a:round/>
            </a:ln>
            <a:effectLst/>
          </c:spPr>
          <c:marker>
            <c:symbol val="circle"/>
            <c:size val="8"/>
            <c:spPr>
              <a:solidFill>
                <a:schemeClr val="accent1"/>
              </a:solidFill>
              <a:ln w="9525">
                <a:solidFill>
                  <a:schemeClr val="tx1"/>
                </a:solidFill>
              </a:ln>
              <a:effectLst/>
            </c:spPr>
          </c:marker>
          <c:dPt>
            <c:idx val="5"/>
            <c:bubble3D val="0"/>
            <c:extLst xmlns:c16r2="http://schemas.microsoft.com/office/drawing/2015/06/chart">
              <c:ext xmlns:c16="http://schemas.microsoft.com/office/drawing/2014/chart" uri="{C3380CC4-5D6E-409C-BE32-E72D297353CC}">
                <c16:uniqueId val="{00000000-8E66-4839-B594-CA31D4270CE4}"/>
              </c:ext>
            </c:extLst>
          </c:dPt>
          <c:trendline>
            <c:spPr>
              <a:ln w="19050" cap="rnd">
                <a:solidFill>
                  <a:schemeClr val="tx1"/>
                </a:solidFill>
                <a:prstDash val="sysDot"/>
              </a:ln>
              <a:effectLst/>
            </c:spPr>
            <c:trendlineType val="linear"/>
            <c:dispRSqr val="1"/>
            <c:dispEq val="0"/>
            <c:trendlineLbl>
              <c:layout>
                <c:manualLayout>
                  <c:x val="-0.2841000856292224"/>
                  <c:y val="9.7102659906432437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'Boulder Creek'!$M$3:$M$16</c:f>
              <c:numCache>
                <c:formatCode>General</c:formatCode>
                <c:ptCount val="14"/>
                <c:pt idx="0">
                  <c:v>2.9801039702760086</c:v>
                </c:pt>
                <c:pt idx="1">
                  <c:v>2.8638882165605097</c:v>
                </c:pt>
                <c:pt idx="2">
                  <c:v>2.710317399150743</c:v>
                </c:pt>
                <c:pt idx="3">
                  <c:v>2.7352207749469217</c:v>
                </c:pt>
                <c:pt idx="4">
                  <c:v>2.7808769639065818</c:v>
                </c:pt>
                <c:pt idx="5">
                  <c:v>2.4446813906581739</c:v>
                </c:pt>
                <c:pt idx="6">
                  <c:v>2.8099309023354566</c:v>
                </c:pt>
                <c:pt idx="7">
                  <c:v>2.9053938428874737</c:v>
                </c:pt>
                <c:pt idx="8">
                  <c:v>2.4903375796178344</c:v>
                </c:pt>
                <c:pt idx="9">
                  <c:v>2.4861870169851383</c:v>
                </c:pt>
                <c:pt idx="10">
                  <c:v>2.3243150743099785</c:v>
                </c:pt>
                <c:pt idx="11">
                  <c:v>2.3907240764331208</c:v>
                </c:pt>
                <c:pt idx="12">
                  <c:v>2.195647632696391</c:v>
                </c:pt>
                <c:pt idx="13">
                  <c:v>1.6955048354564755</c:v>
                </c:pt>
              </c:numCache>
            </c:numRef>
          </c:xVal>
          <c:yVal>
            <c:numRef>
              <c:f>'Boulder Creek'!$S$3:$S$16</c:f>
              <c:numCache>
                <c:formatCode>General</c:formatCode>
                <c:ptCount val="14"/>
                <c:pt idx="0">
                  <c:v>261</c:v>
                </c:pt>
                <c:pt idx="1">
                  <c:v>284</c:v>
                </c:pt>
                <c:pt idx="2">
                  <c:v>276</c:v>
                </c:pt>
                <c:pt idx="3">
                  <c:v>340</c:v>
                </c:pt>
                <c:pt idx="4">
                  <c:v>338</c:v>
                </c:pt>
                <c:pt idx="5">
                  <c:v>274</c:v>
                </c:pt>
                <c:pt idx="6">
                  <c:v>358</c:v>
                </c:pt>
                <c:pt idx="7">
                  <c:v>255</c:v>
                </c:pt>
                <c:pt idx="8">
                  <c:v>273</c:v>
                </c:pt>
                <c:pt idx="9">
                  <c:v>313</c:v>
                </c:pt>
                <c:pt idx="10">
                  <c:v>180</c:v>
                </c:pt>
                <c:pt idx="11">
                  <c:v>195</c:v>
                </c:pt>
                <c:pt idx="12">
                  <c:v>176</c:v>
                </c:pt>
                <c:pt idx="13">
                  <c:v>173.5</c:v>
                </c:pt>
              </c:numCache>
            </c:numRef>
          </c:yVal>
          <c:smooth val="0"/>
          <c:extLst xmlns:c16r2="http://schemas.microsoft.com/office/drawing/2015/06/chart">
            <c:ext xmlns:c16="http://schemas.microsoft.com/office/drawing/2014/chart" uri="{C3380CC4-5D6E-409C-BE32-E72D297353CC}">
              <c16:uniqueId val="{00000001-6915-4BEF-BE08-939057882539}"/>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'Boulder Creek'!$M$16</c:f>
              <c:numCache>
                <c:formatCode>General</c:formatCode>
                <c:ptCount val="1"/>
                <c:pt idx="0">
                  <c:v>1.6955048354564755</c:v>
                </c:pt>
              </c:numCache>
            </c:numRef>
          </c:xVal>
          <c:yVal>
            <c:numRef>
              <c:f>'Boulder Creek'!$S$16</c:f>
              <c:numCache>
                <c:formatCode>General</c:formatCode>
                <c:ptCount val="1"/>
                <c:pt idx="0">
                  <c:v>173.5</c:v>
                </c:pt>
              </c:numCache>
            </c:numRef>
          </c:yVal>
          <c:smooth val="0"/>
          <c:extLst xmlns:c16r2="http://schemas.microsoft.com/office/drawing/2015/06/chart">
            <c:ext xmlns:c16="http://schemas.microsoft.com/office/drawing/2014/chart" uri="{C3380CC4-5D6E-409C-BE32-E72D297353CC}">
              <c16:uniqueId val="{00000002-6915-4BEF-BE08-939057882539}"/>
            </c:ext>
          </c:extLst>
        </c:ser>
        <c:dLbls>
          <c:showLegendKey val="0"/>
          <c:showVal val="0"/>
          <c:showCatName val="0"/>
          <c:showSerName val="0"/>
          <c:showPercent val="0"/>
          <c:showBubbleSize val="0"/>
        </c:dLbls>
        <c:axId val="157964928"/>
        <c:axId val="157979776"/>
        <c:extLst xmlns:c16r2="http://schemas.microsoft.com/office/drawing/2015/06/chart"/>
      </c:scatterChart>
      <c:valAx>
        <c:axId val="157964928"/>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K (wt%)</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979776"/>
        <c:crossesAt val="-1"/>
        <c:crossBetween val="midCat"/>
      </c:valAx>
      <c:valAx>
        <c:axId val="157979776"/>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Rb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964928"/>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Profile</c:v>
          </c:tx>
          <c:spPr>
            <a:ln w="25400" cap="rnd">
              <a:noFill/>
              <a:round/>
            </a:ln>
            <a:effectLst/>
          </c:spPr>
          <c:marker>
            <c:symbol val="circle"/>
            <c:size val="8"/>
            <c:spPr>
              <a:solidFill>
                <a:schemeClr val="accent1"/>
              </a:solidFill>
              <a:ln w="9525">
                <a:solidFill>
                  <a:schemeClr val="tx1"/>
                </a:solidFill>
              </a:ln>
              <a:effectLst/>
            </c:spPr>
          </c:marker>
          <c:dPt>
            <c:idx val="48"/>
            <c:bubble3D val="0"/>
            <c:extLst xmlns:c16r2="http://schemas.microsoft.com/office/drawing/2015/06/chart">
              <c:ext xmlns:c16="http://schemas.microsoft.com/office/drawing/2014/chart" uri="{C3380CC4-5D6E-409C-BE32-E72D297353CC}">
                <c16:uniqueId val="{00000000-970B-4238-9B6D-E44451C4CA58}"/>
              </c:ext>
            </c:extLst>
          </c:dPt>
          <c:xVal>
            <c:numRef>
              <c:f>'Boulder Creek'!$Q$3:$Q$16</c:f>
              <c:numCache>
                <c:formatCode>General</c:formatCode>
                <c:ptCount val="14"/>
                <c:pt idx="0">
                  <c:v>166</c:v>
                </c:pt>
                <c:pt idx="1">
                  <c:v>180</c:v>
                </c:pt>
                <c:pt idx="2">
                  <c:v>156</c:v>
                </c:pt>
                <c:pt idx="3">
                  <c:v>208</c:v>
                </c:pt>
                <c:pt idx="4">
                  <c:v>215</c:v>
                </c:pt>
                <c:pt idx="5">
                  <c:v>206</c:v>
                </c:pt>
                <c:pt idx="6">
                  <c:v>242</c:v>
                </c:pt>
                <c:pt idx="7">
                  <c:v>176</c:v>
                </c:pt>
                <c:pt idx="8">
                  <c:v>218</c:v>
                </c:pt>
                <c:pt idx="9">
                  <c:v>172</c:v>
                </c:pt>
                <c:pt idx="10">
                  <c:v>160</c:v>
                </c:pt>
                <c:pt idx="11">
                  <c:v>119</c:v>
                </c:pt>
                <c:pt idx="12">
                  <c:v>145</c:v>
                </c:pt>
                <c:pt idx="13">
                  <c:v>108.5</c:v>
                </c:pt>
              </c:numCache>
            </c:numRef>
          </c:xVal>
          <c:yVal>
            <c:numRef>
              <c:f>'Boulder Creek'!$B$3:$B$16</c:f>
              <c:numCache>
                <c:formatCode>General</c:formatCode>
                <c:ptCount val="14"/>
                <c:pt idx="0">
                  <c:v>0.02</c:v>
                </c:pt>
                <c:pt idx="1">
                  <c:v>0.15</c:v>
                </c:pt>
                <c:pt idx="2">
                  <c:v>0.4</c:v>
                </c:pt>
                <c:pt idx="3">
                  <c:v>1.83</c:v>
                </c:pt>
                <c:pt idx="4">
                  <c:v>3.05</c:v>
                </c:pt>
                <c:pt idx="5">
                  <c:v>3.9</c:v>
                </c:pt>
                <c:pt idx="6">
                  <c:v>4.57</c:v>
                </c:pt>
                <c:pt idx="7">
                  <c:v>6.7</c:v>
                </c:pt>
                <c:pt idx="8">
                  <c:v>10.4</c:v>
                </c:pt>
                <c:pt idx="9">
                  <c:v>12.2</c:v>
                </c:pt>
                <c:pt idx="10">
                  <c:v>20.6</c:v>
                </c:pt>
                <c:pt idx="11">
                  <c:v>23.8</c:v>
                </c:pt>
                <c:pt idx="12">
                  <c:v>25.6</c:v>
                </c:pt>
              </c:numCache>
            </c:numRef>
          </c:yVal>
          <c:smooth val="0"/>
          <c:extLst xmlns:c16r2="http://schemas.microsoft.com/office/drawing/2015/06/chart">
            <c:ext xmlns:c16="http://schemas.microsoft.com/office/drawing/2014/chart" uri="{C3380CC4-5D6E-409C-BE32-E72D297353CC}">
              <c16:uniqueId val="{00000000-C0BE-4BBF-BBC4-C10D893E6BF5}"/>
            </c:ext>
          </c:extLst>
        </c:ser>
        <c:ser>
          <c:idx val="1"/>
          <c:order val="1"/>
          <c:tx>
            <c:v>Outliers</c:v>
          </c:tx>
          <c:spPr>
            <a:ln w="25400" cap="rnd">
              <a:noFill/>
              <a:round/>
            </a:ln>
            <a:effectLst/>
          </c:spPr>
          <c:marker>
            <c:symbol val="circle"/>
            <c:size val="8"/>
            <c:spPr>
              <a:solidFill>
                <a:schemeClr val="bg1">
                  <a:lumMod val="75000"/>
                </a:schemeClr>
              </a:solidFill>
              <a:ln w="9525">
                <a:solidFill>
                  <a:schemeClr val="tx1"/>
                </a:solidFill>
              </a:ln>
              <a:effectLst/>
            </c:spPr>
          </c:marker>
          <c:xVal>
            <c:numRef>
              <c:f>('Boulder Creek'!$Q$3,'Boulder Creek'!$Q$7,'Boulder Creek'!$Q$5)</c:f>
              <c:numCache>
                <c:formatCode>General</c:formatCode>
                <c:ptCount val="3"/>
                <c:pt idx="0">
                  <c:v>166</c:v>
                </c:pt>
                <c:pt idx="1">
                  <c:v>215</c:v>
                </c:pt>
                <c:pt idx="2">
                  <c:v>156</c:v>
                </c:pt>
              </c:numCache>
            </c:numRef>
          </c:xVal>
          <c:yVal>
            <c:numRef>
              <c:f>('Boulder Creek'!$B$3,'Boulder Creek'!$B$7,'Boulder Creek'!$B$5)</c:f>
              <c:numCache>
                <c:formatCode>General</c:formatCode>
                <c:ptCount val="3"/>
                <c:pt idx="0">
                  <c:v>0.02</c:v>
                </c:pt>
                <c:pt idx="1">
                  <c:v>3.05</c:v>
                </c:pt>
                <c:pt idx="2">
                  <c:v>0.4</c:v>
                </c:pt>
              </c:numCache>
            </c:numRef>
          </c:yVal>
          <c:smooth val="0"/>
          <c:extLst xmlns:c16r2="http://schemas.microsoft.com/office/drawing/2015/06/chart">
            <c:ext xmlns:c16="http://schemas.microsoft.com/office/drawing/2014/chart" uri="{C3380CC4-5D6E-409C-BE32-E72D297353CC}">
              <c16:uniqueId val="{00000005-C0BE-4BBF-BBC4-C10D893E6BF5}"/>
            </c:ext>
          </c:extLst>
        </c:ser>
        <c:dLbls>
          <c:showLegendKey val="0"/>
          <c:showVal val="0"/>
          <c:showCatName val="0"/>
          <c:showSerName val="0"/>
          <c:showPercent val="0"/>
          <c:showBubbleSize val="0"/>
        </c:dLbls>
        <c:axId val="157994368"/>
        <c:axId val="158009216"/>
      </c:scatterChart>
      <c:valAx>
        <c:axId val="157994368"/>
        <c:scaling>
          <c:orientation val="minMax"/>
        </c:scaling>
        <c:delete val="0"/>
        <c:axPos val="t"/>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Zr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8009216"/>
        <c:crossesAt val="-1"/>
        <c:crossBetween val="midCat"/>
      </c:valAx>
      <c:valAx>
        <c:axId val="158009216"/>
        <c:scaling>
          <c:orientation val="maxMin"/>
          <c:max val="30"/>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Depth (cm)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994368"/>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Profile</c:v>
          </c:tx>
          <c:spPr>
            <a:ln w="25400" cap="rnd">
              <a:noFill/>
              <a:round/>
            </a:ln>
            <a:effectLst/>
          </c:spPr>
          <c:marker>
            <c:symbol val="circle"/>
            <c:size val="8"/>
            <c:spPr>
              <a:solidFill>
                <a:schemeClr val="accent1"/>
              </a:solidFill>
              <a:ln w="9525">
                <a:solidFill>
                  <a:schemeClr val="tx1"/>
                </a:solidFill>
              </a:ln>
              <a:effectLst/>
            </c:spPr>
          </c:marker>
          <c:dPt>
            <c:idx val="48"/>
            <c:bubble3D val="0"/>
            <c:extLst xmlns:c16r2="http://schemas.microsoft.com/office/drawing/2015/06/chart">
              <c:ext xmlns:c16="http://schemas.microsoft.com/office/drawing/2014/chart" uri="{C3380CC4-5D6E-409C-BE32-E72D297353CC}">
                <c16:uniqueId val="{00000000-1967-4DE9-8C8D-0E36E7E12D70}"/>
              </c:ext>
            </c:extLst>
          </c:dPt>
          <c:xVal>
            <c:numRef>
              <c:f>'Boulder Creek'!$R$3:$R$16</c:f>
              <c:numCache>
                <c:formatCode>General</c:formatCode>
                <c:ptCount val="14"/>
                <c:pt idx="0">
                  <c:v>16.7</c:v>
                </c:pt>
                <c:pt idx="1">
                  <c:v>12.5</c:v>
                </c:pt>
                <c:pt idx="2">
                  <c:v>19.899999999999999</c:v>
                </c:pt>
                <c:pt idx="3">
                  <c:v>14.2</c:v>
                </c:pt>
                <c:pt idx="4">
                  <c:v>25.6</c:v>
                </c:pt>
                <c:pt idx="5">
                  <c:v>10.6</c:v>
                </c:pt>
                <c:pt idx="6">
                  <c:v>15.7</c:v>
                </c:pt>
                <c:pt idx="7">
                  <c:v>10.8</c:v>
                </c:pt>
                <c:pt idx="8">
                  <c:v>11.5</c:v>
                </c:pt>
                <c:pt idx="9">
                  <c:v>9.1999999999999993</c:v>
                </c:pt>
                <c:pt idx="10">
                  <c:v>8.1999999999999993</c:v>
                </c:pt>
                <c:pt idx="11">
                  <c:v>8.5</c:v>
                </c:pt>
                <c:pt idx="12">
                  <c:v>9.1</c:v>
                </c:pt>
                <c:pt idx="13">
                  <c:v>5.0999999999999996</c:v>
                </c:pt>
              </c:numCache>
            </c:numRef>
          </c:xVal>
          <c:yVal>
            <c:numRef>
              <c:f>'Boulder Creek'!$B$3:$B$16</c:f>
              <c:numCache>
                <c:formatCode>General</c:formatCode>
                <c:ptCount val="14"/>
                <c:pt idx="0">
                  <c:v>0.02</c:v>
                </c:pt>
                <c:pt idx="1">
                  <c:v>0.15</c:v>
                </c:pt>
                <c:pt idx="2">
                  <c:v>0.4</c:v>
                </c:pt>
                <c:pt idx="3">
                  <c:v>1.83</c:v>
                </c:pt>
                <c:pt idx="4">
                  <c:v>3.05</c:v>
                </c:pt>
                <c:pt idx="5">
                  <c:v>3.9</c:v>
                </c:pt>
                <c:pt idx="6">
                  <c:v>4.57</c:v>
                </c:pt>
                <c:pt idx="7">
                  <c:v>6.7</c:v>
                </c:pt>
                <c:pt idx="8">
                  <c:v>10.4</c:v>
                </c:pt>
                <c:pt idx="9">
                  <c:v>12.2</c:v>
                </c:pt>
                <c:pt idx="10">
                  <c:v>20.6</c:v>
                </c:pt>
                <c:pt idx="11">
                  <c:v>23.8</c:v>
                </c:pt>
                <c:pt idx="12">
                  <c:v>25.6</c:v>
                </c:pt>
              </c:numCache>
            </c:numRef>
          </c:yVal>
          <c:smooth val="0"/>
          <c:extLst xmlns:c16r2="http://schemas.microsoft.com/office/drawing/2015/06/chart">
            <c:ext xmlns:c16="http://schemas.microsoft.com/office/drawing/2014/chart" uri="{C3380CC4-5D6E-409C-BE32-E72D297353CC}">
              <c16:uniqueId val="{00000001-1967-4DE9-8C8D-0E36E7E12D70}"/>
            </c:ext>
          </c:extLst>
        </c:ser>
        <c:ser>
          <c:idx val="1"/>
          <c:order val="1"/>
          <c:tx>
            <c:v>Outliers</c:v>
          </c:tx>
          <c:spPr>
            <a:ln w="25400" cap="rnd">
              <a:noFill/>
              <a:round/>
            </a:ln>
            <a:effectLst/>
          </c:spPr>
          <c:marker>
            <c:symbol val="circle"/>
            <c:size val="8"/>
            <c:spPr>
              <a:solidFill>
                <a:schemeClr val="bg1">
                  <a:lumMod val="75000"/>
                </a:schemeClr>
              </a:solidFill>
              <a:ln w="9525">
                <a:solidFill>
                  <a:schemeClr val="tx1"/>
                </a:solidFill>
              </a:ln>
              <a:effectLst/>
            </c:spPr>
          </c:marker>
          <c:xVal>
            <c:numRef>
              <c:f>('Boulder Creek'!$R$3,'Boulder Creek'!$R$7,'Boulder Creek'!$R$5)</c:f>
              <c:numCache>
                <c:formatCode>General</c:formatCode>
                <c:ptCount val="3"/>
                <c:pt idx="0">
                  <c:v>16.7</c:v>
                </c:pt>
                <c:pt idx="1">
                  <c:v>25.6</c:v>
                </c:pt>
                <c:pt idx="2">
                  <c:v>19.899999999999999</c:v>
                </c:pt>
              </c:numCache>
            </c:numRef>
          </c:xVal>
          <c:yVal>
            <c:numRef>
              <c:f>('Boulder Creek'!$B$3,'Boulder Creek'!$B$7,'Boulder Creek'!$B$5)</c:f>
              <c:numCache>
                <c:formatCode>General</c:formatCode>
                <c:ptCount val="3"/>
                <c:pt idx="0">
                  <c:v>0.02</c:v>
                </c:pt>
                <c:pt idx="1">
                  <c:v>3.05</c:v>
                </c:pt>
                <c:pt idx="2">
                  <c:v>0.4</c:v>
                </c:pt>
              </c:numCache>
            </c:numRef>
          </c:yVal>
          <c:smooth val="0"/>
          <c:extLst xmlns:c16r2="http://schemas.microsoft.com/office/drawing/2015/06/chart">
            <c:ext xmlns:c16="http://schemas.microsoft.com/office/drawing/2014/chart" uri="{C3380CC4-5D6E-409C-BE32-E72D297353CC}">
              <c16:uniqueId val="{00000003-1967-4DE9-8C8D-0E36E7E12D70}"/>
            </c:ext>
          </c:extLst>
        </c:ser>
        <c:dLbls>
          <c:showLegendKey val="0"/>
          <c:showVal val="0"/>
          <c:showCatName val="0"/>
          <c:showSerName val="0"/>
          <c:showPercent val="0"/>
          <c:showBubbleSize val="0"/>
        </c:dLbls>
        <c:axId val="158060544"/>
        <c:axId val="158062848"/>
      </c:scatterChart>
      <c:valAx>
        <c:axId val="158060544"/>
        <c:scaling>
          <c:orientation val="minMax"/>
        </c:scaling>
        <c:delete val="0"/>
        <c:axPos val="t"/>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Th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8062848"/>
        <c:crossesAt val="-1"/>
        <c:crossBetween val="midCat"/>
      </c:valAx>
      <c:valAx>
        <c:axId val="158062848"/>
        <c:scaling>
          <c:orientation val="maxMin"/>
          <c:max val="30"/>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Depth (cm)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8060544"/>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Boulder Creek</a:t>
            </a:r>
          </a:p>
        </c:rich>
      </c:tx>
      <c:overlay val="0"/>
      <c:spPr>
        <a:noFill/>
        <a:ln>
          <a:noFill/>
        </a:ln>
        <a:effectLst/>
      </c:spPr>
    </c:title>
    <c:autoTitleDeleted val="0"/>
    <c:plotArea>
      <c:layout/>
      <c:scatterChart>
        <c:scatterStyle val="lineMarker"/>
        <c:varyColors val="0"/>
        <c:ser>
          <c:idx val="0"/>
          <c:order val="0"/>
          <c:tx>
            <c:v>Profile</c:v>
          </c:tx>
          <c:spPr>
            <a:ln w="25400" cap="rnd">
              <a:noFill/>
              <a:round/>
            </a:ln>
            <a:effectLst/>
          </c:spPr>
          <c:marker>
            <c:symbol val="circle"/>
            <c:size val="8"/>
            <c:spPr>
              <a:solidFill>
                <a:schemeClr val="accent1"/>
              </a:solidFill>
              <a:ln w="9525">
                <a:solidFill>
                  <a:schemeClr val="tx1"/>
                </a:solidFill>
              </a:ln>
              <a:effectLst/>
            </c:spPr>
          </c:marker>
          <c:dPt>
            <c:idx val="1"/>
            <c:marker>
              <c:spPr>
                <a:solidFill>
                  <a:schemeClr val="accent1">
                    <a:lumMod val="60000"/>
                    <a:lumOff val="40000"/>
                  </a:schemeClr>
                </a:solidFill>
                <a:ln w="9525">
                  <a:solidFill>
                    <a:schemeClr val="tx1"/>
                  </a:solidFill>
                </a:ln>
                <a:effectLst/>
              </c:spPr>
            </c:marker>
            <c:bubble3D val="0"/>
            <c:extLst xmlns:c16r2="http://schemas.microsoft.com/office/drawing/2015/06/chart">
              <c:ext xmlns:c16="http://schemas.microsoft.com/office/drawing/2014/chart" uri="{C3380CC4-5D6E-409C-BE32-E72D297353CC}">
                <c16:uniqueId val="{00000001-1029-4E81-A3E9-E97D3EDE0900}"/>
              </c:ext>
            </c:extLst>
          </c:dPt>
          <c:trendline>
            <c:spPr>
              <a:ln w="19050" cap="rnd">
                <a:solidFill>
                  <a:schemeClr val="accent1"/>
                </a:solidFill>
                <a:prstDash val="sysDot"/>
              </a:ln>
              <a:effectLst/>
            </c:spPr>
            <c:trendlineType val="linear"/>
            <c:dispRSqr val="1"/>
            <c:dispEq val="0"/>
            <c:trendlineLbl>
              <c:layout>
                <c:manualLayout>
                  <c:x val="-0.32490026731753685"/>
                  <c:y val="4.3121596216696194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chemeClr val="accent1">
                          <a:lumMod val="50000"/>
                        </a:schemeClr>
                      </a:solidFill>
                      <a:latin typeface="Arial" panose="020B0604020202020204" pitchFamily="34" charset="0"/>
                      <a:ea typeface="+mn-ea"/>
                      <a:cs typeface="Arial" panose="020B0604020202020204" pitchFamily="34" charset="0"/>
                    </a:defRPr>
                  </a:pPr>
                  <a:endParaRPr lang="en-US"/>
                </a:p>
              </c:txPr>
            </c:trendlineLbl>
          </c:trendline>
          <c:xVal>
            <c:numRef>
              <c:f>'Boulder Creek'!$S$3:$S$16</c:f>
              <c:numCache>
                <c:formatCode>General</c:formatCode>
                <c:ptCount val="14"/>
                <c:pt idx="0">
                  <c:v>261</c:v>
                </c:pt>
                <c:pt idx="1">
                  <c:v>284</c:v>
                </c:pt>
                <c:pt idx="2">
                  <c:v>276</c:v>
                </c:pt>
                <c:pt idx="3">
                  <c:v>340</c:v>
                </c:pt>
                <c:pt idx="4">
                  <c:v>338</c:v>
                </c:pt>
                <c:pt idx="5">
                  <c:v>274</c:v>
                </c:pt>
                <c:pt idx="6">
                  <c:v>358</c:v>
                </c:pt>
                <c:pt idx="7">
                  <c:v>255</c:v>
                </c:pt>
                <c:pt idx="8">
                  <c:v>273</c:v>
                </c:pt>
                <c:pt idx="9">
                  <c:v>313</c:v>
                </c:pt>
                <c:pt idx="10">
                  <c:v>180</c:v>
                </c:pt>
                <c:pt idx="11">
                  <c:v>195</c:v>
                </c:pt>
                <c:pt idx="12">
                  <c:v>176</c:v>
                </c:pt>
                <c:pt idx="13">
                  <c:v>173.5</c:v>
                </c:pt>
              </c:numCache>
            </c:numRef>
          </c:xVal>
          <c:yVal>
            <c:numRef>
              <c:f>'Boulder Creek'!$R$3:$R$16</c:f>
              <c:numCache>
                <c:formatCode>General</c:formatCode>
                <c:ptCount val="14"/>
                <c:pt idx="0">
                  <c:v>16.7</c:v>
                </c:pt>
                <c:pt idx="1">
                  <c:v>12.5</c:v>
                </c:pt>
                <c:pt idx="2">
                  <c:v>19.899999999999999</c:v>
                </c:pt>
                <c:pt idx="3">
                  <c:v>14.2</c:v>
                </c:pt>
                <c:pt idx="4">
                  <c:v>25.6</c:v>
                </c:pt>
                <c:pt idx="5">
                  <c:v>10.6</c:v>
                </c:pt>
                <c:pt idx="6">
                  <c:v>15.7</c:v>
                </c:pt>
                <c:pt idx="7">
                  <c:v>10.8</c:v>
                </c:pt>
                <c:pt idx="8">
                  <c:v>11.5</c:v>
                </c:pt>
                <c:pt idx="9">
                  <c:v>9.1999999999999993</c:v>
                </c:pt>
                <c:pt idx="10">
                  <c:v>8.1999999999999993</c:v>
                </c:pt>
                <c:pt idx="11">
                  <c:v>8.5</c:v>
                </c:pt>
                <c:pt idx="12">
                  <c:v>9.1</c:v>
                </c:pt>
                <c:pt idx="13">
                  <c:v>5.0999999999999996</c:v>
                </c:pt>
              </c:numCache>
            </c:numRef>
          </c:yVal>
          <c:smooth val="0"/>
          <c:extLst xmlns:c16r2="http://schemas.microsoft.com/office/drawing/2015/06/chart">
            <c:ext xmlns:c16="http://schemas.microsoft.com/office/drawing/2014/chart" uri="{C3380CC4-5D6E-409C-BE32-E72D297353CC}">
              <c16:uniqueId val="{00000001-1C48-4D15-A8AC-FA9876EAF0ED}"/>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'Boulder Creek'!$S$16</c:f>
              <c:numCache>
                <c:formatCode>General</c:formatCode>
                <c:ptCount val="1"/>
                <c:pt idx="0">
                  <c:v>173.5</c:v>
                </c:pt>
              </c:numCache>
            </c:numRef>
          </c:xVal>
          <c:yVal>
            <c:numRef>
              <c:f>'Boulder Creek'!$R$16</c:f>
              <c:numCache>
                <c:formatCode>General</c:formatCode>
                <c:ptCount val="1"/>
                <c:pt idx="0">
                  <c:v>5.0999999999999996</c:v>
                </c:pt>
              </c:numCache>
            </c:numRef>
          </c:yVal>
          <c:smooth val="0"/>
          <c:extLst xmlns:c16r2="http://schemas.microsoft.com/office/drawing/2015/06/chart">
            <c:ext xmlns:c16="http://schemas.microsoft.com/office/drawing/2014/chart" uri="{C3380CC4-5D6E-409C-BE32-E72D297353CC}">
              <c16:uniqueId val="{00000002-1C48-4D15-A8AC-FA9876EAF0ED}"/>
            </c:ext>
          </c:extLst>
        </c:ser>
        <c:dLbls>
          <c:showLegendKey val="0"/>
          <c:showVal val="0"/>
          <c:showCatName val="0"/>
          <c:showSerName val="0"/>
          <c:showPercent val="0"/>
          <c:showBubbleSize val="0"/>
        </c:dLbls>
        <c:axId val="159417856"/>
        <c:axId val="159428608"/>
        <c:extLst xmlns:c16r2="http://schemas.microsoft.com/office/drawing/2015/06/chart"/>
      </c:scatterChart>
      <c:valAx>
        <c:axId val="159417856"/>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Rb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9428608"/>
        <c:crossesAt val="-1"/>
        <c:crossBetween val="midCat"/>
      </c:valAx>
      <c:valAx>
        <c:axId val="159428608"/>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9417856"/>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Bidar</a:t>
            </a:r>
          </a:p>
        </c:rich>
      </c:tx>
      <c:overlay val="0"/>
      <c:spPr>
        <a:noFill/>
        <a:ln>
          <a:noFill/>
        </a:ln>
        <a:effectLst/>
      </c:spPr>
    </c:title>
    <c:autoTitleDeleted val="0"/>
    <c:plotArea>
      <c:layout/>
      <c:scatterChart>
        <c:scatterStyle val="lineMarker"/>
        <c:varyColors val="0"/>
        <c:ser>
          <c:idx val="0"/>
          <c:order val="0"/>
          <c:tx>
            <c:v>Total 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17610953709391952"/>
                  <c:y val="0.23770825345741003"/>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Bidar!$N$3:$N$11</c:f>
              <c:numCache>
                <c:formatCode>General</c:formatCode>
                <c:ptCount val="9"/>
                <c:pt idx="0">
                  <c:v>1.2451687898089172E-2</c:v>
                </c:pt>
                <c:pt idx="1">
                  <c:v>2.9053938428874736E-2</c:v>
                </c:pt>
                <c:pt idx="2">
                  <c:v>1.2451687898089172E-2</c:v>
                </c:pt>
                <c:pt idx="3">
                  <c:v>0</c:v>
                </c:pt>
                <c:pt idx="4">
                  <c:v>8.3011252653927819E-3</c:v>
                </c:pt>
                <c:pt idx="5">
                  <c:v>4.1505626326963909E-3</c:v>
                </c:pt>
                <c:pt idx="6">
                  <c:v>8.3011252653927819E-3</c:v>
                </c:pt>
                <c:pt idx="7">
                  <c:v>0.10376406581740977</c:v>
                </c:pt>
                <c:pt idx="8">
                  <c:v>6.6409002123142255E-2</c:v>
                </c:pt>
              </c:numCache>
            </c:numRef>
          </c:xVal>
          <c:yVal>
            <c:numRef>
              <c:f>Bidar!$R$3:$R$11</c:f>
              <c:numCache>
                <c:formatCode>General</c:formatCode>
                <c:ptCount val="9"/>
                <c:pt idx="0">
                  <c:v>1332</c:v>
                </c:pt>
                <c:pt idx="1">
                  <c:v>3996</c:v>
                </c:pt>
                <c:pt idx="2">
                  <c:v>1524</c:v>
                </c:pt>
                <c:pt idx="3">
                  <c:v>321</c:v>
                </c:pt>
                <c:pt idx="4">
                  <c:v>811</c:v>
                </c:pt>
                <c:pt idx="5">
                  <c:v>335</c:v>
                </c:pt>
                <c:pt idx="6">
                  <c:v>1165</c:v>
                </c:pt>
                <c:pt idx="7">
                  <c:v>5678</c:v>
                </c:pt>
                <c:pt idx="8">
                  <c:v>956</c:v>
                </c:pt>
              </c:numCache>
            </c:numRef>
          </c:yVal>
          <c:smooth val="0"/>
          <c:extLst xmlns:c16r2="http://schemas.microsoft.com/office/drawing/2015/06/chart">
            <c:ext xmlns:c16="http://schemas.microsoft.com/office/drawing/2014/chart" uri="{C3380CC4-5D6E-409C-BE32-E72D297353CC}">
              <c16:uniqueId val="{00000002-DAE2-4DF5-A121-9BF6D9C8C61E}"/>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Bidar!$N$11</c:f>
              <c:numCache>
                <c:formatCode>General</c:formatCode>
                <c:ptCount val="1"/>
                <c:pt idx="0">
                  <c:v>6.6409002123142255E-2</c:v>
                </c:pt>
              </c:numCache>
            </c:numRef>
          </c:xVal>
          <c:yVal>
            <c:numRef>
              <c:f>Bidar!$R$11</c:f>
              <c:numCache>
                <c:formatCode>General</c:formatCode>
                <c:ptCount val="1"/>
                <c:pt idx="0">
                  <c:v>956</c:v>
                </c:pt>
              </c:numCache>
            </c:numRef>
          </c:yVal>
          <c:smooth val="0"/>
          <c:extLst xmlns:c16r2="http://schemas.microsoft.com/office/drawing/2015/06/chart">
            <c:ext xmlns:c16="http://schemas.microsoft.com/office/drawing/2014/chart" uri="{C3380CC4-5D6E-409C-BE32-E72D297353CC}">
              <c16:uniqueId val="{00000003-DAE2-4DF5-A121-9BF6D9C8C61E}"/>
            </c:ext>
          </c:extLst>
        </c:ser>
        <c:dLbls>
          <c:showLegendKey val="0"/>
          <c:showVal val="0"/>
          <c:showCatName val="0"/>
          <c:showSerName val="0"/>
          <c:showPercent val="0"/>
          <c:showBubbleSize val="0"/>
        </c:dLbls>
        <c:axId val="159033984"/>
        <c:axId val="159044736"/>
        <c:extLst xmlns:c16r2="http://schemas.microsoft.com/office/drawing/2015/06/chart"/>
      </c:scatterChart>
      <c:valAx>
        <c:axId val="159033984"/>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K (wt%)</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9044736"/>
        <c:crossesAt val="-1"/>
        <c:crossBetween val="midCat"/>
      </c:valAx>
      <c:valAx>
        <c:axId val="159044736"/>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Rb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9033984"/>
        <c:crosses val="autoZero"/>
        <c:crossBetween val="midCat"/>
        <c:majorUnit val="2000"/>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Lawyer Canyon</a:t>
            </a:r>
          </a:p>
        </c:rich>
      </c:tx>
      <c:overlay val="0"/>
      <c:spPr>
        <a:noFill/>
        <a:ln>
          <a:noFill/>
        </a:ln>
        <a:effectLst/>
      </c:spPr>
    </c:title>
    <c:autoTitleDeleted val="0"/>
    <c:plotArea>
      <c:layout/>
      <c:scatterChart>
        <c:scatterStyle val="lineMarker"/>
        <c:varyColors val="0"/>
        <c:ser>
          <c:idx val="0"/>
          <c:order val="0"/>
          <c:tx>
            <c:v>Total 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accent1"/>
                </a:solidFill>
                <a:prstDash val="sysDot"/>
              </a:ln>
              <a:effectLst/>
            </c:spPr>
            <c:trendlineType val="linear"/>
            <c:dispRSqr val="1"/>
            <c:dispEq val="0"/>
            <c:trendlineLbl>
              <c:layout>
                <c:manualLayout>
                  <c:x val="-0.2841000856292224"/>
                  <c:y val="9.7102659906432437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chemeClr val="accent1">
                          <a:lumMod val="50000"/>
                        </a:schemeClr>
                      </a:solidFill>
                      <a:latin typeface="Arial" panose="020B0604020202020204" pitchFamily="34" charset="0"/>
                      <a:ea typeface="+mn-ea"/>
                      <a:cs typeface="Arial" panose="020B0604020202020204" pitchFamily="34" charset="0"/>
                    </a:defRPr>
                  </a:pPr>
                  <a:endParaRPr lang="en-US"/>
                </a:p>
              </c:txPr>
            </c:trendlineLbl>
          </c:trendline>
          <c:xVal>
            <c:numRef>
              <c:f>'Lawyer Canyon'!$Q$3:$Q$10</c:f>
              <c:numCache>
                <c:formatCode>General</c:formatCode>
                <c:ptCount val="8"/>
                <c:pt idx="0">
                  <c:v>465</c:v>
                </c:pt>
                <c:pt idx="1">
                  <c:v>223</c:v>
                </c:pt>
                <c:pt idx="2">
                  <c:v>214</c:v>
                </c:pt>
                <c:pt idx="3">
                  <c:v>184</c:v>
                </c:pt>
                <c:pt idx="4">
                  <c:v>204</c:v>
                </c:pt>
                <c:pt idx="5">
                  <c:v>177</c:v>
                </c:pt>
                <c:pt idx="6">
                  <c:v>196</c:v>
                </c:pt>
                <c:pt idx="7">
                  <c:v>174</c:v>
                </c:pt>
              </c:numCache>
            </c:numRef>
          </c:xVal>
          <c:yVal>
            <c:numRef>
              <c:f>'Lawyer Canyon'!$S$3:$S$10</c:f>
              <c:numCache>
                <c:formatCode>General</c:formatCode>
                <c:ptCount val="8"/>
                <c:pt idx="0">
                  <c:v>11.4</c:v>
                </c:pt>
                <c:pt idx="1">
                  <c:v>6.5</c:v>
                </c:pt>
                <c:pt idx="2">
                  <c:v>6.7</c:v>
                </c:pt>
                <c:pt idx="3">
                  <c:v>6.5</c:v>
                </c:pt>
                <c:pt idx="4">
                  <c:v>6.6</c:v>
                </c:pt>
                <c:pt idx="5">
                  <c:v>5.3</c:v>
                </c:pt>
                <c:pt idx="6">
                  <c:v>5.8</c:v>
                </c:pt>
                <c:pt idx="7">
                  <c:v>5.5</c:v>
                </c:pt>
              </c:numCache>
            </c:numRef>
          </c:yVal>
          <c:smooth val="0"/>
          <c:extLst xmlns:c16r2="http://schemas.microsoft.com/office/drawing/2015/06/chart">
            <c:ext xmlns:c16="http://schemas.microsoft.com/office/drawing/2014/chart" uri="{C3380CC4-5D6E-409C-BE32-E72D297353CC}">
              <c16:uniqueId val="{00000001-FBCC-474F-ABAB-E9645FB3EB4D}"/>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'Lawyer Canyon'!$Q$10</c:f>
              <c:numCache>
                <c:formatCode>General</c:formatCode>
                <c:ptCount val="1"/>
                <c:pt idx="0">
                  <c:v>174</c:v>
                </c:pt>
              </c:numCache>
            </c:numRef>
          </c:xVal>
          <c:yVal>
            <c:numRef>
              <c:f>'Lawyer Canyon'!$S$10</c:f>
              <c:numCache>
                <c:formatCode>General</c:formatCode>
                <c:ptCount val="1"/>
                <c:pt idx="0">
                  <c:v>5.5</c:v>
                </c:pt>
              </c:numCache>
            </c:numRef>
          </c:yVal>
          <c:smooth val="0"/>
          <c:extLst xmlns:c16r2="http://schemas.microsoft.com/office/drawing/2015/06/chart">
            <c:ext xmlns:c16="http://schemas.microsoft.com/office/drawing/2014/chart" uri="{C3380CC4-5D6E-409C-BE32-E72D297353CC}">
              <c16:uniqueId val="{00000002-FBCC-474F-ABAB-E9645FB3EB4D}"/>
            </c:ext>
          </c:extLst>
        </c:ser>
        <c:dLbls>
          <c:showLegendKey val="0"/>
          <c:showVal val="0"/>
          <c:showCatName val="0"/>
          <c:showSerName val="0"/>
          <c:showPercent val="0"/>
          <c:showBubbleSize val="0"/>
        </c:dLbls>
        <c:axId val="159330304"/>
        <c:axId val="159332608"/>
        <c:extLst xmlns:c16r2="http://schemas.microsoft.com/office/drawing/2015/06/chart"/>
      </c:scatterChart>
      <c:valAx>
        <c:axId val="159330304"/>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Zr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9332608"/>
        <c:crossesAt val="-1"/>
        <c:crossBetween val="midCat"/>
      </c:valAx>
      <c:valAx>
        <c:axId val="159332608"/>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9330304"/>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Lawyer Canyon</a:t>
            </a:r>
          </a:p>
        </c:rich>
      </c:tx>
      <c:overlay val="0"/>
      <c:spPr>
        <a:noFill/>
        <a:ln>
          <a:noFill/>
        </a:ln>
        <a:effectLst/>
      </c:spPr>
    </c:title>
    <c:autoTitleDeleted val="0"/>
    <c:plotArea>
      <c:layout/>
      <c:scatterChart>
        <c:scatterStyle val="lineMarker"/>
        <c:varyColors val="0"/>
        <c:ser>
          <c:idx val="0"/>
          <c:order val="0"/>
          <c:tx>
            <c:v>Total 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tx1"/>
                </a:solidFill>
                <a:prstDash val="sysDot"/>
              </a:ln>
              <a:effectLst/>
            </c:spPr>
            <c:trendlineType val="linear"/>
            <c:dispRSqr val="1"/>
            <c:dispEq val="0"/>
            <c:trendlineLbl>
              <c:layout>
                <c:manualLayout>
                  <c:x val="-0.2841000856292224"/>
                  <c:y val="9.7102659906432437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'Lawyer Canyon'!$M$4:$M$10</c:f>
              <c:numCache>
                <c:formatCode>General</c:formatCode>
                <c:ptCount val="7"/>
                <c:pt idx="0">
                  <c:v>0.77200464968152871</c:v>
                </c:pt>
                <c:pt idx="1">
                  <c:v>0.82181140127388541</c:v>
                </c:pt>
                <c:pt idx="2">
                  <c:v>0.68484283439490445</c:v>
                </c:pt>
                <c:pt idx="3">
                  <c:v>0.73464958598726116</c:v>
                </c:pt>
                <c:pt idx="4">
                  <c:v>0.77615521231422502</c:v>
                </c:pt>
                <c:pt idx="5">
                  <c:v>0.7221978980891719</c:v>
                </c:pt>
                <c:pt idx="6">
                  <c:v>0.7180473354564757</c:v>
                </c:pt>
              </c:numCache>
            </c:numRef>
          </c:xVal>
          <c:yVal>
            <c:numRef>
              <c:f>'Lawyer Canyon'!$T$4:$T$10</c:f>
              <c:numCache>
                <c:formatCode>General</c:formatCode>
                <c:ptCount val="7"/>
                <c:pt idx="0">
                  <c:v>50</c:v>
                </c:pt>
                <c:pt idx="1">
                  <c:v>70</c:v>
                </c:pt>
                <c:pt idx="2">
                  <c:v>50</c:v>
                </c:pt>
                <c:pt idx="3">
                  <c:v>50</c:v>
                </c:pt>
                <c:pt idx="4">
                  <c:v>50</c:v>
                </c:pt>
                <c:pt idx="5">
                  <c:v>40</c:v>
                </c:pt>
                <c:pt idx="6">
                  <c:v>60</c:v>
                </c:pt>
              </c:numCache>
            </c:numRef>
          </c:yVal>
          <c:smooth val="0"/>
          <c:extLst xmlns:c16r2="http://schemas.microsoft.com/office/drawing/2015/06/chart">
            <c:ext xmlns:c16="http://schemas.microsoft.com/office/drawing/2014/chart" uri="{C3380CC4-5D6E-409C-BE32-E72D297353CC}">
              <c16:uniqueId val="{00000002-A3AB-408B-8361-9B8C86E19967}"/>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'Lawyer Canyon'!$M$10</c:f>
              <c:numCache>
                <c:formatCode>General</c:formatCode>
                <c:ptCount val="1"/>
                <c:pt idx="0">
                  <c:v>0.7180473354564757</c:v>
                </c:pt>
              </c:numCache>
            </c:numRef>
          </c:xVal>
          <c:yVal>
            <c:numRef>
              <c:f>'Lawyer Canyon'!$T$10</c:f>
              <c:numCache>
                <c:formatCode>General</c:formatCode>
                <c:ptCount val="1"/>
                <c:pt idx="0">
                  <c:v>60</c:v>
                </c:pt>
              </c:numCache>
            </c:numRef>
          </c:yVal>
          <c:smooth val="0"/>
          <c:extLst xmlns:c16r2="http://schemas.microsoft.com/office/drawing/2015/06/chart">
            <c:ext xmlns:c16="http://schemas.microsoft.com/office/drawing/2014/chart" uri="{C3380CC4-5D6E-409C-BE32-E72D297353CC}">
              <c16:uniqueId val="{00000003-A3AB-408B-8361-9B8C86E19967}"/>
            </c:ext>
          </c:extLst>
        </c:ser>
        <c:dLbls>
          <c:showLegendKey val="0"/>
          <c:showVal val="0"/>
          <c:showCatName val="0"/>
          <c:showSerName val="0"/>
          <c:showPercent val="0"/>
          <c:showBubbleSize val="0"/>
        </c:dLbls>
        <c:axId val="159359360"/>
        <c:axId val="159361664"/>
        <c:extLst xmlns:c16r2="http://schemas.microsoft.com/office/drawing/2015/06/chart"/>
      </c:scatterChart>
      <c:valAx>
        <c:axId val="159359360"/>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K (wt%)</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9361664"/>
        <c:crossesAt val="-1"/>
        <c:crossBetween val="midCat"/>
      </c:valAx>
      <c:valAx>
        <c:axId val="159361664"/>
        <c:scaling>
          <c:orientation val="minMax"/>
          <c:min val="0"/>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Rb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9359360"/>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Lawyer Canyon</a:t>
            </a:r>
          </a:p>
        </c:rich>
      </c:tx>
      <c:overlay val="0"/>
      <c:spPr>
        <a:noFill/>
        <a:ln>
          <a:noFill/>
        </a:ln>
        <a:effectLst/>
      </c:spPr>
    </c:title>
    <c:autoTitleDeleted val="0"/>
    <c:plotArea>
      <c:layout/>
      <c:scatterChart>
        <c:scatterStyle val="lineMarker"/>
        <c:varyColors val="0"/>
        <c:ser>
          <c:idx val="0"/>
          <c:order val="0"/>
          <c:tx>
            <c:v>Total 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accent1"/>
                </a:solidFill>
                <a:prstDash val="sysDot"/>
              </a:ln>
              <a:effectLst/>
            </c:spPr>
            <c:trendlineType val="linear"/>
            <c:dispRSqr val="1"/>
            <c:dispEq val="0"/>
            <c:trendlineLbl>
              <c:layout>
                <c:manualLayout>
                  <c:x val="-0.2841000856292224"/>
                  <c:y val="9.7102659906432437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chemeClr val="accent1">
                          <a:lumMod val="50000"/>
                        </a:schemeClr>
                      </a:solidFill>
                      <a:latin typeface="Arial" panose="020B0604020202020204" pitchFamily="34" charset="0"/>
                      <a:ea typeface="+mn-ea"/>
                      <a:cs typeface="Arial" panose="020B0604020202020204" pitchFamily="34" charset="0"/>
                    </a:defRPr>
                  </a:pPr>
                  <a:endParaRPr lang="en-US"/>
                </a:p>
              </c:txPr>
            </c:trendlineLbl>
          </c:trendline>
          <c:xVal>
            <c:numRef>
              <c:f>'Lawyer Canyon'!$T$3:$T$10</c:f>
              <c:numCache>
                <c:formatCode>General</c:formatCode>
                <c:ptCount val="8"/>
                <c:pt idx="1">
                  <c:v>50</c:v>
                </c:pt>
                <c:pt idx="2">
                  <c:v>70</c:v>
                </c:pt>
                <c:pt idx="3">
                  <c:v>50</c:v>
                </c:pt>
                <c:pt idx="4">
                  <c:v>50</c:v>
                </c:pt>
                <c:pt idx="5">
                  <c:v>50</c:v>
                </c:pt>
                <c:pt idx="6">
                  <c:v>40</c:v>
                </c:pt>
                <c:pt idx="7">
                  <c:v>60</c:v>
                </c:pt>
              </c:numCache>
            </c:numRef>
          </c:xVal>
          <c:yVal>
            <c:numRef>
              <c:f>'Lawyer Canyon'!$S$3:$S$10</c:f>
              <c:numCache>
                <c:formatCode>General</c:formatCode>
                <c:ptCount val="8"/>
                <c:pt idx="0">
                  <c:v>11.4</c:v>
                </c:pt>
                <c:pt idx="1">
                  <c:v>6.5</c:v>
                </c:pt>
                <c:pt idx="2">
                  <c:v>6.7</c:v>
                </c:pt>
                <c:pt idx="3">
                  <c:v>6.5</c:v>
                </c:pt>
                <c:pt idx="4">
                  <c:v>6.6</c:v>
                </c:pt>
                <c:pt idx="5">
                  <c:v>5.3</c:v>
                </c:pt>
                <c:pt idx="6">
                  <c:v>5.8</c:v>
                </c:pt>
                <c:pt idx="7">
                  <c:v>5.5</c:v>
                </c:pt>
              </c:numCache>
            </c:numRef>
          </c:yVal>
          <c:smooth val="0"/>
          <c:extLst xmlns:c16r2="http://schemas.microsoft.com/office/drawing/2015/06/chart">
            <c:ext xmlns:c16="http://schemas.microsoft.com/office/drawing/2014/chart" uri="{C3380CC4-5D6E-409C-BE32-E72D297353CC}">
              <c16:uniqueId val="{00000001-6ED1-4885-BBFF-E40B4C63410D}"/>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'Lawyer Canyon'!$T$10</c:f>
              <c:numCache>
                <c:formatCode>General</c:formatCode>
                <c:ptCount val="1"/>
                <c:pt idx="0">
                  <c:v>60</c:v>
                </c:pt>
              </c:numCache>
            </c:numRef>
          </c:xVal>
          <c:yVal>
            <c:numRef>
              <c:f>'Lawyer Canyon'!$S$10</c:f>
              <c:numCache>
                <c:formatCode>General</c:formatCode>
                <c:ptCount val="1"/>
                <c:pt idx="0">
                  <c:v>5.5</c:v>
                </c:pt>
              </c:numCache>
            </c:numRef>
          </c:yVal>
          <c:smooth val="0"/>
          <c:extLst xmlns:c16r2="http://schemas.microsoft.com/office/drawing/2015/06/chart">
            <c:ext xmlns:c16="http://schemas.microsoft.com/office/drawing/2014/chart" uri="{C3380CC4-5D6E-409C-BE32-E72D297353CC}">
              <c16:uniqueId val="{00000002-6ED1-4885-BBFF-E40B4C63410D}"/>
            </c:ext>
          </c:extLst>
        </c:ser>
        <c:dLbls>
          <c:showLegendKey val="0"/>
          <c:showVal val="0"/>
          <c:showCatName val="0"/>
          <c:showSerName val="0"/>
          <c:showPercent val="0"/>
          <c:showBubbleSize val="0"/>
        </c:dLbls>
        <c:axId val="159586176"/>
        <c:axId val="159133696"/>
        <c:extLst xmlns:c16r2="http://schemas.microsoft.com/office/drawing/2015/06/chart"/>
      </c:scatterChart>
      <c:valAx>
        <c:axId val="159586176"/>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Rb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9133696"/>
        <c:crossesAt val="-1"/>
        <c:crossBetween val="midCat"/>
      </c:valAx>
      <c:valAx>
        <c:axId val="159133696"/>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9586176"/>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solidFill>
                  <a:sysClr val="windowText" lastClr="000000"/>
                </a:solidFill>
                <a:latin typeface="Arial" panose="020B0604020202020204" pitchFamily="34" charset="0"/>
                <a:cs typeface="Arial" panose="020B0604020202020204" pitchFamily="34" charset="0"/>
              </a:rPr>
              <a:t>Upper Shumaker</a:t>
            </a:r>
          </a:p>
        </c:rich>
      </c:tx>
      <c:overlay val="0"/>
      <c:spPr>
        <a:noFill/>
        <a:ln>
          <a:noFill/>
        </a:ln>
        <a:effectLst/>
      </c:spPr>
    </c:title>
    <c:autoTitleDeleted val="0"/>
    <c:plotArea>
      <c:layout/>
      <c:scatterChart>
        <c:scatterStyle val="lineMarker"/>
        <c:varyColors val="0"/>
        <c:ser>
          <c:idx val="0"/>
          <c:order val="0"/>
          <c:tx>
            <c:v>Total profile</c:v>
          </c:tx>
          <c:spPr>
            <a:ln w="25400" cap="rnd">
              <a:noFill/>
              <a:round/>
            </a:ln>
            <a:effectLst/>
          </c:spPr>
          <c:marker>
            <c:symbol val="circle"/>
            <c:size val="8"/>
            <c:spPr>
              <a:solidFill>
                <a:schemeClr val="accent1"/>
              </a:solidFill>
              <a:ln w="9525">
                <a:solidFill>
                  <a:schemeClr val="tx1"/>
                </a:solidFill>
              </a:ln>
              <a:effectLst/>
            </c:spPr>
          </c:marker>
          <c:trendline>
            <c:spPr>
              <a:ln w="19050" cap="rnd">
                <a:solidFill>
                  <a:schemeClr val="accent1"/>
                </a:solidFill>
                <a:prstDash val="sysDot"/>
              </a:ln>
              <a:effectLst/>
            </c:spPr>
            <c:trendlineType val="linear"/>
            <c:dispRSqr val="1"/>
            <c:dispEq val="0"/>
            <c:trendlineLbl>
              <c:layout>
                <c:manualLayout>
                  <c:x val="-0.2841000856292224"/>
                  <c:y val="9.7102659906432437E-2"/>
                </c:manualLayout>
              </c:layout>
              <c:numFmt formatCode="General" sourceLinked="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'Upper Shumaker'!$Q$3:$Q$7</c:f>
              <c:numCache>
                <c:formatCode>General</c:formatCode>
                <c:ptCount val="5"/>
                <c:pt idx="0">
                  <c:v>150</c:v>
                </c:pt>
                <c:pt idx="1">
                  <c:v>119</c:v>
                </c:pt>
                <c:pt idx="2">
                  <c:v>102</c:v>
                </c:pt>
                <c:pt idx="3">
                  <c:v>86</c:v>
                </c:pt>
                <c:pt idx="4">
                  <c:v>97</c:v>
                </c:pt>
              </c:numCache>
            </c:numRef>
          </c:xVal>
          <c:yVal>
            <c:numRef>
              <c:f>'Upper Shumaker'!$S$3:$S$7</c:f>
              <c:numCache>
                <c:formatCode>General</c:formatCode>
                <c:ptCount val="5"/>
                <c:pt idx="0">
                  <c:v>2</c:v>
                </c:pt>
                <c:pt idx="1">
                  <c:v>0.7</c:v>
                </c:pt>
                <c:pt idx="2">
                  <c:v>0.9</c:v>
                </c:pt>
                <c:pt idx="3">
                  <c:v>0.6</c:v>
                </c:pt>
                <c:pt idx="4">
                  <c:v>0.7</c:v>
                </c:pt>
              </c:numCache>
            </c:numRef>
          </c:yVal>
          <c:smooth val="0"/>
          <c:extLst xmlns:c16r2="http://schemas.microsoft.com/office/drawing/2015/06/chart">
            <c:ext xmlns:c16="http://schemas.microsoft.com/office/drawing/2014/chart" uri="{C3380CC4-5D6E-409C-BE32-E72D297353CC}">
              <c16:uniqueId val="{00000001-3F7A-449A-92B0-3BA102E1782A}"/>
            </c:ext>
          </c:extLst>
        </c:ser>
        <c:ser>
          <c:idx val="1"/>
          <c:order val="1"/>
          <c:tx>
            <c:v>Parent</c:v>
          </c:tx>
          <c:spPr>
            <a:ln w="25400" cap="rnd">
              <a:noFill/>
              <a:round/>
            </a:ln>
            <a:effectLst/>
          </c:spPr>
          <c:marker>
            <c:symbol val="circle"/>
            <c:size val="8"/>
            <c:spPr>
              <a:solidFill>
                <a:schemeClr val="accent2"/>
              </a:solidFill>
              <a:ln w="9525">
                <a:solidFill>
                  <a:schemeClr val="tx1"/>
                </a:solidFill>
              </a:ln>
              <a:effectLst/>
            </c:spPr>
          </c:marker>
          <c:xVal>
            <c:numRef>
              <c:f>'Upper Shumaker'!$Q$7</c:f>
              <c:numCache>
                <c:formatCode>General</c:formatCode>
                <c:ptCount val="1"/>
                <c:pt idx="0">
                  <c:v>97</c:v>
                </c:pt>
              </c:numCache>
            </c:numRef>
          </c:xVal>
          <c:yVal>
            <c:numRef>
              <c:f>'Upper Shumaker'!$S$7</c:f>
              <c:numCache>
                <c:formatCode>General</c:formatCode>
                <c:ptCount val="1"/>
                <c:pt idx="0">
                  <c:v>0.7</c:v>
                </c:pt>
              </c:numCache>
            </c:numRef>
          </c:yVal>
          <c:smooth val="0"/>
          <c:extLst xmlns:c16r2="http://schemas.microsoft.com/office/drawing/2015/06/chart">
            <c:ext xmlns:c16="http://schemas.microsoft.com/office/drawing/2014/chart" uri="{C3380CC4-5D6E-409C-BE32-E72D297353CC}">
              <c16:uniqueId val="{00000002-3F7A-449A-92B0-3BA102E1782A}"/>
            </c:ext>
          </c:extLst>
        </c:ser>
        <c:dLbls>
          <c:showLegendKey val="0"/>
          <c:showVal val="0"/>
          <c:showCatName val="0"/>
          <c:showSerName val="0"/>
          <c:showPercent val="0"/>
          <c:showBubbleSize val="0"/>
        </c:dLbls>
        <c:axId val="159672576"/>
        <c:axId val="159687424"/>
        <c:extLst xmlns:c16r2="http://schemas.microsoft.com/office/drawing/2015/06/chart"/>
      </c:scatterChart>
      <c:valAx>
        <c:axId val="159672576"/>
        <c:scaling>
          <c:orientation val="minMax"/>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a:solidFill>
                      <a:sysClr val="windowText" lastClr="000000"/>
                    </a:solidFill>
                    <a:latin typeface="Arial" panose="020B0604020202020204" pitchFamily="34" charset="0"/>
                    <a:cs typeface="Arial" panose="020B0604020202020204" pitchFamily="34" charset="0"/>
                  </a:rPr>
                  <a:t>Zr (ppm)</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9687424"/>
        <c:crossesAt val="-1"/>
        <c:crossBetween val="midCat"/>
      </c:valAx>
      <c:valAx>
        <c:axId val="159687424"/>
        <c:scaling>
          <c:orientation val="minMax"/>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500" b="0" i="0" baseline="0">
                    <a:solidFill>
                      <a:sysClr val="windowText" lastClr="000000"/>
                    </a:solidFill>
                    <a:effectLst/>
                    <a:latin typeface="Arial" panose="020B0604020202020204" pitchFamily="34" charset="0"/>
                    <a:cs typeface="Arial" panose="020B0604020202020204" pitchFamily="34" charset="0"/>
                  </a:rPr>
                  <a:t>Th (ppm)</a:t>
                </a:r>
                <a:endParaRPr lang="en-US" sz="15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9672576"/>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Positive first quartile</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tx1"/>
              </a:solidFill>
              <a:ln w="9525">
                <a:noFill/>
              </a:ln>
              <a:effectLst/>
            </c:spPr>
          </c:marker>
          <c:trendline>
            <c:spPr>
              <a:ln w="19050" cap="rnd">
                <a:solidFill>
                  <a:schemeClr val="tx1"/>
                </a:solidFill>
                <a:prstDash val="sysDot"/>
              </a:ln>
              <a:effectLst/>
            </c:spPr>
            <c:trendlineType val="linear"/>
            <c:dispRSqr val="1"/>
            <c:dispEq val="0"/>
            <c:trendlineLbl>
              <c:layout>
                <c:manualLayout>
                  <c:x val="-0.22444958655934025"/>
                  <c:y val="-0.1337720022759392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strRef>
              <c:f>('[1]Paleolatitude correlation'!$B$6,'[1]Paleolatitude correlation'!$B$13,'[1]Paleolatitude correlation'!$B$15,'[1]Paleolatitude correlation'!$B$17,'[1]Paleolatitude correlation'!$B$21,'[1]Paleolatitude correlation'!$B$28,'[1]Paleolatitude correlation'!$B$31)</c:f>
              <c:strCache>
                <c:ptCount val="7"/>
                <c:pt idx="0">
                  <c:v>49</c:v>
                </c:pt>
                <c:pt idx="1">
                  <c:v>14</c:v>
                </c:pt>
                <c:pt idx="2">
                  <c:v>NA</c:v>
                </c:pt>
                <c:pt idx="3">
                  <c:v>NA</c:v>
                </c:pt>
                <c:pt idx="4">
                  <c:v>26</c:v>
                </c:pt>
                <c:pt idx="5">
                  <c:v>8</c:v>
                </c:pt>
                <c:pt idx="6">
                  <c:v>46</c:v>
                </c:pt>
              </c:strCache>
            </c:strRef>
          </c:xVal>
          <c:yVal>
            <c:numRef>
              <c:f>('[1]Paleolatitude correlation'!$E$6,'[1]Paleolatitude correlation'!$E$13,'[1]Paleolatitude correlation'!$E$15,'[1]Paleolatitude correlation'!$E$17,'[1]Paleolatitude correlation'!$E$21,'[1]Paleolatitude correlation'!$E$28,'[1]Paleolatitude correlation'!$E$31)</c:f>
              <c:numCache>
                <c:formatCode>General</c:formatCode>
                <c:ptCount val="7"/>
                <c:pt idx="0">
                  <c:v>6.0112404926970564E-2</c:v>
                </c:pt>
                <c:pt idx="1">
                  <c:v>3.418487891317179E-2</c:v>
                </c:pt>
                <c:pt idx="2">
                  <c:v>0.10450785773366444</c:v>
                </c:pt>
                <c:pt idx="3">
                  <c:v>-0.27026260330845653</c:v>
                </c:pt>
                <c:pt idx="4">
                  <c:v>-0.47654784240150089</c:v>
                </c:pt>
                <c:pt idx="5">
                  <c:v>-0.49965635738831626</c:v>
                </c:pt>
                <c:pt idx="6">
                  <c:v>-8.5295813631649509E-3</c:v>
                </c:pt>
              </c:numCache>
            </c:numRef>
          </c:yVal>
          <c:smooth val="0"/>
          <c:extLst xmlns:c16r2="http://schemas.microsoft.com/office/drawing/2015/06/chart">
            <c:ext xmlns:c16="http://schemas.microsoft.com/office/drawing/2014/chart" uri="{C3380CC4-5D6E-409C-BE32-E72D297353CC}">
              <c16:uniqueId val="{00000001-1701-4785-9C09-9AD8F5414920}"/>
            </c:ext>
          </c:extLst>
        </c:ser>
        <c:dLbls>
          <c:showLegendKey val="0"/>
          <c:showVal val="0"/>
          <c:showCatName val="0"/>
          <c:showSerName val="0"/>
          <c:showPercent val="0"/>
          <c:showBubbleSize val="0"/>
        </c:dLbls>
        <c:axId val="152432000"/>
        <c:axId val="152462848"/>
      </c:scatterChart>
      <c:valAx>
        <c:axId val="1524320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Paleolatitude (degrees)</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462848"/>
        <c:crossesAt val="-1"/>
        <c:crossBetween val="midCat"/>
      </c:valAx>
      <c:valAx>
        <c:axId val="152462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000" b="0" i="0" baseline="0">
                    <a:effectLst/>
                  </a:rPr>
                  <a:t>τ</a:t>
                </a:r>
                <a:r>
                  <a:rPr lang="en-US" sz="1000" b="0" i="0" baseline="-25000">
                    <a:effectLst/>
                  </a:rPr>
                  <a:t>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432000"/>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640 mm</c:v>
          </c:tx>
          <c:spPr>
            <a:ln w="25400" cap="rnd">
              <a:noFill/>
              <a:round/>
            </a:ln>
            <a:effectLst/>
          </c:spPr>
          <c:marker>
            <c:symbol val="circle"/>
            <c:size val="5"/>
            <c:spPr>
              <a:solidFill>
                <a:schemeClr val="accent6">
                  <a:lumMod val="20000"/>
                  <a:lumOff val="80000"/>
                </a:schemeClr>
              </a:solidFill>
              <a:ln w="9525">
                <a:noFill/>
              </a:ln>
              <a:effectLst/>
            </c:spPr>
          </c:marker>
          <c:xVal>
            <c:numRef>
              <c:f>'Hawaii 10 kyr'!$O$3:$O$8</c:f>
              <c:numCache>
                <c:formatCode>General</c:formatCode>
                <c:ptCount val="6"/>
                <c:pt idx="0">
                  <c:v>36.537259549538746</c:v>
                </c:pt>
                <c:pt idx="1">
                  <c:v>39.76130820312023</c:v>
                </c:pt>
                <c:pt idx="2">
                  <c:v>41.492979488218261</c:v>
                </c:pt>
                <c:pt idx="3">
                  <c:v>43.547959745260229</c:v>
                </c:pt>
                <c:pt idx="4">
                  <c:v>48.188741524344159</c:v>
                </c:pt>
                <c:pt idx="5">
                  <c:v>22.111908954365237</c:v>
                </c:pt>
              </c:numCache>
            </c:numRef>
          </c:xVal>
          <c:yVal>
            <c:numRef>
              <c:f>'Hawaii 10 kyr'!$AD$3:$AD$8</c:f>
              <c:numCache>
                <c:formatCode>General</c:formatCode>
                <c:ptCount val="6"/>
                <c:pt idx="0">
                  <c:v>-8.4943214326006489E-3</c:v>
                </c:pt>
                <c:pt idx="1">
                  <c:v>-2.3176519420805675E-2</c:v>
                </c:pt>
                <c:pt idx="2">
                  <c:v>-1.700582906496062E-2</c:v>
                </c:pt>
                <c:pt idx="3">
                  <c:v>-1.2551421912751271E-2</c:v>
                </c:pt>
                <c:pt idx="4">
                  <c:v>-3.3707638438934429E-2</c:v>
                </c:pt>
                <c:pt idx="5">
                  <c:v>3.7864343378980037E-2</c:v>
                </c:pt>
              </c:numCache>
            </c:numRef>
          </c:yVal>
          <c:smooth val="0"/>
          <c:extLst xmlns:c16r2="http://schemas.microsoft.com/office/drawing/2015/06/chart">
            <c:ext xmlns:c16="http://schemas.microsoft.com/office/drawing/2014/chart" uri="{C3380CC4-5D6E-409C-BE32-E72D297353CC}">
              <c16:uniqueId val="{00000007-7DE3-4BB1-AAC0-7DC5E500D267}"/>
            </c:ext>
          </c:extLst>
        </c:ser>
        <c:ser>
          <c:idx val="1"/>
          <c:order val="1"/>
          <c:tx>
            <c:v>990 mm</c:v>
          </c:tx>
          <c:spPr>
            <a:ln w="25400" cap="rnd">
              <a:noFill/>
              <a:round/>
            </a:ln>
            <a:effectLst/>
          </c:spPr>
          <c:marker>
            <c:symbol val="circle"/>
            <c:size val="5"/>
            <c:spPr>
              <a:solidFill>
                <a:schemeClr val="accent6">
                  <a:lumMod val="40000"/>
                  <a:lumOff val="60000"/>
                </a:schemeClr>
              </a:solidFill>
              <a:ln w="9525">
                <a:noFill/>
              </a:ln>
              <a:effectLst/>
            </c:spPr>
          </c:marker>
          <c:xVal>
            <c:numRef>
              <c:f>'Hawaii 10 kyr'!$O$10:$O$13</c:f>
              <c:numCache>
                <c:formatCode>General</c:formatCode>
                <c:ptCount val="4"/>
                <c:pt idx="0">
                  <c:v>59.492363408591444</c:v>
                </c:pt>
                <c:pt idx="1">
                  <c:v>63.365941597272723</c:v>
                </c:pt>
                <c:pt idx="2">
                  <c:v>65.605997544371476</c:v>
                </c:pt>
                <c:pt idx="3">
                  <c:v>57.694200066139388</c:v>
                </c:pt>
              </c:numCache>
            </c:numRef>
          </c:xVal>
          <c:yVal>
            <c:numRef>
              <c:f>'Hawaii 10 kyr'!$AD$10:$AD$13</c:f>
              <c:numCache>
                <c:formatCode>General</c:formatCode>
                <c:ptCount val="4"/>
                <c:pt idx="0">
                  <c:v>2.6990271451543535E-3</c:v>
                </c:pt>
                <c:pt idx="1">
                  <c:v>1.0587813361320197E-2</c:v>
                </c:pt>
                <c:pt idx="2">
                  <c:v>5.3991728036824504E-2</c:v>
                </c:pt>
                <c:pt idx="3">
                  <c:v>0.2226827118045045</c:v>
                </c:pt>
              </c:numCache>
            </c:numRef>
          </c:yVal>
          <c:smooth val="0"/>
          <c:extLst xmlns:c16r2="http://schemas.microsoft.com/office/drawing/2015/06/chart">
            <c:ext xmlns:c16="http://schemas.microsoft.com/office/drawing/2014/chart" uri="{C3380CC4-5D6E-409C-BE32-E72D297353CC}">
              <c16:uniqueId val="{00000008-7DE3-4BB1-AAC0-7DC5E500D267}"/>
            </c:ext>
          </c:extLst>
        </c:ser>
        <c:ser>
          <c:idx val="2"/>
          <c:order val="2"/>
          <c:tx>
            <c:v>1220 mm</c:v>
          </c:tx>
          <c:spPr>
            <a:ln w="25400" cap="rnd">
              <a:noFill/>
              <a:round/>
            </a:ln>
            <a:effectLst/>
          </c:spPr>
          <c:marker>
            <c:symbol val="circle"/>
            <c:size val="5"/>
            <c:spPr>
              <a:solidFill>
                <a:schemeClr val="accent6">
                  <a:lumMod val="60000"/>
                  <a:lumOff val="40000"/>
                </a:schemeClr>
              </a:solidFill>
              <a:ln w="9525">
                <a:noFill/>
              </a:ln>
              <a:effectLst/>
            </c:spPr>
          </c:marker>
          <c:xVal>
            <c:numRef>
              <c:f>'Hawaii 10 kyr'!$O$15:$O$18</c:f>
              <c:numCache>
                <c:formatCode>General</c:formatCode>
                <c:ptCount val="4"/>
                <c:pt idx="0">
                  <c:v>66.125208584204529</c:v>
                </c:pt>
                <c:pt idx="1">
                  <c:v>67.202412187165095</c:v>
                </c:pt>
                <c:pt idx="2">
                  <c:v>73.988113873882398</c:v>
                </c:pt>
                <c:pt idx="3">
                  <c:v>79.599096983841648</c:v>
                </c:pt>
              </c:numCache>
            </c:numRef>
          </c:xVal>
          <c:yVal>
            <c:numRef>
              <c:f>'Hawaii 10 kyr'!$AD$15:$AD$18</c:f>
              <c:numCache>
                <c:formatCode>General</c:formatCode>
                <c:ptCount val="4"/>
                <c:pt idx="0">
                  <c:v>0.16518364752472525</c:v>
                </c:pt>
                <c:pt idx="1">
                  <c:v>0.18245616772220141</c:v>
                </c:pt>
                <c:pt idx="2">
                  <c:v>0.53329652449374088</c:v>
                </c:pt>
                <c:pt idx="3">
                  <c:v>1.0634505438719293</c:v>
                </c:pt>
              </c:numCache>
            </c:numRef>
          </c:yVal>
          <c:smooth val="0"/>
          <c:extLst xmlns:c16r2="http://schemas.microsoft.com/office/drawing/2015/06/chart">
            <c:ext xmlns:c16="http://schemas.microsoft.com/office/drawing/2014/chart" uri="{C3380CC4-5D6E-409C-BE32-E72D297353CC}">
              <c16:uniqueId val="{00000009-7DE3-4BB1-AAC0-7DC5E500D267}"/>
            </c:ext>
          </c:extLst>
        </c:ser>
        <c:ser>
          <c:idx val="3"/>
          <c:order val="3"/>
          <c:tx>
            <c:v>1650 mm</c:v>
          </c:tx>
          <c:spPr>
            <a:ln w="25400" cap="rnd">
              <a:noFill/>
              <a:round/>
            </a:ln>
            <a:effectLst/>
          </c:spPr>
          <c:marker>
            <c:symbol val="circle"/>
            <c:size val="5"/>
            <c:spPr>
              <a:solidFill>
                <a:schemeClr val="accent6"/>
              </a:solidFill>
              <a:ln w="9525">
                <a:noFill/>
              </a:ln>
              <a:effectLst/>
            </c:spPr>
          </c:marker>
          <c:xVal>
            <c:numRef>
              <c:f>'Hawaii 10 kyr'!$O$20:$O$24</c:f>
              <c:numCache>
                <c:formatCode>General</c:formatCode>
                <c:ptCount val="5"/>
                <c:pt idx="0">
                  <c:v>85.348458712533557</c:v>
                </c:pt>
                <c:pt idx="1">
                  <c:v>83.778602175269867</c:v>
                </c:pt>
                <c:pt idx="2">
                  <c:v>90.751554130215581</c:v>
                </c:pt>
                <c:pt idx="3">
                  <c:v>92.278349454611657</c:v>
                </c:pt>
                <c:pt idx="4">
                  <c:v>40.218651150278255</c:v>
                </c:pt>
              </c:numCache>
            </c:numRef>
          </c:xVal>
          <c:yVal>
            <c:numRef>
              <c:f>'Hawaii 10 kyr'!$AD$20:$AD$24</c:f>
              <c:numCache>
                <c:formatCode>General</c:formatCode>
                <c:ptCount val="5"/>
                <c:pt idx="0">
                  <c:v>-7.2841148017567914E-2</c:v>
                </c:pt>
                <c:pt idx="1">
                  <c:v>-8.8424666733366686E-2</c:v>
                </c:pt>
                <c:pt idx="2">
                  <c:v>-0.1117824123450325</c:v>
                </c:pt>
                <c:pt idx="3">
                  <c:v>0.67546378694759768</c:v>
                </c:pt>
                <c:pt idx="4">
                  <c:v>-6.8756625776162261E-2</c:v>
                </c:pt>
              </c:numCache>
            </c:numRef>
          </c:yVal>
          <c:smooth val="0"/>
          <c:extLst xmlns:c16r2="http://schemas.microsoft.com/office/drawing/2015/06/chart">
            <c:ext xmlns:c16="http://schemas.microsoft.com/office/drawing/2014/chart" uri="{C3380CC4-5D6E-409C-BE32-E72D297353CC}">
              <c16:uniqueId val="{0000000A-7DE3-4BB1-AAC0-7DC5E500D267}"/>
            </c:ext>
          </c:extLst>
        </c:ser>
        <c:ser>
          <c:idx val="4"/>
          <c:order val="4"/>
          <c:tx>
            <c:v>1700 mm</c:v>
          </c:tx>
          <c:spPr>
            <a:ln w="25400" cap="rnd">
              <a:noFill/>
              <a:round/>
            </a:ln>
            <a:effectLst/>
          </c:spPr>
          <c:marker>
            <c:symbol val="circle"/>
            <c:size val="5"/>
            <c:spPr>
              <a:solidFill>
                <a:schemeClr val="accent6">
                  <a:lumMod val="75000"/>
                </a:schemeClr>
              </a:solidFill>
              <a:ln w="9525">
                <a:noFill/>
              </a:ln>
              <a:effectLst/>
            </c:spPr>
          </c:marker>
          <c:xVal>
            <c:numRef>
              <c:f>'Hawaii 10 kyr'!$O$26:$O$30</c:f>
              <c:numCache>
                <c:formatCode>General</c:formatCode>
                <c:ptCount val="5"/>
                <c:pt idx="0">
                  <c:v>61.208320851761947</c:v>
                </c:pt>
                <c:pt idx="1">
                  <c:v>77.228021296623766</c:v>
                </c:pt>
                <c:pt idx="2">
                  <c:v>93.71438717159306</c:v>
                </c:pt>
                <c:pt idx="3">
                  <c:v>93.607700843191765</c:v>
                </c:pt>
                <c:pt idx="4">
                  <c:v>89.850578974316278</c:v>
                </c:pt>
              </c:numCache>
            </c:numRef>
          </c:xVal>
          <c:yVal>
            <c:numRef>
              <c:f>'Hawaii 10 kyr'!$AD$26:$AD$30</c:f>
              <c:numCache>
                <c:formatCode>General</c:formatCode>
                <c:ptCount val="5"/>
                <c:pt idx="0">
                  <c:v>-0.26945067884692742</c:v>
                </c:pt>
                <c:pt idx="1">
                  <c:v>-0.31228917307161019</c:v>
                </c:pt>
                <c:pt idx="2">
                  <c:v>-0.25592045991196366</c:v>
                </c:pt>
                <c:pt idx="3">
                  <c:v>1.1722587149356092</c:v>
                </c:pt>
                <c:pt idx="4">
                  <c:v>2.408171398248899</c:v>
                </c:pt>
              </c:numCache>
            </c:numRef>
          </c:yVal>
          <c:smooth val="0"/>
          <c:extLst xmlns:c16r2="http://schemas.microsoft.com/office/drawing/2015/06/chart">
            <c:ext xmlns:c16="http://schemas.microsoft.com/office/drawing/2014/chart" uri="{C3380CC4-5D6E-409C-BE32-E72D297353CC}">
              <c16:uniqueId val="{0000000B-7DE3-4BB1-AAC0-7DC5E500D267}"/>
            </c:ext>
          </c:extLst>
        </c:ser>
        <c:ser>
          <c:idx val="5"/>
          <c:order val="5"/>
          <c:tx>
            <c:v>1980 mm</c:v>
          </c:tx>
          <c:spPr>
            <a:ln w="25400" cap="rnd">
              <a:noFill/>
              <a:round/>
            </a:ln>
            <a:effectLst/>
          </c:spPr>
          <c:marker>
            <c:symbol val="circle"/>
            <c:size val="5"/>
            <c:spPr>
              <a:solidFill>
                <a:schemeClr val="accent6">
                  <a:lumMod val="50000"/>
                </a:schemeClr>
              </a:solidFill>
              <a:ln w="9525">
                <a:noFill/>
              </a:ln>
              <a:effectLst/>
            </c:spPr>
          </c:marker>
          <c:xVal>
            <c:numRef>
              <c:f>'Hawaii 10 kyr'!$O$32:$O$36</c:f>
              <c:numCache>
                <c:formatCode>General</c:formatCode>
                <c:ptCount val="5"/>
                <c:pt idx="0">
                  <c:v>81.502937309323528</c:v>
                </c:pt>
                <c:pt idx="1">
                  <c:v>86.542158789190623</c:v>
                </c:pt>
                <c:pt idx="2">
                  <c:v>91.040493601494603</c:v>
                </c:pt>
                <c:pt idx="3">
                  <c:v>91.177148110890002</c:v>
                </c:pt>
                <c:pt idx="4">
                  <c:v>39.961263823208881</c:v>
                </c:pt>
              </c:numCache>
            </c:numRef>
          </c:xVal>
          <c:yVal>
            <c:numRef>
              <c:f>'Hawaii 10 kyr'!$AD$32:$AD$36</c:f>
              <c:numCache>
                <c:formatCode>General</c:formatCode>
                <c:ptCount val="5"/>
                <c:pt idx="0">
                  <c:v>-0.23669536558575111</c:v>
                </c:pt>
                <c:pt idx="1">
                  <c:v>-0.23626682728234893</c:v>
                </c:pt>
                <c:pt idx="2">
                  <c:v>-5.7911361071995016E-3</c:v>
                </c:pt>
                <c:pt idx="3">
                  <c:v>8.0479819332678337E-2</c:v>
                </c:pt>
                <c:pt idx="4">
                  <c:v>2.8066138698630283E-2</c:v>
                </c:pt>
              </c:numCache>
            </c:numRef>
          </c:yVal>
          <c:smooth val="0"/>
          <c:extLst xmlns:c16r2="http://schemas.microsoft.com/office/drawing/2015/06/chart">
            <c:ext xmlns:c16="http://schemas.microsoft.com/office/drawing/2014/chart" uri="{C3380CC4-5D6E-409C-BE32-E72D297353CC}">
              <c16:uniqueId val="{0000000C-7DE3-4BB1-AAC0-7DC5E500D267}"/>
            </c:ext>
          </c:extLst>
        </c:ser>
        <c:ser>
          <c:idx val="6"/>
          <c:order val="6"/>
          <c:tx>
            <c:v>2400 mm</c:v>
          </c:tx>
          <c:spPr>
            <a:ln w="25400" cap="rnd">
              <a:noFill/>
              <a:round/>
            </a:ln>
            <a:effectLst/>
          </c:spPr>
          <c:marker>
            <c:symbol val="circle"/>
            <c:size val="5"/>
            <c:spPr>
              <a:solidFill>
                <a:schemeClr val="tx1"/>
              </a:solidFill>
              <a:ln w="9525">
                <a:noFill/>
              </a:ln>
              <a:effectLst/>
            </c:spPr>
          </c:marker>
          <c:xVal>
            <c:numRef>
              <c:f>'Hawaii 10 kyr'!$O$38:$O$42</c:f>
              <c:numCache>
                <c:formatCode>General</c:formatCode>
                <c:ptCount val="5"/>
                <c:pt idx="0">
                  <c:v>82.597645169080764</c:v>
                </c:pt>
                <c:pt idx="1">
                  <c:v>81.276011661648624</c:v>
                </c:pt>
                <c:pt idx="2">
                  <c:v>94.141130023422761</c:v>
                </c:pt>
                <c:pt idx="3">
                  <c:v>73.402294321002216</c:v>
                </c:pt>
                <c:pt idx="4">
                  <c:v>38.122537554549581</c:v>
                </c:pt>
              </c:numCache>
            </c:numRef>
          </c:xVal>
          <c:yVal>
            <c:numRef>
              <c:f>'Hawaii 10 kyr'!$AD$38:$AD$42</c:f>
              <c:numCache>
                <c:formatCode>General</c:formatCode>
                <c:ptCount val="5"/>
                <c:pt idx="0">
                  <c:v>-0.11966844750075678</c:v>
                </c:pt>
                <c:pt idx="1">
                  <c:v>-0.11991106679296371</c:v>
                </c:pt>
                <c:pt idx="2">
                  <c:v>0.72646362071455584</c:v>
                </c:pt>
                <c:pt idx="3">
                  <c:v>1.1403539311198991</c:v>
                </c:pt>
                <c:pt idx="4">
                  <c:v>0.38956521739130423</c:v>
                </c:pt>
              </c:numCache>
            </c:numRef>
          </c:yVal>
          <c:smooth val="0"/>
          <c:extLst xmlns:c16r2="http://schemas.microsoft.com/office/drawing/2015/06/chart">
            <c:ext xmlns:c16="http://schemas.microsoft.com/office/drawing/2014/chart" uri="{C3380CC4-5D6E-409C-BE32-E72D297353CC}">
              <c16:uniqueId val="{0000000D-7DE3-4BB1-AAC0-7DC5E500D267}"/>
            </c:ext>
          </c:extLst>
        </c:ser>
        <c:dLbls>
          <c:showLegendKey val="0"/>
          <c:showVal val="0"/>
          <c:showCatName val="0"/>
          <c:showSerName val="0"/>
          <c:showPercent val="0"/>
          <c:showBubbleSize val="0"/>
        </c:dLbls>
        <c:axId val="158954240"/>
        <c:axId val="158956544"/>
      </c:scatterChart>
      <c:valAx>
        <c:axId val="158954240"/>
        <c:scaling>
          <c:orientation val="minMax"/>
          <c:max val="100"/>
          <c:min val="3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CIA</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956544"/>
        <c:crossesAt val="-1"/>
        <c:crossBetween val="midCat"/>
      </c:valAx>
      <c:valAx>
        <c:axId val="158956544"/>
        <c:scaling>
          <c:orientation val="minMax"/>
          <c:max val="5"/>
          <c:min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Tau_Ti,Al</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954240"/>
        <c:crosses val="autoZero"/>
        <c:crossBetween val="midCat"/>
      </c:valAx>
      <c:spPr>
        <a:noFill/>
        <a:ln>
          <a:solidFill>
            <a:sysClr val="windowText" lastClr="000000"/>
          </a:solid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640 mm</c:v>
          </c:tx>
          <c:spPr>
            <a:ln w="25400" cap="rnd">
              <a:noFill/>
              <a:round/>
            </a:ln>
            <a:effectLst/>
          </c:spPr>
          <c:marker>
            <c:symbol val="circle"/>
            <c:size val="5"/>
            <c:spPr>
              <a:solidFill>
                <a:schemeClr val="accent6">
                  <a:lumMod val="20000"/>
                  <a:lumOff val="80000"/>
                </a:schemeClr>
              </a:solidFill>
              <a:ln w="9525">
                <a:noFill/>
              </a:ln>
              <a:effectLst/>
            </c:spPr>
          </c:marker>
          <c:xVal>
            <c:numRef>
              <c:f>'Hawaii 10 kyr'!$P$3:$P$8</c:f>
              <c:numCache>
                <c:formatCode>General</c:formatCode>
                <c:ptCount val="6"/>
                <c:pt idx="0">
                  <c:v>37.190775447635133</c:v>
                </c:pt>
                <c:pt idx="1">
                  <c:v>40.445396927714832</c:v>
                </c:pt>
                <c:pt idx="2">
                  <c:v>42.055202706345177</c:v>
                </c:pt>
                <c:pt idx="3">
                  <c:v>44.170998350771953</c:v>
                </c:pt>
                <c:pt idx="4">
                  <c:v>49.003316710642338</c:v>
                </c:pt>
                <c:pt idx="5">
                  <c:v>22.373158263772041</c:v>
                </c:pt>
              </c:numCache>
            </c:numRef>
          </c:xVal>
          <c:yVal>
            <c:numRef>
              <c:f>'Hawaii 10 kyr'!$AD$3:$AD$8</c:f>
              <c:numCache>
                <c:formatCode>General</c:formatCode>
                <c:ptCount val="6"/>
                <c:pt idx="0">
                  <c:v>-8.4943214326006489E-3</c:v>
                </c:pt>
                <c:pt idx="1">
                  <c:v>-2.3176519420805675E-2</c:v>
                </c:pt>
                <c:pt idx="2">
                  <c:v>-1.700582906496062E-2</c:v>
                </c:pt>
                <c:pt idx="3">
                  <c:v>-1.2551421912751271E-2</c:v>
                </c:pt>
                <c:pt idx="4">
                  <c:v>-3.3707638438934429E-2</c:v>
                </c:pt>
                <c:pt idx="5">
                  <c:v>3.7864343378980037E-2</c:v>
                </c:pt>
              </c:numCache>
            </c:numRef>
          </c:yVal>
          <c:smooth val="0"/>
          <c:extLst xmlns:c16r2="http://schemas.microsoft.com/office/drawing/2015/06/chart">
            <c:ext xmlns:c16="http://schemas.microsoft.com/office/drawing/2014/chart" uri="{C3380CC4-5D6E-409C-BE32-E72D297353CC}">
              <c16:uniqueId val="{00000000-DE04-4F36-9EEE-09EB06C5AD1A}"/>
            </c:ext>
          </c:extLst>
        </c:ser>
        <c:ser>
          <c:idx val="1"/>
          <c:order val="1"/>
          <c:tx>
            <c:v>990 mm</c:v>
          </c:tx>
          <c:spPr>
            <a:ln w="25400" cap="rnd">
              <a:noFill/>
              <a:round/>
            </a:ln>
            <a:effectLst/>
          </c:spPr>
          <c:marker>
            <c:symbol val="circle"/>
            <c:size val="5"/>
            <c:spPr>
              <a:solidFill>
                <a:schemeClr val="accent6">
                  <a:lumMod val="40000"/>
                  <a:lumOff val="60000"/>
                </a:schemeClr>
              </a:solidFill>
              <a:ln w="9525">
                <a:noFill/>
              </a:ln>
              <a:effectLst/>
            </c:spPr>
          </c:marker>
          <c:xVal>
            <c:numRef>
              <c:f>'Hawaii 10 kyr'!$P$10:$P$13</c:f>
              <c:numCache>
                <c:formatCode>General</c:formatCode>
                <c:ptCount val="4"/>
                <c:pt idx="0">
                  <c:v>61.132164892910815</c:v>
                </c:pt>
                <c:pt idx="1">
                  <c:v>64.60353408440082</c:v>
                </c:pt>
                <c:pt idx="2">
                  <c:v>66.804192625852025</c:v>
                </c:pt>
                <c:pt idx="3">
                  <c:v>58.338689640611705</c:v>
                </c:pt>
              </c:numCache>
            </c:numRef>
          </c:xVal>
          <c:yVal>
            <c:numRef>
              <c:f>'Hawaii 10 kyr'!$AD$10:$AD$13</c:f>
              <c:numCache>
                <c:formatCode>General</c:formatCode>
                <c:ptCount val="4"/>
                <c:pt idx="0">
                  <c:v>2.6990271451543535E-3</c:v>
                </c:pt>
                <c:pt idx="1">
                  <c:v>1.0587813361320197E-2</c:v>
                </c:pt>
                <c:pt idx="2">
                  <c:v>5.3991728036824504E-2</c:v>
                </c:pt>
                <c:pt idx="3">
                  <c:v>0.2226827118045045</c:v>
                </c:pt>
              </c:numCache>
            </c:numRef>
          </c:yVal>
          <c:smooth val="0"/>
          <c:extLst xmlns:c16r2="http://schemas.microsoft.com/office/drawing/2015/06/chart">
            <c:ext xmlns:c16="http://schemas.microsoft.com/office/drawing/2014/chart" uri="{C3380CC4-5D6E-409C-BE32-E72D297353CC}">
              <c16:uniqueId val="{00000001-DE04-4F36-9EEE-09EB06C5AD1A}"/>
            </c:ext>
          </c:extLst>
        </c:ser>
        <c:ser>
          <c:idx val="2"/>
          <c:order val="2"/>
          <c:tx>
            <c:v>1220 mm</c:v>
          </c:tx>
          <c:spPr>
            <a:ln w="25400" cap="rnd">
              <a:noFill/>
              <a:round/>
            </a:ln>
            <a:effectLst/>
          </c:spPr>
          <c:marker>
            <c:symbol val="circle"/>
            <c:size val="5"/>
            <c:spPr>
              <a:solidFill>
                <a:schemeClr val="accent6">
                  <a:lumMod val="60000"/>
                  <a:lumOff val="40000"/>
                </a:schemeClr>
              </a:solidFill>
              <a:ln w="9525">
                <a:noFill/>
              </a:ln>
              <a:effectLst/>
            </c:spPr>
          </c:marker>
          <c:xVal>
            <c:numRef>
              <c:f>'Hawaii 10 kyr'!$P$15:$P$18</c:f>
              <c:numCache>
                <c:formatCode>General</c:formatCode>
                <c:ptCount val="4"/>
                <c:pt idx="0">
                  <c:v>68.76905493632519</c:v>
                </c:pt>
                <c:pt idx="1">
                  <c:v>69.220852508209006</c:v>
                </c:pt>
                <c:pt idx="2">
                  <c:v>75.034305367040616</c:v>
                </c:pt>
                <c:pt idx="3">
                  <c:v>80.05621955214896</c:v>
                </c:pt>
              </c:numCache>
            </c:numRef>
          </c:xVal>
          <c:yVal>
            <c:numRef>
              <c:f>'Hawaii 10 kyr'!$AD$15:$AD$18</c:f>
              <c:numCache>
                <c:formatCode>General</c:formatCode>
                <c:ptCount val="4"/>
                <c:pt idx="0">
                  <c:v>0.16518364752472525</c:v>
                </c:pt>
                <c:pt idx="1">
                  <c:v>0.18245616772220141</c:v>
                </c:pt>
                <c:pt idx="2">
                  <c:v>0.53329652449374088</c:v>
                </c:pt>
                <c:pt idx="3">
                  <c:v>1.0634505438719293</c:v>
                </c:pt>
              </c:numCache>
            </c:numRef>
          </c:yVal>
          <c:smooth val="0"/>
          <c:extLst xmlns:c16r2="http://schemas.microsoft.com/office/drawing/2015/06/chart">
            <c:ext xmlns:c16="http://schemas.microsoft.com/office/drawing/2014/chart" uri="{C3380CC4-5D6E-409C-BE32-E72D297353CC}">
              <c16:uniqueId val="{00000002-DE04-4F36-9EEE-09EB06C5AD1A}"/>
            </c:ext>
          </c:extLst>
        </c:ser>
        <c:ser>
          <c:idx val="3"/>
          <c:order val="3"/>
          <c:tx>
            <c:v>1650 mm</c:v>
          </c:tx>
          <c:spPr>
            <a:ln w="25400" cap="rnd">
              <a:noFill/>
              <a:round/>
            </a:ln>
            <a:effectLst/>
          </c:spPr>
          <c:marker>
            <c:symbol val="circle"/>
            <c:size val="5"/>
            <c:spPr>
              <a:solidFill>
                <a:schemeClr val="accent6"/>
              </a:solidFill>
              <a:ln w="9525">
                <a:noFill/>
              </a:ln>
              <a:effectLst/>
            </c:spPr>
          </c:marker>
          <c:xVal>
            <c:numRef>
              <c:f>'Hawaii 10 kyr'!$P$20:$P$24</c:f>
              <c:numCache>
                <c:formatCode>General</c:formatCode>
                <c:ptCount val="5"/>
                <c:pt idx="0">
                  <c:v>86.929553490079826</c:v>
                </c:pt>
                <c:pt idx="1">
                  <c:v>85.470110539115012</c:v>
                </c:pt>
                <c:pt idx="2">
                  <c:v>92.968366885775339</c:v>
                </c:pt>
                <c:pt idx="3">
                  <c:v>92.736353387323462</c:v>
                </c:pt>
                <c:pt idx="4">
                  <c:v>40.378137999712024</c:v>
                </c:pt>
              </c:numCache>
            </c:numRef>
          </c:xVal>
          <c:yVal>
            <c:numRef>
              <c:f>'Hawaii 10 kyr'!$AD$20:$AD$24</c:f>
              <c:numCache>
                <c:formatCode>General</c:formatCode>
                <c:ptCount val="5"/>
                <c:pt idx="0">
                  <c:v>-7.2841148017567914E-2</c:v>
                </c:pt>
                <c:pt idx="1">
                  <c:v>-8.8424666733366686E-2</c:v>
                </c:pt>
                <c:pt idx="2">
                  <c:v>-0.1117824123450325</c:v>
                </c:pt>
                <c:pt idx="3">
                  <c:v>0.67546378694759768</c:v>
                </c:pt>
                <c:pt idx="4">
                  <c:v>-6.8756625776162261E-2</c:v>
                </c:pt>
              </c:numCache>
            </c:numRef>
          </c:yVal>
          <c:smooth val="0"/>
          <c:extLst xmlns:c16r2="http://schemas.microsoft.com/office/drawing/2015/06/chart">
            <c:ext xmlns:c16="http://schemas.microsoft.com/office/drawing/2014/chart" uri="{C3380CC4-5D6E-409C-BE32-E72D297353CC}">
              <c16:uniqueId val="{00000003-DE04-4F36-9EEE-09EB06C5AD1A}"/>
            </c:ext>
          </c:extLst>
        </c:ser>
        <c:ser>
          <c:idx val="4"/>
          <c:order val="4"/>
          <c:tx>
            <c:v>1700 mm</c:v>
          </c:tx>
          <c:spPr>
            <a:ln w="25400" cap="rnd">
              <a:noFill/>
              <a:round/>
            </a:ln>
            <a:effectLst/>
          </c:spPr>
          <c:marker>
            <c:symbol val="circle"/>
            <c:size val="5"/>
            <c:spPr>
              <a:solidFill>
                <a:schemeClr val="accent6">
                  <a:lumMod val="75000"/>
                </a:schemeClr>
              </a:solidFill>
              <a:ln w="9525">
                <a:noFill/>
              </a:ln>
              <a:effectLst/>
            </c:spPr>
          </c:marker>
          <c:xVal>
            <c:numRef>
              <c:f>'Hawaii 10 kyr'!$P$26:$P$30</c:f>
              <c:numCache>
                <c:formatCode>General</c:formatCode>
                <c:ptCount val="5"/>
                <c:pt idx="0">
                  <c:v>62.541954976442469</c:v>
                </c:pt>
                <c:pt idx="1">
                  <c:v>79.116302506368257</c:v>
                </c:pt>
                <c:pt idx="2">
                  <c:v>95.835512883991385</c:v>
                </c:pt>
                <c:pt idx="3">
                  <c:v>93.867309326447085</c:v>
                </c:pt>
                <c:pt idx="4">
                  <c:v>90.014784169844475</c:v>
                </c:pt>
              </c:numCache>
            </c:numRef>
          </c:xVal>
          <c:yVal>
            <c:numRef>
              <c:f>'Hawaii 10 kyr'!$AD$26:$AD$30</c:f>
              <c:numCache>
                <c:formatCode>General</c:formatCode>
                <c:ptCount val="5"/>
                <c:pt idx="0">
                  <c:v>-0.26945067884692742</c:v>
                </c:pt>
                <c:pt idx="1">
                  <c:v>-0.31228917307161019</c:v>
                </c:pt>
                <c:pt idx="2">
                  <c:v>-0.25592045991196366</c:v>
                </c:pt>
                <c:pt idx="3">
                  <c:v>1.1722587149356092</c:v>
                </c:pt>
                <c:pt idx="4">
                  <c:v>2.408171398248899</c:v>
                </c:pt>
              </c:numCache>
            </c:numRef>
          </c:yVal>
          <c:smooth val="0"/>
          <c:extLst xmlns:c16r2="http://schemas.microsoft.com/office/drawing/2015/06/chart">
            <c:ext xmlns:c16="http://schemas.microsoft.com/office/drawing/2014/chart" uri="{C3380CC4-5D6E-409C-BE32-E72D297353CC}">
              <c16:uniqueId val="{00000004-DE04-4F36-9EEE-09EB06C5AD1A}"/>
            </c:ext>
          </c:extLst>
        </c:ser>
        <c:ser>
          <c:idx val="5"/>
          <c:order val="5"/>
          <c:tx>
            <c:v>1980 mm</c:v>
          </c:tx>
          <c:spPr>
            <a:ln w="25400" cap="rnd">
              <a:noFill/>
              <a:round/>
            </a:ln>
            <a:effectLst/>
          </c:spPr>
          <c:marker>
            <c:symbol val="circle"/>
            <c:size val="5"/>
            <c:spPr>
              <a:solidFill>
                <a:schemeClr val="accent6">
                  <a:lumMod val="50000"/>
                </a:schemeClr>
              </a:solidFill>
              <a:ln w="9525">
                <a:noFill/>
              </a:ln>
              <a:effectLst/>
            </c:spPr>
          </c:marker>
          <c:xVal>
            <c:numRef>
              <c:f>'Hawaii 10 kyr'!$P$32:$P$36</c:f>
              <c:numCache>
                <c:formatCode>General</c:formatCode>
                <c:ptCount val="5"/>
                <c:pt idx="0">
                  <c:v>83.812903848898429</c:v>
                </c:pt>
                <c:pt idx="1">
                  <c:v>88.819951432963123</c:v>
                </c:pt>
                <c:pt idx="2">
                  <c:v>93.164309223963386</c:v>
                </c:pt>
                <c:pt idx="3">
                  <c:v>93.10539114669443</c:v>
                </c:pt>
                <c:pt idx="4">
                  <c:v>40.087690279573415</c:v>
                </c:pt>
              </c:numCache>
            </c:numRef>
          </c:xVal>
          <c:yVal>
            <c:numRef>
              <c:f>'Hawaii 10 kyr'!$AD$32:$AD$36</c:f>
              <c:numCache>
                <c:formatCode>General</c:formatCode>
                <c:ptCount val="5"/>
                <c:pt idx="0">
                  <c:v>-0.23669536558575111</c:v>
                </c:pt>
                <c:pt idx="1">
                  <c:v>-0.23626682728234893</c:v>
                </c:pt>
                <c:pt idx="2">
                  <c:v>-5.7911361071995016E-3</c:v>
                </c:pt>
                <c:pt idx="3">
                  <c:v>8.0479819332678337E-2</c:v>
                </c:pt>
                <c:pt idx="4">
                  <c:v>2.8066138698630283E-2</c:v>
                </c:pt>
              </c:numCache>
            </c:numRef>
          </c:yVal>
          <c:smooth val="0"/>
          <c:extLst xmlns:c16r2="http://schemas.microsoft.com/office/drawing/2015/06/chart">
            <c:ext xmlns:c16="http://schemas.microsoft.com/office/drawing/2014/chart" uri="{C3380CC4-5D6E-409C-BE32-E72D297353CC}">
              <c16:uniqueId val="{00000005-DE04-4F36-9EEE-09EB06C5AD1A}"/>
            </c:ext>
          </c:extLst>
        </c:ser>
        <c:ser>
          <c:idx val="6"/>
          <c:order val="6"/>
          <c:tx>
            <c:v>2400 mm</c:v>
          </c:tx>
          <c:spPr>
            <a:ln w="25400" cap="rnd">
              <a:noFill/>
              <a:round/>
            </a:ln>
            <a:effectLst/>
          </c:spPr>
          <c:marker>
            <c:symbol val="circle"/>
            <c:size val="5"/>
            <c:spPr>
              <a:solidFill>
                <a:schemeClr val="tx1"/>
              </a:solidFill>
              <a:ln w="9525">
                <a:noFill/>
              </a:ln>
              <a:effectLst/>
            </c:spPr>
          </c:marker>
          <c:xVal>
            <c:numRef>
              <c:f>'Hawaii 10 kyr'!$P$38:$P$42</c:f>
              <c:numCache>
                <c:formatCode>General</c:formatCode>
                <c:ptCount val="5"/>
                <c:pt idx="0">
                  <c:v>84.66856639523418</c:v>
                </c:pt>
                <c:pt idx="1">
                  <c:v>83.030110459016058</c:v>
                </c:pt>
                <c:pt idx="2">
                  <c:v>95.516145305918172</c:v>
                </c:pt>
                <c:pt idx="3">
                  <c:v>73.790350557519062</c:v>
                </c:pt>
                <c:pt idx="4">
                  <c:v>38.257743455389686</c:v>
                </c:pt>
              </c:numCache>
            </c:numRef>
          </c:xVal>
          <c:yVal>
            <c:numRef>
              <c:f>'Hawaii 10 kyr'!$AD$38:$AD$42</c:f>
              <c:numCache>
                <c:formatCode>General</c:formatCode>
                <c:ptCount val="5"/>
                <c:pt idx="0">
                  <c:v>-0.11966844750075678</c:v>
                </c:pt>
                <c:pt idx="1">
                  <c:v>-0.11991106679296371</c:v>
                </c:pt>
                <c:pt idx="2">
                  <c:v>0.72646362071455584</c:v>
                </c:pt>
                <c:pt idx="3">
                  <c:v>1.1403539311198991</c:v>
                </c:pt>
                <c:pt idx="4">
                  <c:v>0.38956521739130423</c:v>
                </c:pt>
              </c:numCache>
            </c:numRef>
          </c:yVal>
          <c:smooth val="0"/>
          <c:extLst xmlns:c16r2="http://schemas.microsoft.com/office/drawing/2015/06/chart">
            <c:ext xmlns:c16="http://schemas.microsoft.com/office/drawing/2014/chart" uri="{C3380CC4-5D6E-409C-BE32-E72D297353CC}">
              <c16:uniqueId val="{00000006-DE04-4F36-9EEE-09EB06C5AD1A}"/>
            </c:ext>
          </c:extLst>
        </c:ser>
        <c:dLbls>
          <c:showLegendKey val="0"/>
          <c:showVal val="0"/>
          <c:showCatName val="0"/>
          <c:showSerName val="0"/>
          <c:showPercent val="0"/>
          <c:showBubbleSize val="0"/>
        </c:dLbls>
        <c:axId val="159820800"/>
        <c:axId val="159835648"/>
      </c:scatterChart>
      <c:valAx>
        <c:axId val="159820800"/>
        <c:scaling>
          <c:orientation val="minMax"/>
          <c:max val="100"/>
          <c:min val="3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CIA-K</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835648"/>
        <c:crossesAt val="-1"/>
        <c:crossBetween val="midCat"/>
      </c:valAx>
      <c:valAx>
        <c:axId val="159835648"/>
        <c:scaling>
          <c:orientation val="minMax"/>
          <c:max val="5"/>
          <c:min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baseline="0">
                    <a:effectLst/>
                  </a:rPr>
                  <a:t>Tau_Ti,Al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820800"/>
        <c:crosses val="autoZero"/>
        <c:crossBetween val="midCat"/>
      </c:valAx>
      <c:spPr>
        <a:noFill/>
        <a:ln>
          <a:solidFill>
            <a:sysClr val="windowText" lastClr="000000"/>
          </a:solid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570 mm</c:v>
          </c:tx>
          <c:spPr>
            <a:ln w="25400" cap="rnd">
              <a:noFill/>
              <a:round/>
            </a:ln>
            <a:effectLst/>
          </c:spPr>
          <c:marker>
            <c:symbol val="circle"/>
            <c:size val="5"/>
            <c:spPr>
              <a:solidFill>
                <a:schemeClr val="accent1">
                  <a:lumMod val="20000"/>
                  <a:lumOff val="80000"/>
                </a:schemeClr>
              </a:solidFill>
              <a:ln w="9525">
                <a:noFill/>
              </a:ln>
              <a:effectLst/>
            </c:spPr>
          </c:marker>
          <c:xVal>
            <c:numRef>
              <c:f>'Hawaii 170 kyr'!$O$3:$O$9</c:f>
              <c:numCache>
                <c:formatCode>General</c:formatCode>
                <c:ptCount val="7"/>
                <c:pt idx="0">
                  <c:v>79.064467642103779</c:v>
                </c:pt>
                <c:pt idx="1">
                  <c:v>83.216153115164047</c:v>
                </c:pt>
                <c:pt idx="2">
                  <c:v>88.48063972003402</c:v>
                </c:pt>
                <c:pt idx="3">
                  <c:v>90.64305304492099</c:v>
                </c:pt>
                <c:pt idx="4">
                  <c:v>90.747134932330027</c:v>
                </c:pt>
                <c:pt idx="5">
                  <c:v>91.579855184306552</c:v>
                </c:pt>
                <c:pt idx="6">
                  <c:v>41.313542373352121</c:v>
                </c:pt>
              </c:numCache>
            </c:numRef>
          </c:xVal>
          <c:yVal>
            <c:numRef>
              <c:f>'Hawaii 170 kyr'!$AD$3:$AD$9</c:f>
              <c:numCache>
                <c:formatCode>General</c:formatCode>
                <c:ptCount val="7"/>
                <c:pt idx="0">
                  <c:v>-0.15234661203223809</c:v>
                </c:pt>
                <c:pt idx="1">
                  <c:v>-0.17482691559704433</c:v>
                </c:pt>
                <c:pt idx="2">
                  <c:v>-0.12051304944843511</c:v>
                </c:pt>
                <c:pt idx="3">
                  <c:v>-0.10835816121637876</c:v>
                </c:pt>
                <c:pt idx="4">
                  <c:v>-0.16362940933544345</c:v>
                </c:pt>
                <c:pt idx="5">
                  <c:v>-0.12680821604238679</c:v>
                </c:pt>
                <c:pt idx="6">
                  <c:v>-8.2252270803303884E-2</c:v>
                </c:pt>
              </c:numCache>
            </c:numRef>
          </c:yVal>
          <c:smooth val="0"/>
          <c:extLst xmlns:c16r2="http://schemas.microsoft.com/office/drawing/2015/06/chart">
            <c:ext xmlns:c16="http://schemas.microsoft.com/office/drawing/2014/chart" uri="{C3380CC4-5D6E-409C-BE32-E72D297353CC}">
              <c16:uniqueId val="{00000002-7B4C-4C8F-B9F6-95783449DD28}"/>
            </c:ext>
          </c:extLst>
        </c:ser>
        <c:ser>
          <c:idx val="1"/>
          <c:order val="1"/>
          <c:tx>
            <c:v>930 mm</c:v>
          </c:tx>
          <c:spPr>
            <a:ln w="25400" cap="rnd">
              <a:noFill/>
              <a:round/>
            </a:ln>
            <a:effectLst/>
          </c:spPr>
          <c:marker>
            <c:symbol val="circle"/>
            <c:size val="5"/>
            <c:spPr>
              <a:solidFill>
                <a:schemeClr val="accent1">
                  <a:lumMod val="40000"/>
                  <a:lumOff val="60000"/>
                </a:schemeClr>
              </a:solidFill>
              <a:ln w="9525">
                <a:noFill/>
              </a:ln>
              <a:effectLst/>
            </c:spPr>
          </c:marker>
          <c:xVal>
            <c:numRef>
              <c:f>'Hawaii 170 kyr'!$O$11:$O$16</c:f>
              <c:numCache>
                <c:formatCode>General</c:formatCode>
                <c:ptCount val="6"/>
                <c:pt idx="0">
                  <c:v>70.618619616716799</c:v>
                </c:pt>
                <c:pt idx="1">
                  <c:v>74.88002500539929</c:v>
                </c:pt>
                <c:pt idx="2">
                  <c:v>83.957459449574429</c:v>
                </c:pt>
                <c:pt idx="3">
                  <c:v>81.448374532927375</c:v>
                </c:pt>
                <c:pt idx="4">
                  <c:v>49.622271227236325</c:v>
                </c:pt>
                <c:pt idx="5">
                  <c:v>41.862634738648488</c:v>
                </c:pt>
              </c:numCache>
            </c:numRef>
          </c:xVal>
          <c:yVal>
            <c:numRef>
              <c:f>'Hawaii 170 kyr'!$AD$11:$AD$16</c:f>
              <c:numCache>
                <c:formatCode>General</c:formatCode>
                <c:ptCount val="6"/>
                <c:pt idx="0">
                  <c:v>0.10725200838281523</c:v>
                </c:pt>
                <c:pt idx="1">
                  <c:v>0.11454767726161408</c:v>
                </c:pt>
                <c:pt idx="2">
                  <c:v>0.16814864633883553</c:v>
                </c:pt>
                <c:pt idx="3">
                  <c:v>0.15262004311280242</c:v>
                </c:pt>
                <c:pt idx="4">
                  <c:v>0.10970983748022456</c:v>
                </c:pt>
                <c:pt idx="5">
                  <c:v>-0.15349694159002525</c:v>
                </c:pt>
              </c:numCache>
            </c:numRef>
          </c:yVal>
          <c:smooth val="0"/>
          <c:extLst xmlns:c16r2="http://schemas.microsoft.com/office/drawing/2015/06/chart">
            <c:ext xmlns:c16="http://schemas.microsoft.com/office/drawing/2014/chart" uri="{C3380CC4-5D6E-409C-BE32-E72D297353CC}">
              <c16:uniqueId val="{00000003-7B4C-4C8F-B9F6-95783449DD28}"/>
            </c:ext>
          </c:extLst>
        </c:ser>
        <c:ser>
          <c:idx val="2"/>
          <c:order val="2"/>
          <c:tx>
            <c:v>1000 mm</c:v>
          </c:tx>
          <c:spPr>
            <a:ln w="25400" cap="rnd">
              <a:noFill/>
              <a:round/>
            </a:ln>
            <a:effectLst/>
          </c:spPr>
          <c:marker>
            <c:symbol val="circle"/>
            <c:size val="5"/>
            <c:spPr>
              <a:solidFill>
                <a:schemeClr val="accent1">
                  <a:lumMod val="60000"/>
                  <a:lumOff val="40000"/>
                </a:schemeClr>
              </a:solidFill>
              <a:ln w="9525">
                <a:noFill/>
              </a:ln>
              <a:effectLst/>
            </c:spPr>
          </c:marker>
          <c:xVal>
            <c:numRef>
              <c:f>'Hawaii 170 kyr'!$O$18:$O$22</c:f>
              <c:numCache>
                <c:formatCode>General</c:formatCode>
                <c:ptCount val="5"/>
                <c:pt idx="0">
                  <c:v>69.934291237057295</c:v>
                </c:pt>
                <c:pt idx="1">
                  <c:v>75.763360771834527</c:v>
                </c:pt>
                <c:pt idx="2">
                  <c:v>80.889532241380962</c:v>
                </c:pt>
                <c:pt idx="3">
                  <c:v>84.971990995830964</c:v>
                </c:pt>
                <c:pt idx="4">
                  <c:v>88.941618243259853</c:v>
                </c:pt>
              </c:numCache>
            </c:numRef>
          </c:xVal>
          <c:yVal>
            <c:numRef>
              <c:f>'Hawaii 170 kyr'!$AD$18:$AD$22</c:f>
              <c:numCache>
                <c:formatCode>General</c:formatCode>
                <c:ptCount val="5"/>
                <c:pt idx="0">
                  <c:v>0.51197622945849197</c:v>
                </c:pt>
                <c:pt idx="1">
                  <c:v>0.67214193053296989</c:v>
                </c:pt>
                <c:pt idx="2">
                  <c:v>0.76903765690376535</c:v>
                </c:pt>
                <c:pt idx="3">
                  <c:v>0.22148295493518022</c:v>
                </c:pt>
                <c:pt idx="4">
                  <c:v>7.6359832635982894E-2</c:v>
                </c:pt>
              </c:numCache>
            </c:numRef>
          </c:yVal>
          <c:smooth val="0"/>
          <c:extLst xmlns:c16r2="http://schemas.microsoft.com/office/drawing/2015/06/chart">
            <c:ext xmlns:c16="http://schemas.microsoft.com/office/drawing/2014/chart" uri="{C3380CC4-5D6E-409C-BE32-E72D297353CC}">
              <c16:uniqueId val="{00000004-7B4C-4C8F-B9F6-95783449DD28}"/>
            </c:ext>
          </c:extLst>
        </c:ser>
        <c:ser>
          <c:idx val="3"/>
          <c:order val="3"/>
          <c:tx>
            <c:v>1260 mm</c:v>
          </c:tx>
          <c:spPr>
            <a:ln w="25400" cap="rnd">
              <a:noFill/>
              <a:round/>
            </a:ln>
            <a:effectLst/>
          </c:spPr>
          <c:marker>
            <c:symbol val="circle"/>
            <c:size val="5"/>
            <c:spPr>
              <a:solidFill>
                <a:schemeClr val="accent1"/>
              </a:solidFill>
              <a:ln w="9525">
                <a:noFill/>
              </a:ln>
              <a:effectLst/>
            </c:spPr>
          </c:marker>
          <c:xVal>
            <c:numRef>
              <c:f>'Hawaii 170 kyr'!$O$24:$O$31</c:f>
              <c:numCache>
                <c:formatCode>General</c:formatCode>
                <c:ptCount val="8"/>
                <c:pt idx="0">
                  <c:v>69.238667178723404</c:v>
                </c:pt>
                <c:pt idx="1">
                  <c:v>81.591063689739144</c:v>
                </c:pt>
                <c:pt idx="2">
                  <c:v>89.118266667514135</c:v>
                </c:pt>
                <c:pt idx="3">
                  <c:v>87.366377046713765</c:v>
                </c:pt>
                <c:pt idx="4">
                  <c:v>87.403985827997516</c:v>
                </c:pt>
                <c:pt idx="5">
                  <c:v>87.029617124994559</c:v>
                </c:pt>
                <c:pt idx="6">
                  <c:v>66.342903926212543</c:v>
                </c:pt>
                <c:pt idx="7">
                  <c:v>45.885036132210708</c:v>
                </c:pt>
              </c:numCache>
            </c:numRef>
          </c:xVal>
          <c:yVal>
            <c:numRef>
              <c:f>'Hawaii 170 kyr'!$AD$24:$AD$31</c:f>
              <c:numCache>
                <c:formatCode>General</c:formatCode>
                <c:ptCount val="8"/>
                <c:pt idx="0">
                  <c:v>0.27300752226683267</c:v>
                </c:pt>
                <c:pt idx="1">
                  <c:v>2.2319093286834901E-2</c:v>
                </c:pt>
                <c:pt idx="2">
                  <c:v>0.14197016996184519</c:v>
                </c:pt>
                <c:pt idx="3">
                  <c:v>8.5516497857973439E-2</c:v>
                </c:pt>
                <c:pt idx="4">
                  <c:v>0.17529885264612211</c:v>
                </c:pt>
                <c:pt idx="5">
                  <c:v>0.18805256869772968</c:v>
                </c:pt>
                <c:pt idx="6">
                  <c:v>0.21236559139784927</c:v>
                </c:pt>
                <c:pt idx="7">
                  <c:v>8.6092715231788075E-2</c:v>
                </c:pt>
              </c:numCache>
            </c:numRef>
          </c:yVal>
          <c:smooth val="0"/>
          <c:extLst xmlns:c16r2="http://schemas.microsoft.com/office/drawing/2015/06/chart">
            <c:ext xmlns:c16="http://schemas.microsoft.com/office/drawing/2014/chart" uri="{C3380CC4-5D6E-409C-BE32-E72D297353CC}">
              <c16:uniqueId val="{00000005-7B4C-4C8F-B9F6-95783449DD28}"/>
            </c:ext>
          </c:extLst>
        </c:ser>
        <c:ser>
          <c:idx val="4"/>
          <c:order val="4"/>
          <c:tx>
            <c:v>1500 mm</c:v>
          </c:tx>
          <c:spPr>
            <a:ln w="25400" cap="rnd">
              <a:noFill/>
              <a:round/>
            </a:ln>
            <a:effectLst/>
          </c:spPr>
          <c:marker>
            <c:symbol val="circle"/>
            <c:size val="5"/>
            <c:spPr>
              <a:solidFill>
                <a:schemeClr val="accent1">
                  <a:lumMod val="75000"/>
                </a:schemeClr>
              </a:solidFill>
              <a:ln w="9525">
                <a:noFill/>
              </a:ln>
              <a:effectLst/>
            </c:spPr>
          </c:marker>
          <c:xVal>
            <c:numRef>
              <c:f>'Hawaii 170 kyr'!$O$33:$O$45</c:f>
              <c:numCache>
                <c:formatCode>General</c:formatCode>
                <c:ptCount val="13"/>
                <c:pt idx="0">
                  <c:v>85.276546937860459</c:v>
                </c:pt>
                <c:pt idx="1">
                  <c:v>80.595457273711943</c:v>
                </c:pt>
                <c:pt idx="2">
                  <c:v>84.71502287327894</c:v>
                </c:pt>
                <c:pt idx="3">
                  <c:v>95.445313832857309</c:v>
                </c:pt>
                <c:pt idx="4">
                  <c:v>97.905291330586365</c:v>
                </c:pt>
                <c:pt idx="5">
                  <c:v>93.79507321658366</c:v>
                </c:pt>
                <c:pt idx="6">
                  <c:v>96.564291512180603</c:v>
                </c:pt>
                <c:pt idx="7">
                  <c:v>90.191108826301758</c:v>
                </c:pt>
                <c:pt idx="8">
                  <c:v>93.205839990809807</c:v>
                </c:pt>
                <c:pt idx="9">
                  <c:v>98.447962629429526</c:v>
                </c:pt>
                <c:pt idx="10">
                  <c:v>96.922440895904202</c:v>
                </c:pt>
                <c:pt idx="11">
                  <c:v>97.738399834145724</c:v>
                </c:pt>
                <c:pt idx="12">
                  <c:v>98.87350215241149</c:v>
                </c:pt>
              </c:numCache>
            </c:numRef>
          </c:xVal>
          <c:yVal>
            <c:numRef>
              <c:f>'Hawaii 170 kyr'!$AD$33:$AD$45</c:f>
              <c:numCache>
                <c:formatCode>General</c:formatCode>
                <c:ptCount val="13"/>
                <c:pt idx="0">
                  <c:v>-0.49225498040663929</c:v>
                </c:pt>
                <c:pt idx="1">
                  <c:v>-0.64273202588457701</c:v>
                </c:pt>
                <c:pt idx="2">
                  <c:v>-0.53723339042955276</c:v>
                </c:pt>
                <c:pt idx="3">
                  <c:v>3.4255720328186134E-2</c:v>
                </c:pt>
                <c:pt idx="4">
                  <c:v>0.24800333508864303</c:v>
                </c:pt>
                <c:pt idx="5">
                  <c:v>8.254460894648763E-2</c:v>
                </c:pt>
                <c:pt idx="6">
                  <c:v>-0.11322245074368831</c:v>
                </c:pt>
                <c:pt idx="7">
                  <c:v>4.4653105133645843E-2</c:v>
                </c:pt>
                <c:pt idx="8">
                  <c:v>-6.0643243912598011E-2</c:v>
                </c:pt>
                <c:pt idx="9">
                  <c:v>-2.1233969600145786E-2</c:v>
                </c:pt>
                <c:pt idx="10">
                  <c:v>-0.11357202070918004</c:v>
                </c:pt>
                <c:pt idx="11">
                  <c:v>-0.16671932596103234</c:v>
                </c:pt>
                <c:pt idx="12">
                  <c:v>0.4693171224579793</c:v>
                </c:pt>
              </c:numCache>
            </c:numRef>
          </c:yVal>
          <c:smooth val="0"/>
          <c:extLst xmlns:c16r2="http://schemas.microsoft.com/office/drawing/2015/06/chart">
            <c:ext xmlns:c16="http://schemas.microsoft.com/office/drawing/2014/chart" uri="{C3380CC4-5D6E-409C-BE32-E72D297353CC}">
              <c16:uniqueId val="{00000006-7B4C-4C8F-B9F6-95783449DD28}"/>
            </c:ext>
          </c:extLst>
        </c:ser>
        <c:ser>
          <c:idx val="5"/>
          <c:order val="5"/>
          <c:tx>
            <c:v>1800 mm</c:v>
          </c:tx>
          <c:spPr>
            <a:ln w="25400" cap="rnd">
              <a:noFill/>
              <a:round/>
            </a:ln>
            <a:effectLst/>
          </c:spPr>
          <c:marker>
            <c:symbol val="circle"/>
            <c:size val="5"/>
            <c:spPr>
              <a:solidFill>
                <a:schemeClr val="accent1">
                  <a:lumMod val="50000"/>
                </a:schemeClr>
              </a:solidFill>
              <a:ln w="9525">
                <a:noFill/>
              </a:ln>
              <a:effectLst/>
            </c:spPr>
          </c:marker>
          <c:xVal>
            <c:numRef>
              <c:f>'Hawaii 170 kyr'!$O$47:$O$60</c:f>
              <c:numCache>
                <c:formatCode>General</c:formatCode>
                <c:ptCount val="14"/>
                <c:pt idx="0">
                  <c:v>73.462004475495533</c:v>
                </c:pt>
                <c:pt idx="1">
                  <c:v>75.00835031614433</c:v>
                </c:pt>
                <c:pt idx="2">
                  <c:v>85.337146274404887</c:v>
                </c:pt>
                <c:pt idx="3">
                  <c:v>96.279645312369894</c:v>
                </c:pt>
                <c:pt idx="4">
                  <c:v>97.849874473834248</c:v>
                </c:pt>
                <c:pt idx="5">
                  <c:v>96.749646144420225</c:v>
                </c:pt>
                <c:pt idx="6">
                  <c:v>98.662233371545028</c:v>
                </c:pt>
                <c:pt idx="7">
                  <c:v>95.256982561347158</c:v>
                </c:pt>
                <c:pt idx="8">
                  <c:v>94.048489373350435</c:v>
                </c:pt>
                <c:pt idx="9">
                  <c:v>99.504740963731322</c:v>
                </c:pt>
                <c:pt idx="10">
                  <c:v>98.109458254782155</c:v>
                </c:pt>
                <c:pt idx="11">
                  <c:v>99.571626697912592</c:v>
                </c:pt>
                <c:pt idx="12">
                  <c:v>98.943009210154742</c:v>
                </c:pt>
                <c:pt idx="13">
                  <c:v>66.988091908297136</c:v>
                </c:pt>
              </c:numCache>
            </c:numRef>
          </c:xVal>
          <c:yVal>
            <c:numRef>
              <c:f>'Hawaii 170 kyr'!$AD$47:$AD$60</c:f>
              <c:numCache>
                <c:formatCode>General</c:formatCode>
                <c:ptCount val="14"/>
                <c:pt idx="0">
                  <c:v>-0.8028290347731738</c:v>
                </c:pt>
                <c:pt idx="1">
                  <c:v>-0.81946132176136099</c:v>
                </c:pt>
                <c:pt idx="2">
                  <c:v>-0.81660576812593355</c:v>
                </c:pt>
                <c:pt idx="3">
                  <c:v>-0.45977417375001051</c:v>
                </c:pt>
                <c:pt idx="4">
                  <c:v>-0.15677139415132335</c:v>
                </c:pt>
                <c:pt idx="5">
                  <c:v>3.5802966832009897E-2</c:v>
                </c:pt>
                <c:pt idx="6">
                  <c:v>0.17718255048168507</c:v>
                </c:pt>
                <c:pt idx="7">
                  <c:v>9.2517560366408347E-2</c:v>
                </c:pt>
                <c:pt idx="8">
                  <c:v>0.13958974861228346</c:v>
                </c:pt>
                <c:pt idx="9">
                  <c:v>0.22978283350568773</c:v>
                </c:pt>
                <c:pt idx="10">
                  <c:v>-0.20117234110253768</c:v>
                </c:pt>
                <c:pt idx="11">
                  <c:v>0.61677352637021721</c:v>
                </c:pt>
                <c:pt idx="12">
                  <c:v>0.58052577151254536</c:v>
                </c:pt>
                <c:pt idx="13">
                  <c:v>-3.9016902512248874E-2</c:v>
                </c:pt>
              </c:numCache>
            </c:numRef>
          </c:yVal>
          <c:smooth val="0"/>
          <c:extLst xmlns:c16r2="http://schemas.microsoft.com/office/drawing/2015/06/chart">
            <c:ext xmlns:c16="http://schemas.microsoft.com/office/drawing/2014/chart" uri="{C3380CC4-5D6E-409C-BE32-E72D297353CC}">
              <c16:uniqueId val="{00000007-7B4C-4C8F-B9F6-95783449DD28}"/>
            </c:ext>
          </c:extLst>
        </c:ser>
        <c:ser>
          <c:idx val="6"/>
          <c:order val="6"/>
          <c:tx>
            <c:v>2500 mm</c:v>
          </c:tx>
          <c:spPr>
            <a:ln w="25400" cap="rnd">
              <a:noFill/>
              <a:round/>
            </a:ln>
            <a:effectLst/>
          </c:spPr>
          <c:marker>
            <c:symbol val="circle"/>
            <c:size val="5"/>
            <c:spPr>
              <a:solidFill>
                <a:schemeClr val="tx1"/>
              </a:solidFill>
              <a:ln w="9525">
                <a:noFill/>
              </a:ln>
              <a:effectLst/>
            </c:spPr>
          </c:marker>
          <c:xVal>
            <c:numRef>
              <c:f>'Hawaii 170 kyr'!$O$62:$O$77</c:f>
              <c:numCache>
                <c:formatCode>General</c:formatCode>
                <c:ptCount val="16"/>
                <c:pt idx="0">
                  <c:v>88.673216975646028</c:v>
                </c:pt>
                <c:pt idx="1">
                  <c:v>89.492499270865153</c:v>
                </c:pt>
                <c:pt idx="2">
                  <c:v>91.820523010972849</c:v>
                </c:pt>
                <c:pt idx="3">
                  <c:v>94.064859260793028</c:v>
                </c:pt>
                <c:pt idx="4">
                  <c:v>94.044299290200854</c:v>
                </c:pt>
                <c:pt idx="5">
                  <c:v>94.509761735759454</c:v>
                </c:pt>
                <c:pt idx="6">
                  <c:v>91.779682741181219</c:v>
                </c:pt>
                <c:pt idx="7">
                  <c:v>91.057081326933698</c:v>
                </c:pt>
                <c:pt idx="8">
                  <c:v>97.164763563533867</c:v>
                </c:pt>
                <c:pt idx="9">
                  <c:v>89.210402941134276</c:v>
                </c:pt>
                <c:pt idx="10">
                  <c:v>89.896637064712493</c:v>
                </c:pt>
                <c:pt idx="11">
                  <c:v>91.231611731378294</c:v>
                </c:pt>
                <c:pt idx="12">
                  <c:v>99.019119652977821</c:v>
                </c:pt>
                <c:pt idx="13">
                  <c:v>97.428650766413909</c:v>
                </c:pt>
                <c:pt idx="14">
                  <c:v>68.95837179410529</c:v>
                </c:pt>
                <c:pt idx="15">
                  <c:v>67.237424693741104</c:v>
                </c:pt>
              </c:numCache>
            </c:numRef>
          </c:xVal>
          <c:yVal>
            <c:numRef>
              <c:f>'Hawaii 170 kyr'!$AD$62:$AD$77</c:f>
              <c:numCache>
                <c:formatCode>General</c:formatCode>
                <c:ptCount val="16"/>
                <c:pt idx="0">
                  <c:v>-0.72945910948991588</c:v>
                </c:pt>
                <c:pt idx="1">
                  <c:v>-0.72018420501384672</c:v>
                </c:pt>
                <c:pt idx="2">
                  <c:v>-0.56815895395214755</c:v>
                </c:pt>
                <c:pt idx="3">
                  <c:v>-0.46653162401920023</c:v>
                </c:pt>
                <c:pt idx="4">
                  <c:v>-0.47221129850209398</c:v>
                </c:pt>
                <c:pt idx="5">
                  <c:v>-0.21732642763168841</c:v>
                </c:pt>
                <c:pt idx="6">
                  <c:v>-0.41626176955036009</c:v>
                </c:pt>
                <c:pt idx="7">
                  <c:v>-0.48641060941009318</c:v>
                </c:pt>
                <c:pt idx="8">
                  <c:v>0.12935491583706815</c:v>
                </c:pt>
                <c:pt idx="9">
                  <c:v>8.1785004228956737E-2</c:v>
                </c:pt>
                <c:pt idx="10">
                  <c:v>2.9141160852570458E-2</c:v>
                </c:pt>
                <c:pt idx="11">
                  <c:v>1.8215581873801012E-2</c:v>
                </c:pt>
                <c:pt idx="12">
                  <c:v>8.5555638303378423E-3</c:v>
                </c:pt>
                <c:pt idx="13">
                  <c:v>0.2088822429696191</c:v>
                </c:pt>
                <c:pt idx="14">
                  <c:v>-4.9801129959935242E-2</c:v>
                </c:pt>
                <c:pt idx="15">
                  <c:v>0.11975273049098556</c:v>
                </c:pt>
              </c:numCache>
            </c:numRef>
          </c:yVal>
          <c:smooth val="0"/>
          <c:extLst xmlns:c16r2="http://schemas.microsoft.com/office/drawing/2015/06/chart">
            <c:ext xmlns:c16="http://schemas.microsoft.com/office/drawing/2014/chart" uri="{C3380CC4-5D6E-409C-BE32-E72D297353CC}">
              <c16:uniqueId val="{00000008-7B4C-4C8F-B9F6-95783449DD28}"/>
            </c:ext>
          </c:extLst>
        </c:ser>
        <c:dLbls>
          <c:showLegendKey val="0"/>
          <c:showVal val="0"/>
          <c:showCatName val="0"/>
          <c:showSerName val="0"/>
          <c:showPercent val="0"/>
          <c:showBubbleSize val="0"/>
        </c:dLbls>
        <c:axId val="162956800"/>
        <c:axId val="162971648"/>
      </c:scatterChart>
      <c:valAx>
        <c:axId val="162956800"/>
        <c:scaling>
          <c:orientation val="minMax"/>
          <c:max val="100"/>
          <c:min val="3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CIA</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971648"/>
        <c:crossesAt val="-1"/>
        <c:crossBetween val="midCat"/>
      </c:valAx>
      <c:valAx>
        <c:axId val="162971648"/>
        <c:scaling>
          <c:orientation val="minMax"/>
          <c:max val="5"/>
          <c:min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baseline="0">
                    <a:effectLst/>
                  </a:rPr>
                  <a:t>Tau_Ti,Al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956800"/>
        <c:crosses val="autoZero"/>
        <c:crossBetween val="midCat"/>
      </c:valAx>
      <c:spPr>
        <a:noFill/>
        <a:ln>
          <a:solidFill>
            <a:sysClr val="windowText" lastClr="000000"/>
          </a:solid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570 mm</c:v>
          </c:tx>
          <c:spPr>
            <a:ln w="25400" cap="rnd">
              <a:noFill/>
              <a:round/>
            </a:ln>
            <a:effectLst/>
          </c:spPr>
          <c:marker>
            <c:symbol val="circle"/>
            <c:size val="5"/>
            <c:spPr>
              <a:solidFill>
                <a:schemeClr val="accent1">
                  <a:lumMod val="20000"/>
                  <a:lumOff val="80000"/>
                </a:schemeClr>
              </a:solidFill>
              <a:ln w="9525">
                <a:noFill/>
              </a:ln>
              <a:effectLst/>
            </c:spPr>
          </c:marker>
          <c:xVal>
            <c:numRef>
              <c:f>'Hawaii 170 kyr'!$P$3:$P$9</c:f>
              <c:numCache>
                <c:formatCode>General</c:formatCode>
                <c:ptCount val="7"/>
                <c:pt idx="0">
                  <c:v>81.819490854461847</c:v>
                </c:pt>
                <c:pt idx="1">
                  <c:v>85.689828078217573</c:v>
                </c:pt>
                <c:pt idx="2">
                  <c:v>89.683219641635532</c:v>
                </c:pt>
                <c:pt idx="3">
                  <c:v>90.741612029859638</c:v>
                </c:pt>
                <c:pt idx="4">
                  <c:v>90.84569438645245</c:v>
                </c:pt>
                <c:pt idx="5">
                  <c:v>91.628245145159894</c:v>
                </c:pt>
                <c:pt idx="6">
                  <c:v>43.924933362565802</c:v>
                </c:pt>
              </c:numCache>
            </c:numRef>
          </c:xVal>
          <c:yVal>
            <c:numRef>
              <c:f>'Hawaii 170 kyr'!$AD$3:$AD$9</c:f>
              <c:numCache>
                <c:formatCode>General</c:formatCode>
                <c:ptCount val="7"/>
                <c:pt idx="0">
                  <c:v>-0.15234661203223809</c:v>
                </c:pt>
                <c:pt idx="1">
                  <c:v>-0.17482691559704433</c:v>
                </c:pt>
                <c:pt idx="2">
                  <c:v>-0.12051304944843511</c:v>
                </c:pt>
                <c:pt idx="3">
                  <c:v>-0.10835816121637876</c:v>
                </c:pt>
                <c:pt idx="4">
                  <c:v>-0.16362940933544345</c:v>
                </c:pt>
                <c:pt idx="5">
                  <c:v>-0.12680821604238679</c:v>
                </c:pt>
                <c:pt idx="6">
                  <c:v>-8.2252270803303884E-2</c:v>
                </c:pt>
              </c:numCache>
            </c:numRef>
          </c:yVal>
          <c:smooth val="0"/>
          <c:extLst xmlns:c16r2="http://schemas.microsoft.com/office/drawing/2015/06/chart">
            <c:ext xmlns:c16="http://schemas.microsoft.com/office/drawing/2014/chart" uri="{C3380CC4-5D6E-409C-BE32-E72D297353CC}">
              <c16:uniqueId val="{00000000-55E2-4DBC-B2CB-2154F7C33052}"/>
            </c:ext>
          </c:extLst>
        </c:ser>
        <c:ser>
          <c:idx val="1"/>
          <c:order val="1"/>
          <c:tx>
            <c:v>930 mm</c:v>
          </c:tx>
          <c:spPr>
            <a:ln w="25400" cap="rnd">
              <a:noFill/>
              <a:round/>
            </a:ln>
            <a:effectLst/>
          </c:spPr>
          <c:marker>
            <c:symbol val="circle"/>
            <c:size val="5"/>
            <c:spPr>
              <a:solidFill>
                <a:schemeClr val="accent1">
                  <a:lumMod val="40000"/>
                  <a:lumOff val="60000"/>
                </a:schemeClr>
              </a:solidFill>
              <a:ln w="9525">
                <a:noFill/>
              </a:ln>
              <a:effectLst/>
            </c:spPr>
          </c:marker>
          <c:xVal>
            <c:numRef>
              <c:f>'Hawaii 170 kyr'!$P$11:$P$16</c:f>
              <c:numCache>
                <c:formatCode>General</c:formatCode>
                <c:ptCount val="6"/>
                <c:pt idx="0">
                  <c:v>75.59790928826213</c:v>
                </c:pt>
                <c:pt idx="1">
                  <c:v>79.53709188272768</c:v>
                </c:pt>
                <c:pt idx="2">
                  <c:v>86.755582328666804</c:v>
                </c:pt>
                <c:pt idx="3">
                  <c:v>82.835117870564929</c:v>
                </c:pt>
                <c:pt idx="4">
                  <c:v>51.464208824206651</c:v>
                </c:pt>
                <c:pt idx="5">
                  <c:v>43.892285238782435</c:v>
                </c:pt>
              </c:numCache>
            </c:numRef>
          </c:xVal>
          <c:yVal>
            <c:numRef>
              <c:f>'Hawaii 170 kyr'!$AD$11:$AD$16</c:f>
              <c:numCache>
                <c:formatCode>General</c:formatCode>
                <c:ptCount val="6"/>
                <c:pt idx="0">
                  <c:v>0.10725200838281523</c:v>
                </c:pt>
                <c:pt idx="1">
                  <c:v>0.11454767726161408</c:v>
                </c:pt>
                <c:pt idx="2">
                  <c:v>0.16814864633883553</c:v>
                </c:pt>
                <c:pt idx="3">
                  <c:v>0.15262004311280242</c:v>
                </c:pt>
                <c:pt idx="4">
                  <c:v>0.10970983748022456</c:v>
                </c:pt>
                <c:pt idx="5">
                  <c:v>-0.15349694159002525</c:v>
                </c:pt>
              </c:numCache>
            </c:numRef>
          </c:yVal>
          <c:smooth val="0"/>
          <c:extLst xmlns:c16r2="http://schemas.microsoft.com/office/drawing/2015/06/chart">
            <c:ext xmlns:c16="http://schemas.microsoft.com/office/drawing/2014/chart" uri="{C3380CC4-5D6E-409C-BE32-E72D297353CC}">
              <c16:uniqueId val="{00000001-55E2-4DBC-B2CB-2154F7C33052}"/>
            </c:ext>
          </c:extLst>
        </c:ser>
        <c:ser>
          <c:idx val="2"/>
          <c:order val="2"/>
          <c:tx>
            <c:v>1000 mm</c:v>
          </c:tx>
          <c:spPr>
            <a:ln w="25400" cap="rnd">
              <a:noFill/>
              <a:round/>
            </a:ln>
            <a:effectLst/>
          </c:spPr>
          <c:marker>
            <c:symbol val="circle"/>
            <c:size val="5"/>
            <c:spPr>
              <a:solidFill>
                <a:schemeClr val="accent1">
                  <a:lumMod val="60000"/>
                  <a:lumOff val="40000"/>
                </a:schemeClr>
              </a:solidFill>
              <a:ln w="9525">
                <a:noFill/>
              </a:ln>
              <a:effectLst/>
            </c:spPr>
          </c:marker>
          <c:xVal>
            <c:numRef>
              <c:f>'Hawaii 170 kyr'!$P$18:$P$22</c:f>
              <c:numCache>
                <c:formatCode>General</c:formatCode>
                <c:ptCount val="5"/>
                <c:pt idx="0">
                  <c:v>73.79781455908369</c:v>
                </c:pt>
                <c:pt idx="1">
                  <c:v>79.446254676923004</c:v>
                </c:pt>
                <c:pt idx="2">
                  <c:v>84.436953718023304</c:v>
                </c:pt>
                <c:pt idx="3">
                  <c:v>86.008378424632397</c:v>
                </c:pt>
                <c:pt idx="4">
                  <c:v>89.39977355288903</c:v>
                </c:pt>
              </c:numCache>
            </c:numRef>
          </c:xVal>
          <c:yVal>
            <c:numRef>
              <c:f>'Hawaii 170 kyr'!$AD$18:$AD$22</c:f>
              <c:numCache>
                <c:formatCode>General</c:formatCode>
                <c:ptCount val="5"/>
                <c:pt idx="0">
                  <c:v>0.51197622945849197</c:v>
                </c:pt>
                <c:pt idx="1">
                  <c:v>0.67214193053296989</c:v>
                </c:pt>
                <c:pt idx="2">
                  <c:v>0.76903765690376535</c:v>
                </c:pt>
                <c:pt idx="3">
                  <c:v>0.22148295493518022</c:v>
                </c:pt>
                <c:pt idx="4">
                  <c:v>7.6359832635982894E-2</c:v>
                </c:pt>
              </c:numCache>
            </c:numRef>
          </c:yVal>
          <c:smooth val="0"/>
          <c:extLst xmlns:c16r2="http://schemas.microsoft.com/office/drawing/2015/06/chart">
            <c:ext xmlns:c16="http://schemas.microsoft.com/office/drawing/2014/chart" uri="{C3380CC4-5D6E-409C-BE32-E72D297353CC}">
              <c16:uniqueId val="{00000002-55E2-4DBC-B2CB-2154F7C33052}"/>
            </c:ext>
          </c:extLst>
        </c:ser>
        <c:ser>
          <c:idx val="3"/>
          <c:order val="3"/>
          <c:tx>
            <c:v>1260 mm</c:v>
          </c:tx>
          <c:spPr>
            <a:ln w="25400" cap="rnd">
              <a:noFill/>
              <a:round/>
            </a:ln>
            <a:effectLst/>
          </c:spPr>
          <c:marker>
            <c:symbol val="circle"/>
            <c:size val="5"/>
            <c:spPr>
              <a:solidFill>
                <a:schemeClr val="accent1"/>
              </a:solidFill>
              <a:ln w="9525">
                <a:noFill/>
              </a:ln>
              <a:effectLst/>
            </c:spPr>
          </c:marker>
          <c:xVal>
            <c:numRef>
              <c:f>'Hawaii 170 kyr'!$P$24:$P$31</c:f>
              <c:numCache>
                <c:formatCode>General</c:formatCode>
                <c:ptCount val="8"/>
                <c:pt idx="0">
                  <c:v>70.51348394112415</c:v>
                </c:pt>
                <c:pt idx="1">
                  <c:v>83.331210487428848</c:v>
                </c:pt>
                <c:pt idx="2">
                  <c:v>89.221810876211848</c:v>
                </c:pt>
                <c:pt idx="3">
                  <c:v>87.469133536742163</c:v>
                </c:pt>
                <c:pt idx="4">
                  <c:v>88.010824131667789</c:v>
                </c:pt>
                <c:pt idx="5">
                  <c:v>87.849685252558075</c:v>
                </c:pt>
                <c:pt idx="6">
                  <c:v>68.820054460165963</c:v>
                </c:pt>
                <c:pt idx="7">
                  <c:v>48.394334520308277</c:v>
                </c:pt>
              </c:numCache>
            </c:numRef>
          </c:xVal>
          <c:yVal>
            <c:numRef>
              <c:f>'Hawaii 170 kyr'!$AD$24:$AD$31</c:f>
              <c:numCache>
                <c:formatCode>General</c:formatCode>
                <c:ptCount val="8"/>
                <c:pt idx="0">
                  <c:v>0.27300752226683267</c:v>
                </c:pt>
                <c:pt idx="1">
                  <c:v>2.2319093286834901E-2</c:v>
                </c:pt>
                <c:pt idx="2">
                  <c:v>0.14197016996184519</c:v>
                </c:pt>
                <c:pt idx="3">
                  <c:v>8.5516497857973439E-2</c:v>
                </c:pt>
                <c:pt idx="4">
                  <c:v>0.17529885264612211</c:v>
                </c:pt>
                <c:pt idx="5">
                  <c:v>0.18805256869772968</c:v>
                </c:pt>
                <c:pt idx="6">
                  <c:v>0.21236559139784927</c:v>
                </c:pt>
                <c:pt idx="7">
                  <c:v>8.6092715231788075E-2</c:v>
                </c:pt>
              </c:numCache>
            </c:numRef>
          </c:yVal>
          <c:smooth val="0"/>
          <c:extLst xmlns:c16r2="http://schemas.microsoft.com/office/drawing/2015/06/chart">
            <c:ext xmlns:c16="http://schemas.microsoft.com/office/drawing/2014/chart" uri="{C3380CC4-5D6E-409C-BE32-E72D297353CC}">
              <c16:uniqueId val="{00000003-55E2-4DBC-B2CB-2154F7C33052}"/>
            </c:ext>
          </c:extLst>
        </c:ser>
        <c:ser>
          <c:idx val="4"/>
          <c:order val="4"/>
          <c:tx>
            <c:v>1500 mm</c:v>
          </c:tx>
          <c:spPr>
            <a:ln w="25400" cap="rnd">
              <a:noFill/>
              <a:round/>
            </a:ln>
            <a:effectLst/>
          </c:spPr>
          <c:marker>
            <c:symbol val="circle"/>
            <c:size val="5"/>
            <c:spPr>
              <a:solidFill>
                <a:schemeClr val="accent1">
                  <a:lumMod val="75000"/>
                </a:schemeClr>
              </a:solidFill>
              <a:ln w="9525">
                <a:noFill/>
              </a:ln>
              <a:effectLst/>
            </c:spPr>
          </c:marker>
          <c:xVal>
            <c:numRef>
              <c:f>'Hawaii 170 kyr'!$P$33:$P$45</c:f>
              <c:numCache>
                <c:formatCode>General</c:formatCode>
                <c:ptCount val="13"/>
                <c:pt idx="0">
                  <c:v>89.551344192519025</c:v>
                </c:pt>
                <c:pt idx="1">
                  <c:v>86.455499190787819</c:v>
                </c:pt>
                <c:pt idx="2">
                  <c:v>88.910933123311963</c:v>
                </c:pt>
                <c:pt idx="3">
                  <c:v>96.559318651672029</c:v>
                </c:pt>
                <c:pt idx="4">
                  <c:v>98.455540723551081</c:v>
                </c:pt>
                <c:pt idx="5">
                  <c:v>93.959311568504162</c:v>
                </c:pt>
                <c:pt idx="6">
                  <c:v>98.349332084640395</c:v>
                </c:pt>
                <c:pt idx="7">
                  <c:v>90.381875763563144</c:v>
                </c:pt>
                <c:pt idx="8">
                  <c:v>93.406586002891942</c:v>
                </c:pt>
                <c:pt idx="9">
                  <c:v>98.902669925164972</c:v>
                </c:pt>
                <c:pt idx="10">
                  <c:v>97.706129723789019</c:v>
                </c:pt>
                <c:pt idx="11">
                  <c:v>99.641515455370836</c:v>
                </c:pt>
                <c:pt idx="12">
                  <c:v>99.575202128644719</c:v>
                </c:pt>
              </c:numCache>
            </c:numRef>
          </c:xVal>
          <c:yVal>
            <c:numRef>
              <c:f>'Hawaii 170 kyr'!$AD$33:$AD$45</c:f>
              <c:numCache>
                <c:formatCode>General</c:formatCode>
                <c:ptCount val="13"/>
                <c:pt idx="0">
                  <c:v>-0.49225498040663929</c:v>
                </c:pt>
                <c:pt idx="1">
                  <c:v>-0.64273202588457701</c:v>
                </c:pt>
                <c:pt idx="2">
                  <c:v>-0.53723339042955276</c:v>
                </c:pt>
                <c:pt idx="3">
                  <c:v>3.4255720328186134E-2</c:v>
                </c:pt>
                <c:pt idx="4">
                  <c:v>0.24800333508864303</c:v>
                </c:pt>
                <c:pt idx="5">
                  <c:v>8.254460894648763E-2</c:v>
                </c:pt>
                <c:pt idx="6">
                  <c:v>-0.11322245074368831</c:v>
                </c:pt>
                <c:pt idx="7">
                  <c:v>4.4653105133645843E-2</c:v>
                </c:pt>
                <c:pt idx="8">
                  <c:v>-6.0643243912598011E-2</c:v>
                </c:pt>
                <c:pt idx="9">
                  <c:v>-2.1233969600145786E-2</c:v>
                </c:pt>
                <c:pt idx="10">
                  <c:v>-0.11357202070918004</c:v>
                </c:pt>
                <c:pt idx="11">
                  <c:v>-0.16671932596103234</c:v>
                </c:pt>
                <c:pt idx="12">
                  <c:v>0.4693171224579793</c:v>
                </c:pt>
              </c:numCache>
            </c:numRef>
          </c:yVal>
          <c:smooth val="0"/>
          <c:extLst xmlns:c16r2="http://schemas.microsoft.com/office/drawing/2015/06/chart">
            <c:ext xmlns:c16="http://schemas.microsoft.com/office/drawing/2014/chart" uri="{C3380CC4-5D6E-409C-BE32-E72D297353CC}">
              <c16:uniqueId val="{00000004-55E2-4DBC-B2CB-2154F7C33052}"/>
            </c:ext>
          </c:extLst>
        </c:ser>
        <c:ser>
          <c:idx val="5"/>
          <c:order val="5"/>
          <c:tx>
            <c:v>1800 mm</c:v>
          </c:tx>
          <c:spPr>
            <a:ln w="25400" cap="rnd">
              <a:noFill/>
              <a:round/>
            </a:ln>
            <a:effectLst/>
          </c:spPr>
          <c:marker>
            <c:symbol val="circle"/>
            <c:size val="5"/>
            <c:spPr>
              <a:solidFill>
                <a:schemeClr val="accent1">
                  <a:lumMod val="50000"/>
                </a:schemeClr>
              </a:solidFill>
              <a:ln w="9525">
                <a:noFill/>
              </a:ln>
              <a:effectLst/>
            </c:spPr>
          </c:marker>
          <c:xVal>
            <c:numRef>
              <c:f>'Hawaii 170 kyr'!$P$47:$P$60</c:f>
              <c:numCache>
                <c:formatCode>General</c:formatCode>
                <c:ptCount val="14"/>
                <c:pt idx="0">
                  <c:v>87.284660284930837</c:v>
                </c:pt>
                <c:pt idx="1">
                  <c:v>95.955383797477538</c:v>
                </c:pt>
                <c:pt idx="2">
                  <c:v>94.655589139898055</c:v>
                </c:pt>
                <c:pt idx="3">
                  <c:v>98.920765763254266</c:v>
                </c:pt>
                <c:pt idx="4">
                  <c:v>98.871525162788686</c:v>
                </c:pt>
                <c:pt idx="5">
                  <c:v>97.044540737392921</c:v>
                </c:pt>
                <c:pt idx="6">
                  <c:v>99.547242060135545</c:v>
                </c:pt>
                <c:pt idx="7">
                  <c:v>95.361634605239615</c:v>
                </c:pt>
                <c:pt idx="8">
                  <c:v>94.148192217300704</c:v>
                </c:pt>
                <c:pt idx="9">
                  <c:v>99.714133128547275</c:v>
                </c:pt>
                <c:pt idx="10">
                  <c:v>99.73721557935869</c:v>
                </c:pt>
                <c:pt idx="11">
                  <c:v>99.713074186998909</c:v>
                </c:pt>
                <c:pt idx="12">
                  <c:v>99.178217690889397</c:v>
                </c:pt>
                <c:pt idx="13">
                  <c:v>70.913126316392038</c:v>
                </c:pt>
              </c:numCache>
            </c:numRef>
          </c:xVal>
          <c:yVal>
            <c:numRef>
              <c:f>'Hawaii 170 kyr'!$AD$47:$AD$60</c:f>
              <c:numCache>
                <c:formatCode>General</c:formatCode>
                <c:ptCount val="14"/>
                <c:pt idx="0">
                  <c:v>-0.8028290347731738</c:v>
                </c:pt>
                <c:pt idx="1">
                  <c:v>-0.81946132176136099</c:v>
                </c:pt>
                <c:pt idx="2">
                  <c:v>-0.81660576812593355</c:v>
                </c:pt>
                <c:pt idx="3">
                  <c:v>-0.45977417375001051</c:v>
                </c:pt>
                <c:pt idx="4">
                  <c:v>-0.15677139415132335</c:v>
                </c:pt>
                <c:pt idx="5">
                  <c:v>3.5802966832009897E-2</c:v>
                </c:pt>
                <c:pt idx="6">
                  <c:v>0.17718255048168507</c:v>
                </c:pt>
                <c:pt idx="7">
                  <c:v>9.2517560366408347E-2</c:v>
                </c:pt>
                <c:pt idx="8">
                  <c:v>0.13958974861228346</c:v>
                </c:pt>
                <c:pt idx="9">
                  <c:v>0.22978283350568773</c:v>
                </c:pt>
                <c:pt idx="10">
                  <c:v>-0.20117234110253768</c:v>
                </c:pt>
                <c:pt idx="11">
                  <c:v>0.61677352637021721</c:v>
                </c:pt>
                <c:pt idx="12">
                  <c:v>0.58052577151254536</c:v>
                </c:pt>
                <c:pt idx="13">
                  <c:v>-3.9016902512248874E-2</c:v>
                </c:pt>
              </c:numCache>
            </c:numRef>
          </c:yVal>
          <c:smooth val="0"/>
          <c:extLst xmlns:c16r2="http://schemas.microsoft.com/office/drawing/2015/06/chart">
            <c:ext xmlns:c16="http://schemas.microsoft.com/office/drawing/2014/chart" uri="{C3380CC4-5D6E-409C-BE32-E72D297353CC}">
              <c16:uniqueId val="{00000005-55E2-4DBC-B2CB-2154F7C33052}"/>
            </c:ext>
          </c:extLst>
        </c:ser>
        <c:ser>
          <c:idx val="6"/>
          <c:order val="6"/>
          <c:tx>
            <c:v>2500 mm</c:v>
          </c:tx>
          <c:spPr>
            <a:ln w="25400" cap="rnd">
              <a:noFill/>
              <a:round/>
            </a:ln>
            <a:effectLst/>
          </c:spPr>
          <c:marker>
            <c:symbol val="circle"/>
            <c:size val="5"/>
            <c:spPr>
              <a:solidFill>
                <a:schemeClr val="tx1"/>
              </a:solidFill>
              <a:ln w="9525">
                <a:noFill/>
              </a:ln>
              <a:effectLst/>
            </c:spPr>
          </c:marker>
          <c:xVal>
            <c:numRef>
              <c:f>'Hawaii 170 kyr'!$P$62:$P$77</c:f>
              <c:numCache>
                <c:formatCode>General</c:formatCode>
                <c:ptCount val="16"/>
                <c:pt idx="0">
                  <c:v>95.490490485845797</c:v>
                </c:pt>
                <c:pt idx="1">
                  <c:v>96.385984170308362</c:v>
                </c:pt>
                <c:pt idx="2">
                  <c:v>95.486683855262442</c:v>
                </c:pt>
                <c:pt idx="3">
                  <c:v>97.570365480463536</c:v>
                </c:pt>
                <c:pt idx="4">
                  <c:v>97.388686041995143</c:v>
                </c:pt>
                <c:pt idx="5">
                  <c:v>95.391371211153015</c:v>
                </c:pt>
                <c:pt idx="6">
                  <c:v>98.34866821155876</c:v>
                </c:pt>
                <c:pt idx="7">
                  <c:v>97.077879272702845</c:v>
                </c:pt>
                <c:pt idx="8">
                  <c:v>98.050393125465533</c:v>
                </c:pt>
                <c:pt idx="9">
                  <c:v>89.349890293315681</c:v>
                </c:pt>
                <c:pt idx="10">
                  <c:v>90.18271861909713</c:v>
                </c:pt>
                <c:pt idx="11">
                  <c:v>91.570585772376589</c:v>
                </c:pt>
                <c:pt idx="12">
                  <c:v>99.18859704738685</c:v>
                </c:pt>
                <c:pt idx="13">
                  <c:v>97.785299831871114</c:v>
                </c:pt>
                <c:pt idx="14">
                  <c:v>73.4850509054003</c:v>
                </c:pt>
                <c:pt idx="15">
                  <c:v>72.756780590525509</c:v>
                </c:pt>
              </c:numCache>
            </c:numRef>
          </c:xVal>
          <c:yVal>
            <c:numRef>
              <c:f>'Hawaii 170 kyr'!$AD$62:$AD$77</c:f>
              <c:numCache>
                <c:formatCode>General</c:formatCode>
                <c:ptCount val="16"/>
                <c:pt idx="0">
                  <c:v>-0.72945910948991588</c:v>
                </c:pt>
                <c:pt idx="1">
                  <c:v>-0.72018420501384672</c:v>
                </c:pt>
                <c:pt idx="2">
                  <c:v>-0.56815895395214755</c:v>
                </c:pt>
                <c:pt idx="3">
                  <c:v>-0.46653162401920023</c:v>
                </c:pt>
                <c:pt idx="4">
                  <c:v>-0.47221129850209398</c:v>
                </c:pt>
                <c:pt idx="5">
                  <c:v>-0.21732642763168841</c:v>
                </c:pt>
                <c:pt idx="6">
                  <c:v>-0.41626176955036009</c:v>
                </c:pt>
                <c:pt idx="7">
                  <c:v>-0.48641060941009318</c:v>
                </c:pt>
                <c:pt idx="8">
                  <c:v>0.12935491583706815</c:v>
                </c:pt>
                <c:pt idx="9">
                  <c:v>8.1785004228956737E-2</c:v>
                </c:pt>
                <c:pt idx="10">
                  <c:v>2.9141160852570458E-2</c:v>
                </c:pt>
                <c:pt idx="11">
                  <c:v>1.8215581873801012E-2</c:v>
                </c:pt>
                <c:pt idx="12">
                  <c:v>8.5555638303378423E-3</c:v>
                </c:pt>
                <c:pt idx="13">
                  <c:v>0.2088822429696191</c:v>
                </c:pt>
                <c:pt idx="14">
                  <c:v>-4.9801129959935242E-2</c:v>
                </c:pt>
                <c:pt idx="15">
                  <c:v>0.11975273049098556</c:v>
                </c:pt>
              </c:numCache>
            </c:numRef>
          </c:yVal>
          <c:smooth val="0"/>
          <c:extLst xmlns:c16r2="http://schemas.microsoft.com/office/drawing/2015/06/chart">
            <c:ext xmlns:c16="http://schemas.microsoft.com/office/drawing/2014/chart" uri="{C3380CC4-5D6E-409C-BE32-E72D297353CC}">
              <c16:uniqueId val="{00000006-55E2-4DBC-B2CB-2154F7C33052}"/>
            </c:ext>
          </c:extLst>
        </c:ser>
        <c:dLbls>
          <c:showLegendKey val="0"/>
          <c:showVal val="0"/>
          <c:showCatName val="0"/>
          <c:showSerName val="0"/>
          <c:showPercent val="0"/>
          <c:showBubbleSize val="0"/>
        </c:dLbls>
        <c:axId val="160174464"/>
        <c:axId val="162778112"/>
      </c:scatterChart>
      <c:valAx>
        <c:axId val="160174464"/>
        <c:scaling>
          <c:orientation val="minMax"/>
          <c:max val="100"/>
          <c:min val="3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CIA-K</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78112"/>
        <c:crossesAt val="-1"/>
        <c:crossBetween val="midCat"/>
      </c:valAx>
      <c:valAx>
        <c:axId val="162778112"/>
        <c:scaling>
          <c:orientation val="minMax"/>
          <c:max val="5"/>
          <c:min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baseline="0">
                    <a:effectLst/>
                  </a:rPr>
                  <a:t>Tau_Ti,Al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174464"/>
        <c:crosses val="autoZero"/>
        <c:crossBetween val="midCat"/>
      </c:valAx>
      <c:spPr>
        <a:noFill/>
        <a:ln>
          <a:solidFill>
            <a:sysClr val="windowText" lastClr="000000"/>
          </a:solid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750 mm</c:v>
          </c:tx>
          <c:spPr>
            <a:ln w="25400" cap="rnd">
              <a:noFill/>
              <a:round/>
            </a:ln>
            <a:effectLst/>
          </c:spPr>
          <c:marker>
            <c:symbol val="circle"/>
            <c:size val="5"/>
            <c:spPr>
              <a:solidFill>
                <a:srgbClr val="FFCDCD"/>
              </a:solidFill>
              <a:ln w="9525">
                <a:noFill/>
              </a:ln>
              <a:effectLst/>
            </c:spPr>
          </c:marker>
          <c:xVal>
            <c:numRef>
              <c:f>'Hawaii 350 kyr'!$O$3:$O$7</c:f>
              <c:numCache>
                <c:formatCode>General</c:formatCode>
                <c:ptCount val="5"/>
                <c:pt idx="0">
                  <c:v>68.743773757848402</c:v>
                </c:pt>
                <c:pt idx="1">
                  <c:v>72.798588653965737</c:v>
                </c:pt>
                <c:pt idx="2">
                  <c:v>77.223340948941996</c:v>
                </c:pt>
                <c:pt idx="3">
                  <c:v>81.076602897743186</c:v>
                </c:pt>
                <c:pt idx="4">
                  <c:v>76.625438642127676</c:v>
                </c:pt>
              </c:numCache>
            </c:numRef>
          </c:xVal>
          <c:yVal>
            <c:numRef>
              <c:f>'Hawaii 350 kyr'!$AD$3:$AD$7</c:f>
              <c:numCache>
                <c:formatCode>General</c:formatCode>
                <c:ptCount val="5"/>
                <c:pt idx="0">
                  <c:v>9.9122651542006279E-2</c:v>
                </c:pt>
                <c:pt idx="1">
                  <c:v>0.10176282051282048</c:v>
                </c:pt>
                <c:pt idx="2">
                  <c:v>7.537102343692581E-2</c:v>
                </c:pt>
                <c:pt idx="3">
                  <c:v>-5.8977455716585969E-2</c:v>
                </c:pt>
                <c:pt idx="4">
                  <c:v>-8.3162600111752583E-2</c:v>
                </c:pt>
              </c:numCache>
            </c:numRef>
          </c:yVal>
          <c:smooth val="0"/>
          <c:extLst xmlns:c16r2="http://schemas.microsoft.com/office/drawing/2015/06/chart">
            <c:ext xmlns:c16="http://schemas.microsoft.com/office/drawing/2014/chart" uri="{C3380CC4-5D6E-409C-BE32-E72D297353CC}">
              <c16:uniqueId val="{00000000-CE2B-45F8-ADCD-5D78005EB2E9}"/>
            </c:ext>
          </c:extLst>
        </c:ser>
        <c:ser>
          <c:idx val="1"/>
          <c:order val="1"/>
          <c:tx>
            <c:v>900 mm</c:v>
          </c:tx>
          <c:spPr>
            <a:ln w="25400" cap="rnd">
              <a:noFill/>
              <a:round/>
            </a:ln>
            <a:effectLst/>
          </c:spPr>
          <c:marker>
            <c:symbol val="circle"/>
            <c:size val="5"/>
            <c:spPr>
              <a:solidFill>
                <a:srgbClr val="FFA5A5"/>
              </a:solidFill>
              <a:ln w="9525">
                <a:noFill/>
              </a:ln>
              <a:effectLst/>
            </c:spPr>
          </c:marker>
          <c:xVal>
            <c:numRef>
              <c:f>'Hawaii 350 kyr'!$O$9:$O$14</c:f>
              <c:numCache>
                <c:formatCode>General</c:formatCode>
                <c:ptCount val="6"/>
                <c:pt idx="0">
                  <c:v>74.757312372024558</c:v>
                </c:pt>
                <c:pt idx="1">
                  <c:v>78.664338177948437</c:v>
                </c:pt>
                <c:pt idx="2">
                  <c:v>79.640870141858215</c:v>
                </c:pt>
                <c:pt idx="3">
                  <c:v>79.986854557773725</c:v>
                </c:pt>
                <c:pt idx="4">
                  <c:v>79.173104247991972</c:v>
                </c:pt>
                <c:pt idx="5">
                  <c:v>41.057732935815785</c:v>
                </c:pt>
              </c:numCache>
            </c:numRef>
          </c:xVal>
          <c:yVal>
            <c:numRef>
              <c:f>'Hawaii 350 kyr'!$AD$9:$AD$14</c:f>
              <c:numCache>
                <c:formatCode>General</c:formatCode>
                <c:ptCount val="6"/>
                <c:pt idx="0">
                  <c:v>0.52505446623093732</c:v>
                </c:pt>
                <c:pt idx="1">
                  <c:v>0.51566300738202564</c:v>
                </c:pt>
                <c:pt idx="2">
                  <c:v>0.39309240035883652</c:v>
                </c:pt>
                <c:pt idx="3">
                  <c:v>0.21794604366569303</c:v>
                </c:pt>
                <c:pt idx="4">
                  <c:v>8.7303527673191716E-2</c:v>
                </c:pt>
                <c:pt idx="5">
                  <c:v>-7.9043500582508863E-2</c:v>
                </c:pt>
              </c:numCache>
            </c:numRef>
          </c:yVal>
          <c:smooth val="0"/>
          <c:extLst xmlns:c16r2="http://schemas.microsoft.com/office/drawing/2015/06/chart">
            <c:ext xmlns:c16="http://schemas.microsoft.com/office/drawing/2014/chart" uri="{C3380CC4-5D6E-409C-BE32-E72D297353CC}">
              <c16:uniqueId val="{00000001-CE2B-45F8-ADCD-5D78005EB2E9}"/>
            </c:ext>
          </c:extLst>
        </c:ser>
        <c:ser>
          <c:idx val="2"/>
          <c:order val="2"/>
          <c:tx>
            <c:v>1000 mm</c:v>
          </c:tx>
          <c:spPr>
            <a:ln w="25400" cap="rnd">
              <a:noFill/>
              <a:round/>
            </a:ln>
            <a:effectLst/>
          </c:spPr>
          <c:marker>
            <c:symbol val="circle"/>
            <c:size val="5"/>
            <c:spPr>
              <a:solidFill>
                <a:srgbClr val="FF7D7D"/>
              </a:solidFill>
              <a:ln w="9525">
                <a:noFill/>
              </a:ln>
              <a:effectLst/>
            </c:spPr>
          </c:marker>
          <c:xVal>
            <c:numRef>
              <c:f>'Hawaii 350 kyr'!$O$16:$O$27</c:f>
              <c:numCache>
                <c:formatCode>General</c:formatCode>
                <c:ptCount val="12"/>
                <c:pt idx="0">
                  <c:v>63.738033136455819</c:v>
                </c:pt>
                <c:pt idx="1">
                  <c:v>66.966180783964376</c:v>
                </c:pt>
                <c:pt idx="2">
                  <c:v>73.396235088748682</c:v>
                </c:pt>
                <c:pt idx="3">
                  <c:v>75.126979657837225</c:v>
                </c:pt>
                <c:pt idx="4">
                  <c:v>76.134371466872025</c:v>
                </c:pt>
                <c:pt idx="5">
                  <c:v>82.39923041250016</c:v>
                </c:pt>
                <c:pt idx="6">
                  <c:v>83.424057690076694</c:v>
                </c:pt>
                <c:pt idx="7">
                  <c:v>91.21398236569452</c:v>
                </c:pt>
                <c:pt idx="8">
                  <c:v>95.327860899671208</c:v>
                </c:pt>
                <c:pt idx="9">
                  <c:v>95.105161429307643</c:v>
                </c:pt>
                <c:pt idx="10">
                  <c:v>49.869017037289701</c:v>
                </c:pt>
                <c:pt idx="11">
                  <c:v>38.875774248609609</c:v>
                </c:pt>
              </c:numCache>
            </c:numRef>
          </c:xVal>
          <c:yVal>
            <c:numRef>
              <c:f>'Hawaii 350 kyr'!$AD$16:$AD$27</c:f>
              <c:numCache>
                <c:formatCode>General</c:formatCode>
                <c:ptCount val="12"/>
                <c:pt idx="0">
                  <c:v>0.32555118110236259</c:v>
                </c:pt>
                <c:pt idx="1">
                  <c:v>0.30747086614173269</c:v>
                </c:pt>
                <c:pt idx="2">
                  <c:v>0.44422202506376918</c:v>
                </c:pt>
                <c:pt idx="3">
                  <c:v>0.30065296715959322</c:v>
                </c:pt>
                <c:pt idx="4">
                  <c:v>7.7354804333669147E-2</c:v>
                </c:pt>
                <c:pt idx="5">
                  <c:v>0.95007812739360964</c:v>
                </c:pt>
                <c:pt idx="6">
                  <c:v>0.99005354330708717</c:v>
                </c:pt>
                <c:pt idx="7">
                  <c:v>-0.14985446858053209</c:v>
                </c:pt>
                <c:pt idx="8">
                  <c:v>0.26292222610554883</c:v>
                </c:pt>
                <c:pt idx="9">
                  <c:v>0.93310653241515595</c:v>
                </c:pt>
                <c:pt idx="10">
                  <c:v>-8.5826771653543243E-2</c:v>
                </c:pt>
                <c:pt idx="11">
                  <c:v>-0.10157901385321499</c:v>
                </c:pt>
              </c:numCache>
            </c:numRef>
          </c:yVal>
          <c:smooth val="0"/>
          <c:extLst xmlns:c16r2="http://schemas.microsoft.com/office/drawing/2015/06/chart">
            <c:ext xmlns:c16="http://schemas.microsoft.com/office/drawing/2014/chart" uri="{C3380CC4-5D6E-409C-BE32-E72D297353CC}">
              <c16:uniqueId val="{00000002-CE2B-45F8-ADCD-5D78005EB2E9}"/>
            </c:ext>
          </c:extLst>
        </c:ser>
        <c:ser>
          <c:idx val="3"/>
          <c:order val="3"/>
          <c:tx>
            <c:v>1100 mm</c:v>
          </c:tx>
          <c:spPr>
            <a:ln w="25400" cap="rnd">
              <a:noFill/>
              <a:round/>
            </a:ln>
            <a:effectLst/>
          </c:spPr>
          <c:marker>
            <c:symbol val="circle"/>
            <c:size val="5"/>
            <c:spPr>
              <a:solidFill>
                <a:srgbClr val="FF5F5F"/>
              </a:solidFill>
              <a:ln w="9525">
                <a:noFill/>
              </a:ln>
              <a:effectLst/>
            </c:spPr>
          </c:marker>
          <c:xVal>
            <c:numRef>
              <c:f>'Hawaii 350 kyr'!$O$29:$O$39</c:f>
              <c:numCache>
                <c:formatCode>General</c:formatCode>
                <c:ptCount val="11"/>
                <c:pt idx="0">
                  <c:v>68.173584462469563</c:v>
                </c:pt>
                <c:pt idx="1">
                  <c:v>70.246106048403405</c:v>
                </c:pt>
                <c:pt idx="2">
                  <c:v>78.327606150976223</c:v>
                </c:pt>
                <c:pt idx="3">
                  <c:v>81.434560904698344</c:v>
                </c:pt>
                <c:pt idx="4">
                  <c:v>81.676458044662382</c:v>
                </c:pt>
                <c:pt idx="5">
                  <c:v>83.364909416141799</c:v>
                </c:pt>
                <c:pt idx="6">
                  <c:v>88.147892623184404</c:v>
                </c:pt>
                <c:pt idx="7">
                  <c:v>90.083921119434649</c:v>
                </c:pt>
                <c:pt idx="8">
                  <c:v>97.385933438084265</c:v>
                </c:pt>
                <c:pt idx="9">
                  <c:v>42.627060579930308</c:v>
                </c:pt>
                <c:pt idx="10">
                  <c:v>40.145849419832324</c:v>
                </c:pt>
              </c:numCache>
            </c:numRef>
          </c:xVal>
          <c:yVal>
            <c:numRef>
              <c:f>'Hawaii 350 kyr'!$AD$29:$AD$39</c:f>
              <c:numCache>
                <c:formatCode>General</c:formatCode>
                <c:ptCount val="11"/>
                <c:pt idx="0">
                  <c:v>0.25860566448801747</c:v>
                </c:pt>
                <c:pt idx="1">
                  <c:v>0.27560770589950789</c:v>
                </c:pt>
                <c:pt idx="2">
                  <c:v>0.86726346396751586</c:v>
                </c:pt>
                <c:pt idx="3">
                  <c:v>0.84155132641291841</c:v>
                </c:pt>
                <c:pt idx="4">
                  <c:v>0.82037385931043039</c:v>
                </c:pt>
                <c:pt idx="5">
                  <c:v>2.3376176044595374</c:v>
                </c:pt>
                <c:pt idx="6">
                  <c:v>0.33241774909682587</c:v>
                </c:pt>
                <c:pt idx="7">
                  <c:v>0.26152715436911067</c:v>
                </c:pt>
                <c:pt idx="8">
                  <c:v>0.44191894557712574</c:v>
                </c:pt>
                <c:pt idx="9">
                  <c:v>-4.8020838327180848E-2</c:v>
                </c:pt>
                <c:pt idx="10">
                  <c:v>1.5529858667113539E-2</c:v>
                </c:pt>
              </c:numCache>
            </c:numRef>
          </c:yVal>
          <c:smooth val="0"/>
          <c:extLst xmlns:c16r2="http://schemas.microsoft.com/office/drawing/2015/06/chart">
            <c:ext xmlns:c16="http://schemas.microsoft.com/office/drawing/2014/chart" uri="{C3380CC4-5D6E-409C-BE32-E72D297353CC}">
              <c16:uniqueId val="{00000003-CE2B-45F8-ADCD-5D78005EB2E9}"/>
            </c:ext>
          </c:extLst>
        </c:ser>
        <c:ser>
          <c:idx val="4"/>
          <c:order val="4"/>
          <c:tx>
            <c:v>1200 mm</c:v>
          </c:tx>
          <c:spPr>
            <a:ln w="25400" cap="rnd">
              <a:noFill/>
              <a:round/>
            </a:ln>
            <a:effectLst/>
          </c:spPr>
          <c:marker>
            <c:symbol val="circle"/>
            <c:size val="5"/>
            <c:spPr>
              <a:solidFill>
                <a:srgbClr val="FF4B4B"/>
              </a:solidFill>
              <a:ln w="9525">
                <a:noFill/>
              </a:ln>
              <a:effectLst/>
            </c:spPr>
          </c:marker>
          <c:xVal>
            <c:numRef>
              <c:f>'Hawaii 350 kyr'!$O$41:$O$50</c:f>
              <c:numCache>
                <c:formatCode>General</c:formatCode>
                <c:ptCount val="10"/>
                <c:pt idx="0">
                  <c:v>58.295124137252344</c:v>
                </c:pt>
                <c:pt idx="1">
                  <c:v>52.501080914252185</c:v>
                </c:pt>
                <c:pt idx="2">
                  <c:v>73.559348024475852</c:v>
                </c:pt>
                <c:pt idx="3">
                  <c:v>78.165150925455308</c:v>
                </c:pt>
                <c:pt idx="4">
                  <c:v>81.168844476404516</c:v>
                </c:pt>
                <c:pt idx="5">
                  <c:v>85.354710391675098</c:v>
                </c:pt>
                <c:pt idx="6">
                  <c:v>92.170509209018263</c:v>
                </c:pt>
                <c:pt idx="7">
                  <c:v>95.437700879820213</c:v>
                </c:pt>
                <c:pt idx="8">
                  <c:v>60.088865915719282</c:v>
                </c:pt>
                <c:pt idx="9">
                  <c:v>38.651806270147176</c:v>
                </c:pt>
              </c:numCache>
            </c:numRef>
          </c:xVal>
          <c:yVal>
            <c:numRef>
              <c:f>'Hawaii 350 kyr'!$AD$41:$AD$50</c:f>
              <c:numCache>
                <c:formatCode>General</c:formatCode>
                <c:ptCount val="10"/>
                <c:pt idx="0">
                  <c:v>0.29866541992519546</c:v>
                </c:pt>
                <c:pt idx="1">
                  <c:v>0.49963857107324938</c:v>
                </c:pt>
                <c:pt idx="2">
                  <c:v>0.34354968658143581</c:v>
                </c:pt>
                <c:pt idx="3">
                  <c:v>0.77729500891265557</c:v>
                </c:pt>
                <c:pt idx="4">
                  <c:v>1.5020241771484519</c:v>
                </c:pt>
                <c:pt idx="5">
                  <c:v>0.27174676236542372</c:v>
                </c:pt>
                <c:pt idx="6">
                  <c:v>0.33196550574904182</c:v>
                </c:pt>
                <c:pt idx="7">
                  <c:v>0.85470196947958788</c:v>
                </c:pt>
                <c:pt idx="8">
                  <c:v>-1.0678391959799138E-2</c:v>
                </c:pt>
                <c:pt idx="9">
                  <c:v>6.1229946524063994E-2</c:v>
                </c:pt>
              </c:numCache>
            </c:numRef>
          </c:yVal>
          <c:smooth val="0"/>
          <c:extLst xmlns:c16r2="http://schemas.microsoft.com/office/drawing/2015/06/chart">
            <c:ext xmlns:c16="http://schemas.microsoft.com/office/drawing/2014/chart" uri="{C3380CC4-5D6E-409C-BE32-E72D297353CC}">
              <c16:uniqueId val="{00000004-CE2B-45F8-ADCD-5D78005EB2E9}"/>
            </c:ext>
          </c:extLst>
        </c:ser>
        <c:ser>
          <c:idx val="5"/>
          <c:order val="5"/>
          <c:tx>
            <c:v>1300 mm</c:v>
          </c:tx>
          <c:spPr>
            <a:ln w="25400" cap="rnd">
              <a:noFill/>
              <a:round/>
            </a:ln>
            <a:effectLst/>
          </c:spPr>
          <c:marker>
            <c:symbol val="circle"/>
            <c:size val="5"/>
            <c:spPr>
              <a:solidFill>
                <a:srgbClr val="FF2D2D"/>
              </a:solidFill>
              <a:ln w="9525">
                <a:noFill/>
              </a:ln>
              <a:effectLst/>
            </c:spPr>
          </c:marker>
          <c:xVal>
            <c:numRef>
              <c:f>'Hawaii 350 kyr'!$O$52:$O$60</c:f>
              <c:numCache>
                <c:formatCode>General</c:formatCode>
                <c:ptCount val="9"/>
                <c:pt idx="0">
                  <c:v>71.510825277728102</c:v>
                </c:pt>
                <c:pt idx="1">
                  <c:v>74.287046506998593</c:v>
                </c:pt>
                <c:pt idx="2">
                  <c:v>87.280348648790579</c:v>
                </c:pt>
                <c:pt idx="3">
                  <c:v>86.37207522633318</c:v>
                </c:pt>
                <c:pt idx="4">
                  <c:v>91.063668301927194</c:v>
                </c:pt>
                <c:pt idx="5">
                  <c:v>95.221565535200227</c:v>
                </c:pt>
                <c:pt idx="6">
                  <c:v>98.452307172241021</c:v>
                </c:pt>
                <c:pt idx="7">
                  <c:v>49.823634880257167</c:v>
                </c:pt>
                <c:pt idx="8">
                  <c:v>46.359344737663648</c:v>
                </c:pt>
              </c:numCache>
            </c:numRef>
          </c:xVal>
          <c:yVal>
            <c:numRef>
              <c:f>'Hawaii 350 kyr'!$AD$52:$AD$60</c:f>
              <c:numCache>
                <c:formatCode>General</c:formatCode>
                <c:ptCount val="9"/>
                <c:pt idx="0">
                  <c:v>1.3977300992160435E-2</c:v>
                </c:pt>
                <c:pt idx="1">
                  <c:v>-3.1155757833232434E-2</c:v>
                </c:pt>
                <c:pt idx="2">
                  <c:v>1.2267805698880849</c:v>
                </c:pt>
                <c:pt idx="3">
                  <c:v>2.0020796175550433</c:v>
                </c:pt>
                <c:pt idx="4">
                  <c:v>4.1260255548083418</c:v>
                </c:pt>
                <c:pt idx="5">
                  <c:v>1.0389264032574554</c:v>
                </c:pt>
                <c:pt idx="6">
                  <c:v>1.4071585778041733</c:v>
                </c:pt>
                <c:pt idx="7">
                  <c:v>0.26191028320982213</c:v>
                </c:pt>
                <c:pt idx="8">
                  <c:v>0.14411217977185986</c:v>
                </c:pt>
              </c:numCache>
            </c:numRef>
          </c:yVal>
          <c:smooth val="0"/>
          <c:extLst xmlns:c16r2="http://schemas.microsoft.com/office/drawing/2015/06/chart">
            <c:ext xmlns:c16="http://schemas.microsoft.com/office/drawing/2014/chart" uri="{C3380CC4-5D6E-409C-BE32-E72D297353CC}">
              <c16:uniqueId val="{00000005-CE2B-45F8-ADCD-5D78005EB2E9}"/>
            </c:ext>
          </c:extLst>
        </c:ser>
        <c:ser>
          <c:idx val="6"/>
          <c:order val="6"/>
          <c:tx>
            <c:v>1500 mm</c:v>
          </c:tx>
          <c:spPr>
            <a:ln w="25400" cap="rnd">
              <a:noFill/>
              <a:round/>
            </a:ln>
            <a:effectLst/>
          </c:spPr>
          <c:marker>
            <c:symbol val="circle"/>
            <c:size val="5"/>
            <c:spPr>
              <a:solidFill>
                <a:srgbClr val="FF0F0F"/>
              </a:solidFill>
              <a:ln w="9525">
                <a:noFill/>
              </a:ln>
              <a:effectLst/>
            </c:spPr>
          </c:marker>
          <c:xVal>
            <c:numRef>
              <c:f>'Hawaii 350 kyr'!$O$62:$O$69</c:f>
              <c:numCache>
                <c:formatCode>General</c:formatCode>
                <c:ptCount val="8"/>
                <c:pt idx="0">
                  <c:v>76.234273627316767</c:v>
                </c:pt>
                <c:pt idx="1">
                  <c:v>93.139401966487867</c:v>
                </c:pt>
                <c:pt idx="2">
                  <c:v>96.660887704378013</c:v>
                </c:pt>
                <c:pt idx="3">
                  <c:v>98.129838970872541</c:v>
                </c:pt>
                <c:pt idx="4">
                  <c:v>96.361831440551924</c:v>
                </c:pt>
                <c:pt idx="5">
                  <c:v>98.470967403706837</c:v>
                </c:pt>
                <c:pt idx="6">
                  <c:v>95.543688075128202</c:v>
                </c:pt>
                <c:pt idx="7">
                  <c:v>45.444033400701336</c:v>
                </c:pt>
              </c:numCache>
            </c:numRef>
          </c:xVal>
          <c:yVal>
            <c:numRef>
              <c:f>'Hawaii 350 kyr'!$AD$62:$AD$69</c:f>
              <c:numCache>
                <c:formatCode>General</c:formatCode>
                <c:ptCount val="8"/>
                <c:pt idx="0">
                  <c:v>-0.76450949706956328</c:v>
                </c:pt>
                <c:pt idx="1">
                  <c:v>-0.22722526991713876</c:v>
                </c:pt>
                <c:pt idx="2">
                  <c:v>8.3230872106818676E-2</c:v>
                </c:pt>
                <c:pt idx="3">
                  <c:v>0.39292064207547672</c:v>
                </c:pt>
                <c:pt idx="4">
                  <c:v>0.10342879185478604</c:v>
                </c:pt>
                <c:pt idx="5">
                  <c:v>0.25436459957828883</c:v>
                </c:pt>
                <c:pt idx="6">
                  <c:v>0.45429423231280852</c:v>
                </c:pt>
                <c:pt idx="7">
                  <c:v>-0.17564325308182338</c:v>
                </c:pt>
              </c:numCache>
            </c:numRef>
          </c:yVal>
          <c:smooth val="0"/>
          <c:extLst xmlns:c16r2="http://schemas.microsoft.com/office/drawing/2015/06/chart">
            <c:ext xmlns:c16="http://schemas.microsoft.com/office/drawing/2014/chart" uri="{C3380CC4-5D6E-409C-BE32-E72D297353CC}">
              <c16:uniqueId val="{00000006-CE2B-45F8-ADCD-5D78005EB2E9}"/>
            </c:ext>
          </c:extLst>
        </c:ser>
        <c:ser>
          <c:idx val="7"/>
          <c:order val="7"/>
          <c:tx>
            <c:v>1800 mm</c:v>
          </c:tx>
          <c:spPr>
            <a:ln w="25400" cap="rnd">
              <a:noFill/>
              <a:round/>
            </a:ln>
            <a:effectLst/>
          </c:spPr>
          <c:marker>
            <c:symbol val="circle"/>
            <c:size val="5"/>
            <c:spPr>
              <a:solidFill>
                <a:srgbClr val="FF0F0F"/>
              </a:solidFill>
              <a:ln w="9525">
                <a:noFill/>
              </a:ln>
              <a:effectLst/>
            </c:spPr>
          </c:marker>
          <c:xVal>
            <c:numRef>
              <c:f>'Hawaii 350 kyr'!$O$71:$O$78</c:f>
              <c:numCache>
                <c:formatCode>General</c:formatCode>
                <c:ptCount val="8"/>
                <c:pt idx="0">
                  <c:v>79.11007974595006</c:v>
                </c:pt>
                <c:pt idx="1">
                  <c:v>95.138543390499393</c:v>
                </c:pt>
                <c:pt idx="2">
                  <c:v>95.5165838988313</c:v>
                </c:pt>
                <c:pt idx="3">
                  <c:v>96.155340634084737</c:v>
                </c:pt>
                <c:pt idx="4">
                  <c:v>94.926947180291549</c:v>
                </c:pt>
                <c:pt idx="5">
                  <c:v>97.722772141288715</c:v>
                </c:pt>
                <c:pt idx="6">
                  <c:v>97.132238542856925</c:v>
                </c:pt>
                <c:pt idx="7">
                  <c:v>47.611681521689107</c:v>
                </c:pt>
              </c:numCache>
            </c:numRef>
          </c:xVal>
          <c:yVal>
            <c:numRef>
              <c:f>'Hawaii 350 kyr'!$AD$71:$AD$78</c:f>
              <c:numCache>
                <c:formatCode>General</c:formatCode>
                <c:ptCount val="8"/>
                <c:pt idx="0">
                  <c:v>-0.59030623067218913</c:v>
                </c:pt>
                <c:pt idx="1">
                  <c:v>3.2757568569949971</c:v>
                </c:pt>
                <c:pt idx="2">
                  <c:v>4.1925624294755437</c:v>
                </c:pt>
                <c:pt idx="3">
                  <c:v>1.4204449043603455</c:v>
                </c:pt>
                <c:pt idx="4">
                  <c:v>0.2539408572112698</c:v>
                </c:pt>
                <c:pt idx="5">
                  <c:v>0.35759816231866925</c:v>
                </c:pt>
                <c:pt idx="6">
                  <c:v>5.147481892642003E-2</c:v>
                </c:pt>
                <c:pt idx="7">
                  <c:v>-0.38651218062982773</c:v>
                </c:pt>
              </c:numCache>
            </c:numRef>
          </c:yVal>
          <c:smooth val="0"/>
          <c:extLst xmlns:c16r2="http://schemas.microsoft.com/office/drawing/2015/06/chart">
            <c:ext xmlns:c16="http://schemas.microsoft.com/office/drawing/2014/chart" uri="{C3380CC4-5D6E-409C-BE32-E72D297353CC}">
              <c16:uniqueId val="{00000007-CE2B-45F8-ADCD-5D78005EB2E9}"/>
            </c:ext>
          </c:extLst>
        </c:ser>
        <c:ser>
          <c:idx val="8"/>
          <c:order val="8"/>
          <c:tx>
            <c:v>1900 mm</c:v>
          </c:tx>
          <c:spPr>
            <a:ln w="25400" cap="rnd">
              <a:noFill/>
              <a:round/>
            </a:ln>
            <a:effectLst/>
          </c:spPr>
          <c:marker>
            <c:symbol val="circle"/>
            <c:size val="5"/>
            <c:spPr>
              <a:solidFill>
                <a:srgbClr val="FF0000"/>
              </a:solidFill>
              <a:ln w="9525">
                <a:noFill/>
              </a:ln>
              <a:effectLst/>
            </c:spPr>
          </c:marker>
          <c:xVal>
            <c:numRef>
              <c:f>'Hawaii 350 kyr'!$O$80:$O$89</c:f>
              <c:numCache>
                <c:formatCode>General</c:formatCode>
                <c:ptCount val="10"/>
                <c:pt idx="0">
                  <c:v>75.022939701759498</c:v>
                </c:pt>
                <c:pt idx="1">
                  <c:v>78.847867276256366</c:v>
                </c:pt>
                <c:pt idx="2">
                  <c:v>86.939461504618436</c:v>
                </c:pt>
                <c:pt idx="3">
                  <c:v>84.706190732315363</c:v>
                </c:pt>
                <c:pt idx="4">
                  <c:v>94.137803025829669</c:v>
                </c:pt>
                <c:pt idx="5">
                  <c:v>97.156919140370746</c:v>
                </c:pt>
                <c:pt idx="6">
                  <c:v>98.045774426134756</c:v>
                </c:pt>
                <c:pt idx="7">
                  <c:v>98.151720252485489</c:v>
                </c:pt>
                <c:pt idx="8">
                  <c:v>46.959988086911778</c:v>
                </c:pt>
                <c:pt idx="9">
                  <c:v>44.283005696194962</c:v>
                </c:pt>
              </c:numCache>
            </c:numRef>
          </c:xVal>
          <c:yVal>
            <c:numRef>
              <c:f>'Hawaii 350 kyr'!$AD$80:$AD$89</c:f>
              <c:numCache>
                <c:formatCode>General</c:formatCode>
                <c:ptCount val="10"/>
                <c:pt idx="0">
                  <c:v>-0.2872238232468779</c:v>
                </c:pt>
                <c:pt idx="1">
                  <c:v>-0.16407376722206879</c:v>
                </c:pt>
                <c:pt idx="2">
                  <c:v>0.21430279991983614</c:v>
                </c:pt>
                <c:pt idx="3">
                  <c:v>-0.48740035513241908</c:v>
                </c:pt>
                <c:pt idx="4">
                  <c:v>0.46004934771766859</c:v>
                </c:pt>
                <c:pt idx="5">
                  <c:v>0.99296656545382822</c:v>
                </c:pt>
                <c:pt idx="6">
                  <c:v>0.69701314217443255</c:v>
                </c:pt>
                <c:pt idx="7">
                  <c:v>0.7135108011458553</c:v>
                </c:pt>
                <c:pt idx="8">
                  <c:v>8.7078239470803176E-2</c:v>
                </c:pt>
                <c:pt idx="9">
                  <c:v>9.9581208712260949E-2</c:v>
                </c:pt>
              </c:numCache>
            </c:numRef>
          </c:yVal>
          <c:smooth val="0"/>
          <c:extLst xmlns:c16r2="http://schemas.microsoft.com/office/drawing/2015/06/chart">
            <c:ext xmlns:c16="http://schemas.microsoft.com/office/drawing/2014/chart" uri="{C3380CC4-5D6E-409C-BE32-E72D297353CC}">
              <c16:uniqueId val="{00000008-CE2B-45F8-ADCD-5D78005EB2E9}"/>
            </c:ext>
          </c:extLst>
        </c:ser>
        <c:ser>
          <c:idx val="9"/>
          <c:order val="9"/>
          <c:tx>
            <c:v>2000 mm</c:v>
          </c:tx>
          <c:spPr>
            <a:ln w="25400" cap="rnd">
              <a:noFill/>
              <a:round/>
            </a:ln>
            <a:effectLst/>
          </c:spPr>
          <c:marker>
            <c:symbol val="circle"/>
            <c:size val="5"/>
            <c:spPr>
              <a:solidFill>
                <a:srgbClr val="D20000"/>
              </a:solidFill>
              <a:ln w="9525">
                <a:noFill/>
              </a:ln>
              <a:effectLst/>
            </c:spPr>
          </c:marker>
          <c:xVal>
            <c:numRef>
              <c:f>'Hawaii 350 kyr'!$O$91:$O$98</c:f>
              <c:numCache>
                <c:formatCode>General</c:formatCode>
                <c:ptCount val="8"/>
                <c:pt idx="0">
                  <c:v>76.831346001787153</c:v>
                </c:pt>
                <c:pt idx="1">
                  <c:v>89.082919259267655</c:v>
                </c:pt>
                <c:pt idx="2">
                  <c:v>91.883160675590602</c:v>
                </c:pt>
                <c:pt idx="3">
                  <c:v>95.753374757789501</c:v>
                </c:pt>
                <c:pt idx="4">
                  <c:v>98.91280639896037</c:v>
                </c:pt>
                <c:pt idx="5">
                  <c:v>97.986575000904239</c:v>
                </c:pt>
                <c:pt idx="6">
                  <c:v>47.919324887599039</c:v>
                </c:pt>
                <c:pt idx="7">
                  <c:v>44.283005696194962</c:v>
                </c:pt>
              </c:numCache>
            </c:numRef>
          </c:xVal>
          <c:yVal>
            <c:numRef>
              <c:f>'Hawaii 350 kyr'!$AD$91:$AD$98</c:f>
              <c:numCache>
                <c:formatCode>General</c:formatCode>
                <c:ptCount val="8"/>
                <c:pt idx="0">
                  <c:v>-0.77061704042909573</c:v>
                </c:pt>
                <c:pt idx="1">
                  <c:v>-0.78530189412918916</c:v>
                </c:pt>
                <c:pt idx="2">
                  <c:v>-0.55021832699469586</c:v>
                </c:pt>
                <c:pt idx="3">
                  <c:v>-2.1634758625385886E-2</c:v>
                </c:pt>
                <c:pt idx="4">
                  <c:v>1.1396854271794408</c:v>
                </c:pt>
                <c:pt idx="5">
                  <c:v>0.28472530250349393</c:v>
                </c:pt>
                <c:pt idx="6">
                  <c:v>0.22851176360538239</c:v>
                </c:pt>
                <c:pt idx="7">
                  <c:v>0.27119936680903911</c:v>
                </c:pt>
              </c:numCache>
            </c:numRef>
          </c:yVal>
          <c:smooth val="0"/>
          <c:extLst xmlns:c16r2="http://schemas.microsoft.com/office/drawing/2015/06/chart">
            <c:ext xmlns:c16="http://schemas.microsoft.com/office/drawing/2014/chart" uri="{C3380CC4-5D6E-409C-BE32-E72D297353CC}">
              <c16:uniqueId val="{00000009-CE2B-45F8-ADCD-5D78005EB2E9}"/>
            </c:ext>
          </c:extLst>
        </c:ser>
        <c:ser>
          <c:idx val="10"/>
          <c:order val="10"/>
          <c:tx>
            <c:v>2100 mm</c:v>
          </c:tx>
          <c:spPr>
            <a:ln w="25400" cap="rnd">
              <a:noFill/>
              <a:round/>
            </a:ln>
            <a:effectLst/>
          </c:spPr>
          <c:marker>
            <c:symbol val="circle"/>
            <c:size val="5"/>
            <c:spPr>
              <a:solidFill>
                <a:srgbClr val="960000"/>
              </a:solidFill>
              <a:ln w="9525">
                <a:noFill/>
              </a:ln>
              <a:effectLst/>
            </c:spPr>
          </c:marker>
          <c:xVal>
            <c:numRef>
              <c:f>'Hawaii 350 kyr'!$O$100:$O$106</c:f>
              <c:numCache>
                <c:formatCode>General</c:formatCode>
                <c:ptCount val="7"/>
                <c:pt idx="0">
                  <c:v>81.376817845259623</c:v>
                </c:pt>
                <c:pt idx="1">
                  <c:v>80.55578351480483</c:v>
                </c:pt>
                <c:pt idx="2">
                  <c:v>90.993376968386656</c:v>
                </c:pt>
                <c:pt idx="3">
                  <c:v>94.17503876709317</c:v>
                </c:pt>
                <c:pt idx="4">
                  <c:v>98.825451523650869</c:v>
                </c:pt>
                <c:pt idx="5">
                  <c:v>97.986575000904239</c:v>
                </c:pt>
                <c:pt idx="6">
                  <c:v>47.919324887599039</c:v>
                </c:pt>
              </c:numCache>
            </c:numRef>
          </c:xVal>
          <c:yVal>
            <c:numRef>
              <c:f>'Hawaii 350 kyr'!$AD$100:$AD$106</c:f>
              <c:numCache>
                <c:formatCode>General</c:formatCode>
                <c:ptCount val="7"/>
                <c:pt idx="0">
                  <c:v>-0.65223414141546021</c:v>
                </c:pt>
                <c:pt idx="1">
                  <c:v>-0.65516601441989897</c:v>
                </c:pt>
                <c:pt idx="2">
                  <c:v>-0.42573018447459654</c:v>
                </c:pt>
                <c:pt idx="3">
                  <c:v>-0.42017312434259291</c:v>
                </c:pt>
                <c:pt idx="4">
                  <c:v>2.3309661041416541</c:v>
                </c:pt>
                <c:pt idx="5">
                  <c:v>0.28472530250349393</c:v>
                </c:pt>
                <c:pt idx="6">
                  <c:v>0.22851176360538239</c:v>
                </c:pt>
              </c:numCache>
            </c:numRef>
          </c:yVal>
          <c:smooth val="0"/>
          <c:extLst xmlns:c16r2="http://schemas.microsoft.com/office/drawing/2015/06/chart">
            <c:ext xmlns:c16="http://schemas.microsoft.com/office/drawing/2014/chart" uri="{C3380CC4-5D6E-409C-BE32-E72D297353CC}">
              <c16:uniqueId val="{0000000A-CE2B-45F8-ADCD-5D78005EB2E9}"/>
            </c:ext>
          </c:extLst>
        </c:ser>
        <c:ser>
          <c:idx val="11"/>
          <c:order val="11"/>
          <c:tx>
            <c:v>2400 mm</c:v>
          </c:tx>
          <c:spPr>
            <a:ln w="25400" cap="rnd">
              <a:noFill/>
              <a:round/>
            </a:ln>
            <a:effectLst/>
          </c:spPr>
          <c:marker>
            <c:symbol val="circle"/>
            <c:size val="5"/>
            <c:spPr>
              <a:solidFill>
                <a:srgbClr val="5A0000"/>
              </a:solidFill>
              <a:ln w="9525">
                <a:noFill/>
              </a:ln>
              <a:effectLst/>
            </c:spPr>
          </c:marker>
          <c:xVal>
            <c:numRef>
              <c:f>'Hawaii 350 kyr'!$O$108:$O$115</c:f>
              <c:numCache>
                <c:formatCode>General</c:formatCode>
                <c:ptCount val="8"/>
                <c:pt idx="0">
                  <c:v>81.771424392084839</c:v>
                </c:pt>
                <c:pt idx="1">
                  <c:v>81.246535167316338</c:v>
                </c:pt>
                <c:pt idx="2">
                  <c:v>86.624224630916686</c:v>
                </c:pt>
                <c:pt idx="3">
                  <c:v>89.551986887757977</c:v>
                </c:pt>
                <c:pt idx="4">
                  <c:v>97.860702113412557</c:v>
                </c:pt>
                <c:pt idx="5">
                  <c:v>98.524197683174322</c:v>
                </c:pt>
                <c:pt idx="6">
                  <c:v>68.090383750772077</c:v>
                </c:pt>
                <c:pt idx="7">
                  <c:v>47.611681521689107</c:v>
                </c:pt>
              </c:numCache>
            </c:numRef>
          </c:xVal>
          <c:yVal>
            <c:numRef>
              <c:f>'Hawaii 350 kyr'!$AD$108:$AD$115</c:f>
              <c:numCache>
                <c:formatCode>General</c:formatCode>
                <c:ptCount val="8"/>
                <c:pt idx="0">
                  <c:v>-0.79303503010399556</c:v>
                </c:pt>
                <c:pt idx="1">
                  <c:v>-0.833081660448866</c:v>
                </c:pt>
                <c:pt idx="2">
                  <c:v>-0.79843629859927123</c:v>
                </c:pt>
                <c:pt idx="3">
                  <c:v>-0.77238581730769229</c:v>
                </c:pt>
                <c:pt idx="4">
                  <c:v>-0.115141683906965</c:v>
                </c:pt>
                <c:pt idx="5">
                  <c:v>0.26511400276370312</c:v>
                </c:pt>
                <c:pt idx="6">
                  <c:v>0.16228305121062814</c:v>
                </c:pt>
                <c:pt idx="7">
                  <c:v>-0.20649060294836863</c:v>
                </c:pt>
              </c:numCache>
            </c:numRef>
          </c:yVal>
          <c:smooth val="0"/>
          <c:extLst xmlns:c16r2="http://schemas.microsoft.com/office/drawing/2015/06/chart">
            <c:ext xmlns:c16="http://schemas.microsoft.com/office/drawing/2014/chart" uri="{C3380CC4-5D6E-409C-BE32-E72D297353CC}">
              <c16:uniqueId val="{0000000B-CE2B-45F8-ADCD-5D78005EB2E9}"/>
            </c:ext>
          </c:extLst>
        </c:ser>
        <c:ser>
          <c:idx val="12"/>
          <c:order val="12"/>
          <c:tx>
            <c:v>2500 mm</c:v>
          </c:tx>
          <c:spPr>
            <a:ln w="25400" cap="rnd">
              <a:noFill/>
              <a:round/>
            </a:ln>
            <a:effectLst/>
          </c:spPr>
          <c:marker>
            <c:symbol val="circle"/>
            <c:size val="5"/>
            <c:spPr>
              <a:solidFill>
                <a:schemeClr val="tx1"/>
              </a:solidFill>
              <a:ln w="9525">
                <a:noFill/>
              </a:ln>
              <a:effectLst/>
            </c:spPr>
          </c:marker>
          <c:xVal>
            <c:numRef>
              <c:f>'Hawaii 350 kyr'!$O$117:$O$126</c:f>
              <c:numCache>
                <c:formatCode>General</c:formatCode>
                <c:ptCount val="10"/>
                <c:pt idx="0">
                  <c:v>45.897340495188878</c:v>
                </c:pt>
                <c:pt idx="1">
                  <c:v>76.790666912433565</c:v>
                </c:pt>
                <c:pt idx="2">
                  <c:v>81.514019072252751</c:v>
                </c:pt>
                <c:pt idx="3">
                  <c:v>97.647228084416497</c:v>
                </c:pt>
                <c:pt idx="4">
                  <c:v>99.12790847679463</c:v>
                </c:pt>
                <c:pt idx="5">
                  <c:v>96.523153986109705</c:v>
                </c:pt>
                <c:pt idx="6">
                  <c:v>99.388502389093702</c:v>
                </c:pt>
                <c:pt idx="7">
                  <c:v>98.943593843857542</c:v>
                </c:pt>
                <c:pt idx="8">
                  <c:v>98.011376723928848</c:v>
                </c:pt>
                <c:pt idx="9">
                  <c:v>47.611681521689107</c:v>
                </c:pt>
              </c:numCache>
            </c:numRef>
          </c:xVal>
          <c:yVal>
            <c:numRef>
              <c:f>'Hawaii 350 kyr'!$AD$117:$AD$126</c:f>
              <c:numCache>
                <c:formatCode>General</c:formatCode>
                <c:ptCount val="10"/>
                <c:pt idx="0">
                  <c:v>-0.59411104509143731</c:v>
                </c:pt>
                <c:pt idx="1">
                  <c:v>-0.7238798901202993</c:v>
                </c:pt>
                <c:pt idx="2">
                  <c:v>-0.71400539612460134</c:v>
                </c:pt>
                <c:pt idx="3">
                  <c:v>0.52466664385358586</c:v>
                </c:pt>
                <c:pt idx="4">
                  <c:v>0.94834670858498127</c:v>
                </c:pt>
                <c:pt idx="5">
                  <c:v>0.98960951902128413</c:v>
                </c:pt>
                <c:pt idx="6">
                  <c:v>1.4998489257828029</c:v>
                </c:pt>
                <c:pt idx="7">
                  <c:v>0.85081738530744055</c:v>
                </c:pt>
                <c:pt idx="8">
                  <c:v>0.11128107665446008</c:v>
                </c:pt>
                <c:pt idx="9">
                  <c:v>-0.32714704537507733</c:v>
                </c:pt>
              </c:numCache>
            </c:numRef>
          </c:yVal>
          <c:smooth val="0"/>
          <c:extLst xmlns:c16r2="http://schemas.microsoft.com/office/drawing/2015/06/chart">
            <c:ext xmlns:c16="http://schemas.microsoft.com/office/drawing/2014/chart" uri="{C3380CC4-5D6E-409C-BE32-E72D297353CC}">
              <c16:uniqueId val="{0000000C-CE2B-45F8-ADCD-5D78005EB2E9}"/>
            </c:ext>
          </c:extLst>
        </c:ser>
        <c:dLbls>
          <c:showLegendKey val="0"/>
          <c:showVal val="0"/>
          <c:showCatName val="0"/>
          <c:showSerName val="0"/>
          <c:showPercent val="0"/>
          <c:showBubbleSize val="0"/>
        </c:dLbls>
        <c:axId val="160437760"/>
        <c:axId val="160452608"/>
      </c:scatterChart>
      <c:valAx>
        <c:axId val="160437760"/>
        <c:scaling>
          <c:orientation val="minMax"/>
          <c:max val="100"/>
          <c:min val="3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CIA</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452608"/>
        <c:crossesAt val="-1"/>
        <c:crossBetween val="midCat"/>
      </c:valAx>
      <c:valAx>
        <c:axId val="160452608"/>
        <c:scaling>
          <c:orientation val="minMax"/>
          <c:min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baseline="0">
                    <a:effectLst/>
                  </a:rPr>
                  <a:t>Tau_Ti,Al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437760"/>
        <c:crosses val="autoZero"/>
        <c:crossBetween val="midCat"/>
      </c:valAx>
      <c:spPr>
        <a:noFill/>
        <a:ln>
          <a:solidFill>
            <a:sysClr val="windowText" lastClr="000000"/>
          </a:solid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750 mm</c:v>
          </c:tx>
          <c:spPr>
            <a:ln w="25400" cap="rnd">
              <a:noFill/>
              <a:round/>
            </a:ln>
            <a:effectLst/>
          </c:spPr>
          <c:marker>
            <c:symbol val="circle"/>
            <c:size val="5"/>
            <c:spPr>
              <a:solidFill>
                <a:srgbClr val="FFCDCD"/>
              </a:solidFill>
              <a:ln w="9525">
                <a:noFill/>
              </a:ln>
              <a:effectLst/>
            </c:spPr>
          </c:marker>
          <c:xVal>
            <c:numRef>
              <c:f>'Hawaii 350 kyr'!$P$3:$P$7</c:f>
              <c:numCache>
                <c:formatCode>General</c:formatCode>
                <c:ptCount val="5"/>
                <c:pt idx="0">
                  <c:v>71.715771281967406</c:v>
                </c:pt>
                <c:pt idx="1">
                  <c:v>75.391854539854748</c:v>
                </c:pt>
                <c:pt idx="2">
                  <c:v>79.484441682850573</c:v>
                </c:pt>
                <c:pt idx="3">
                  <c:v>82.068331923127076</c:v>
                </c:pt>
                <c:pt idx="4">
                  <c:v>77.448821774889865</c:v>
                </c:pt>
              </c:numCache>
            </c:numRef>
          </c:xVal>
          <c:yVal>
            <c:numRef>
              <c:f>'Hawaii 350 kyr'!$AD$3:$AD$7</c:f>
              <c:numCache>
                <c:formatCode>General</c:formatCode>
                <c:ptCount val="5"/>
                <c:pt idx="0">
                  <c:v>9.9122651542006279E-2</c:v>
                </c:pt>
                <c:pt idx="1">
                  <c:v>0.10176282051282048</c:v>
                </c:pt>
                <c:pt idx="2">
                  <c:v>7.537102343692581E-2</c:v>
                </c:pt>
                <c:pt idx="3">
                  <c:v>-5.8977455716585969E-2</c:v>
                </c:pt>
                <c:pt idx="4">
                  <c:v>-8.3162600111752583E-2</c:v>
                </c:pt>
              </c:numCache>
            </c:numRef>
          </c:yVal>
          <c:smooth val="0"/>
          <c:extLst xmlns:c16r2="http://schemas.microsoft.com/office/drawing/2015/06/chart">
            <c:ext xmlns:c16="http://schemas.microsoft.com/office/drawing/2014/chart" uri="{C3380CC4-5D6E-409C-BE32-E72D297353CC}">
              <c16:uniqueId val="{00000000-8328-4260-B580-549D51DCAC04}"/>
            </c:ext>
          </c:extLst>
        </c:ser>
        <c:ser>
          <c:idx val="1"/>
          <c:order val="1"/>
          <c:tx>
            <c:v>900 mm</c:v>
          </c:tx>
          <c:spPr>
            <a:ln w="25400" cap="rnd">
              <a:noFill/>
              <a:round/>
            </a:ln>
            <a:effectLst/>
          </c:spPr>
          <c:marker>
            <c:symbol val="circle"/>
            <c:size val="5"/>
            <c:spPr>
              <a:solidFill>
                <a:srgbClr val="FFA5A5"/>
              </a:solidFill>
              <a:ln w="9525">
                <a:noFill/>
              </a:ln>
              <a:effectLst/>
            </c:spPr>
          </c:marker>
          <c:xVal>
            <c:numRef>
              <c:f>'Hawaii 350 kyr'!$P$9:$P$14</c:f>
              <c:numCache>
                <c:formatCode>General</c:formatCode>
                <c:ptCount val="6"/>
                <c:pt idx="0">
                  <c:v>78.768535759323171</c:v>
                </c:pt>
                <c:pt idx="1">
                  <c:v>81.748050748674189</c:v>
                </c:pt>
                <c:pt idx="2">
                  <c:v>81.32497070815397</c:v>
                </c:pt>
                <c:pt idx="3">
                  <c:v>80.650199706332529</c:v>
                </c:pt>
                <c:pt idx="4">
                  <c:v>79.697325087774601</c:v>
                </c:pt>
                <c:pt idx="5">
                  <c:v>41.812519125681021</c:v>
                </c:pt>
              </c:numCache>
            </c:numRef>
          </c:xVal>
          <c:yVal>
            <c:numRef>
              <c:f>'Hawaii 350 kyr'!$AD$9:$AD$14</c:f>
              <c:numCache>
                <c:formatCode>General</c:formatCode>
                <c:ptCount val="6"/>
                <c:pt idx="0">
                  <c:v>0.52505446623093732</c:v>
                </c:pt>
                <c:pt idx="1">
                  <c:v>0.51566300738202564</c:v>
                </c:pt>
                <c:pt idx="2">
                  <c:v>0.39309240035883652</c:v>
                </c:pt>
                <c:pt idx="3">
                  <c:v>0.21794604366569303</c:v>
                </c:pt>
                <c:pt idx="4">
                  <c:v>8.7303527673191716E-2</c:v>
                </c:pt>
                <c:pt idx="5">
                  <c:v>-7.9043500582508863E-2</c:v>
                </c:pt>
              </c:numCache>
            </c:numRef>
          </c:yVal>
          <c:smooth val="0"/>
          <c:extLst xmlns:c16r2="http://schemas.microsoft.com/office/drawing/2015/06/chart">
            <c:ext xmlns:c16="http://schemas.microsoft.com/office/drawing/2014/chart" uri="{C3380CC4-5D6E-409C-BE32-E72D297353CC}">
              <c16:uniqueId val="{00000001-8328-4260-B580-549D51DCAC04}"/>
            </c:ext>
          </c:extLst>
        </c:ser>
        <c:ser>
          <c:idx val="2"/>
          <c:order val="2"/>
          <c:tx>
            <c:v>1000 mm</c:v>
          </c:tx>
          <c:spPr>
            <a:ln w="25400" cap="rnd">
              <a:noFill/>
              <a:round/>
            </a:ln>
            <a:effectLst/>
          </c:spPr>
          <c:marker>
            <c:symbol val="circle"/>
            <c:size val="5"/>
            <c:spPr>
              <a:solidFill>
                <a:srgbClr val="FF7D7D"/>
              </a:solidFill>
              <a:ln w="9525">
                <a:noFill/>
              </a:ln>
              <a:effectLst/>
            </c:spPr>
          </c:marker>
          <c:xVal>
            <c:numRef>
              <c:f>'Hawaii 350 kyr'!$P$16:$P$27</c:f>
              <c:numCache>
                <c:formatCode>General</c:formatCode>
                <c:ptCount val="12"/>
                <c:pt idx="0">
                  <c:v>67.513737761041298</c:v>
                </c:pt>
                <c:pt idx="1">
                  <c:v>70.559052257195177</c:v>
                </c:pt>
                <c:pt idx="2">
                  <c:v>77.227327019019867</c:v>
                </c:pt>
                <c:pt idx="3">
                  <c:v>79.076160950343663</c:v>
                </c:pt>
                <c:pt idx="4">
                  <c:v>79.828676379376006</c:v>
                </c:pt>
                <c:pt idx="5">
                  <c:v>84.843969567925924</c:v>
                </c:pt>
                <c:pt idx="6">
                  <c:v>85.71397076534663</c:v>
                </c:pt>
                <c:pt idx="7">
                  <c:v>93.134363834138568</c:v>
                </c:pt>
                <c:pt idx="8">
                  <c:v>96.173409066217459</c:v>
                </c:pt>
                <c:pt idx="9">
                  <c:v>95.417883309680192</c:v>
                </c:pt>
                <c:pt idx="10">
                  <c:v>50.180540275821294</c:v>
                </c:pt>
                <c:pt idx="11">
                  <c:v>39.383963961222705</c:v>
                </c:pt>
              </c:numCache>
            </c:numRef>
          </c:xVal>
          <c:yVal>
            <c:numRef>
              <c:f>'Hawaii 350 kyr'!$AD$16:$AD$27</c:f>
              <c:numCache>
                <c:formatCode>General</c:formatCode>
                <c:ptCount val="12"/>
                <c:pt idx="0">
                  <c:v>0.32555118110236259</c:v>
                </c:pt>
                <c:pt idx="1">
                  <c:v>0.30747086614173269</c:v>
                </c:pt>
                <c:pt idx="2">
                  <c:v>0.44422202506376918</c:v>
                </c:pt>
                <c:pt idx="3">
                  <c:v>0.30065296715959322</c:v>
                </c:pt>
                <c:pt idx="4">
                  <c:v>7.7354804333669147E-2</c:v>
                </c:pt>
                <c:pt idx="5">
                  <c:v>0.95007812739360964</c:v>
                </c:pt>
                <c:pt idx="6">
                  <c:v>0.99005354330708717</c:v>
                </c:pt>
                <c:pt idx="7">
                  <c:v>-0.14985446858053209</c:v>
                </c:pt>
                <c:pt idx="8">
                  <c:v>0.26292222610554883</c:v>
                </c:pt>
                <c:pt idx="9">
                  <c:v>0.93310653241515595</c:v>
                </c:pt>
                <c:pt idx="10">
                  <c:v>-8.5826771653543243E-2</c:v>
                </c:pt>
                <c:pt idx="11">
                  <c:v>-0.10157901385321499</c:v>
                </c:pt>
              </c:numCache>
            </c:numRef>
          </c:yVal>
          <c:smooth val="0"/>
          <c:extLst xmlns:c16r2="http://schemas.microsoft.com/office/drawing/2015/06/chart">
            <c:ext xmlns:c16="http://schemas.microsoft.com/office/drawing/2014/chart" uri="{C3380CC4-5D6E-409C-BE32-E72D297353CC}">
              <c16:uniqueId val="{00000002-8328-4260-B580-549D51DCAC04}"/>
            </c:ext>
          </c:extLst>
        </c:ser>
        <c:ser>
          <c:idx val="3"/>
          <c:order val="3"/>
          <c:tx>
            <c:v>1100 mm</c:v>
          </c:tx>
          <c:spPr>
            <a:ln w="25400" cap="rnd">
              <a:noFill/>
              <a:round/>
            </a:ln>
            <a:effectLst/>
          </c:spPr>
          <c:marker>
            <c:symbol val="circle"/>
            <c:size val="5"/>
            <c:spPr>
              <a:solidFill>
                <a:srgbClr val="FF5F5F"/>
              </a:solidFill>
              <a:ln w="9525">
                <a:noFill/>
              </a:ln>
              <a:effectLst/>
            </c:spPr>
          </c:marker>
          <c:xVal>
            <c:numRef>
              <c:f>'Hawaii 350 kyr'!$P$29:$P$39</c:f>
              <c:numCache>
                <c:formatCode>General</c:formatCode>
                <c:ptCount val="11"/>
                <c:pt idx="0">
                  <c:v>71.69010965860025</c:v>
                </c:pt>
                <c:pt idx="1">
                  <c:v>73.598510882084469</c:v>
                </c:pt>
                <c:pt idx="2">
                  <c:v>80.96029124936851</c:v>
                </c:pt>
                <c:pt idx="3">
                  <c:v>84.058174570591845</c:v>
                </c:pt>
                <c:pt idx="4">
                  <c:v>84.209139628988311</c:v>
                </c:pt>
                <c:pt idx="5">
                  <c:v>85.393547723110075</c:v>
                </c:pt>
                <c:pt idx="6">
                  <c:v>90.004436843497444</c:v>
                </c:pt>
                <c:pt idx="7">
                  <c:v>91.975732394179005</c:v>
                </c:pt>
                <c:pt idx="8">
                  <c:v>98.042265144351319</c:v>
                </c:pt>
                <c:pt idx="9">
                  <c:v>43.612914656108273</c:v>
                </c:pt>
                <c:pt idx="10">
                  <c:v>41.034796014750754</c:v>
                </c:pt>
              </c:numCache>
            </c:numRef>
          </c:xVal>
          <c:yVal>
            <c:numRef>
              <c:f>'Hawaii 350 kyr'!$AD$29:$AD$39</c:f>
              <c:numCache>
                <c:formatCode>General</c:formatCode>
                <c:ptCount val="11"/>
                <c:pt idx="0">
                  <c:v>0.25860566448801747</c:v>
                </c:pt>
                <c:pt idx="1">
                  <c:v>0.27560770589950789</c:v>
                </c:pt>
                <c:pt idx="2">
                  <c:v>0.86726346396751586</c:v>
                </c:pt>
                <c:pt idx="3">
                  <c:v>0.84155132641291841</c:v>
                </c:pt>
                <c:pt idx="4">
                  <c:v>0.82037385931043039</c:v>
                </c:pt>
                <c:pt idx="5">
                  <c:v>2.3376176044595374</c:v>
                </c:pt>
                <c:pt idx="6">
                  <c:v>0.33241774909682587</c:v>
                </c:pt>
                <c:pt idx="7">
                  <c:v>0.26152715436911067</c:v>
                </c:pt>
                <c:pt idx="8">
                  <c:v>0.44191894557712574</c:v>
                </c:pt>
                <c:pt idx="9">
                  <c:v>-4.8020838327180848E-2</c:v>
                </c:pt>
                <c:pt idx="10">
                  <c:v>1.5529858667113539E-2</c:v>
                </c:pt>
              </c:numCache>
            </c:numRef>
          </c:yVal>
          <c:smooth val="0"/>
          <c:extLst xmlns:c16r2="http://schemas.microsoft.com/office/drawing/2015/06/chart">
            <c:ext xmlns:c16="http://schemas.microsoft.com/office/drawing/2014/chart" uri="{C3380CC4-5D6E-409C-BE32-E72D297353CC}">
              <c16:uniqueId val="{00000003-8328-4260-B580-549D51DCAC04}"/>
            </c:ext>
          </c:extLst>
        </c:ser>
        <c:ser>
          <c:idx val="4"/>
          <c:order val="4"/>
          <c:tx>
            <c:v>1200 mm</c:v>
          </c:tx>
          <c:spPr>
            <a:ln w="25400" cap="rnd">
              <a:noFill/>
              <a:round/>
            </a:ln>
            <a:effectLst/>
          </c:spPr>
          <c:marker>
            <c:symbol val="circle"/>
            <c:size val="5"/>
            <c:spPr>
              <a:solidFill>
                <a:srgbClr val="FF4B4B"/>
              </a:solidFill>
              <a:ln w="9525">
                <a:noFill/>
              </a:ln>
              <a:effectLst/>
            </c:spPr>
          </c:marker>
          <c:xVal>
            <c:numRef>
              <c:f>'Hawaii 350 kyr'!$P$41:$P$50</c:f>
              <c:numCache>
                <c:formatCode>General</c:formatCode>
                <c:ptCount val="10"/>
                <c:pt idx="0">
                  <c:v>61.123687909696343</c:v>
                </c:pt>
                <c:pt idx="1">
                  <c:v>54.327135782218669</c:v>
                </c:pt>
                <c:pt idx="2">
                  <c:v>76.253118773655416</c:v>
                </c:pt>
                <c:pt idx="3">
                  <c:v>80.325823144132627</c:v>
                </c:pt>
                <c:pt idx="4">
                  <c:v>82.496786397317976</c:v>
                </c:pt>
                <c:pt idx="5">
                  <c:v>86.370383986278981</c:v>
                </c:pt>
                <c:pt idx="6">
                  <c:v>93.07440769137682</c:v>
                </c:pt>
                <c:pt idx="7">
                  <c:v>95.777995234952556</c:v>
                </c:pt>
                <c:pt idx="8">
                  <c:v>60.149498944621996</c:v>
                </c:pt>
                <c:pt idx="9">
                  <c:v>39.740268250876717</c:v>
                </c:pt>
              </c:numCache>
            </c:numRef>
          </c:xVal>
          <c:yVal>
            <c:numRef>
              <c:f>'Hawaii 350 kyr'!$AD$41:$AD$50</c:f>
              <c:numCache>
                <c:formatCode>General</c:formatCode>
                <c:ptCount val="10"/>
                <c:pt idx="0">
                  <c:v>0.29866541992519546</c:v>
                </c:pt>
                <c:pt idx="1">
                  <c:v>0.49963857107324938</c:v>
                </c:pt>
                <c:pt idx="2">
                  <c:v>0.34354968658143581</c:v>
                </c:pt>
                <c:pt idx="3">
                  <c:v>0.77729500891265557</c:v>
                </c:pt>
                <c:pt idx="4">
                  <c:v>1.5020241771484519</c:v>
                </c:pt>
                <c:pt idx="5">
                  <c:v>0.27174676236542372</c:v>
                </c:pt>
                <c:pt idx="6">
                  <c:v>0.33196550574904182</c:v>
                </c:pt>
                <c:pt idx="7">
                  <c:v>0.85470196947958788</c:v>
                </c:pt>
                <c:pt idx="8">
                  <c:v>-1.0678391959799138E-2</c:v>
                </c:pt>
                <c:pt idx="9">
                  <c:v>6.1229946524063994E-2</c:v>
                </c:pt>
              </c:numCache>
            </c:numRef>
          </c:yVal>
          <c:smooth val="0"/>
          <c:extLst xmlns:c16r2="http://schemas.microsoft.com/office/drawing/2015/06/chart">
            <c:ext xmlns:c16="http://schemas.microsoft.com/office/drawing/2014/chart" uri="{C3380CC4-5D6E-409C-BE32-E72D297353CC}">
              <c16:uniqueId val="{00000004-8328-4260-B580-549D51DCAC04}"/>
            </c:ext>
          </c:extLst>
        </c:ser>
        <c:ser>
          <c:idx val="5"/>
          <c:order val="5"/>
          <c:tx>
            <c:v>1300 mm</c:v>
          </c:tx>
          <c:spPr>
            <a:ln w="25400" cap="rnd">
              <a:noFill/>
              <a:round/>
            </a:ln>
            <a:effectLst/>
          </c:spPr>
          <c:marker>
            <c:symbol val="circle"/>
            <c:size val="5"/>
            <c:spPr>
              <a:solidFill>
                <a:srgbClr val="FF2D2D"/>
              </a:solidFill>
              <a:ln w="9525">
                <a:noFill/>
              </a:ln>
              <a:effectLst/>
            </c:spPr>
          </c:marker>
          <c:xVal>
            <c:numRef>
              <c:f>'Hawaii 350 kyr'!$P$52:$P$60</c:f>
              <c:numCache>
                <c:formatCode>General</c:formatCode>
                <c:ptCount val="9"/>
                <c:pt idx="0">
                  <c:v>76.709068666363464</c:v>
                </c:pt>
                <c:pt idx="1">
                  <c:v>79.648309316259841</c:v>
                </c:pt>
                <c:pt idx="2">
                  <c:v>89.592149479476532</c:v>
                </c:pt>
                <c:pt idx="3">
                  <c:v>88.516615674477237</c:v>
                </c:pt>
                <c:pt idx="4">
                  <c:v>92.049775183985005</c:v>
                </c:pt>
                <c:pt idx="5">
                  <c:v>96.711374904488622</c:v>
                </c:pt>
                <c:pt idx="6">
                  <c:v>98.726812001537695</c:v>
                </c:pt>
                <c:pt idx="7">
                  <c:v>50.439875824471315</c:v>
                </c:pt>
                <c:pt idx="8">
                  <c:v>46.846795157118869</c:v>
                </c:pt>
              </c:numCache>
            </c:numRef>
          </c:xVal>
          <c:yVal>
            <c:numRef>
              <c:f>'Hawaii 350 kyr'!$AD$52:$AD$60</c:f>
              <c:numCache>
                <c:formatCode>General</c:formatCode>
                <c:ptCount val="9"/>
                <c:pt idx="0">
                  <c:v>1.3977300992160435E-2</c:v>
                </c:pt>
                <c:pt idx="1">
                  <c:v>-3.1155757833232434E-2</c:v>
                </c:pt>
                <c:pt idx="2">
                  <c:v>1.2267805698880849</c:v>
                </c:pt>
                <c:pt idx="3">
                  <c:v>2.0020796175550433</c:v>
                </c:pt>
                <c:pt idx="4">
                  <c:v>4.1260255548083418</c:v>
                </c:pt>
                <c:pt idx="5">
                  <c:v>1.0389264032574554</c:v>
                </c:pt>
                <c:pt idx="6">
                  <c:v>1.4071585778041733</c:v>
                </c:pt>
                <c:pt idx="7">
                  <c:v>0.26191028320982213</c:v>
                </c:pt>
                <c:pt idx="8">
                  <c:v>0.14411217977185986</c:v>
                </c:pt>
              </c:numCache>
            </c:numRef>
          </c:yVal>
          <c:smooth val="0"/>
          <c:extLst xmlns:c16r2="http://schemas.microsoft.com/office/drawing/2015/06/chart">
            <c:ext xmlns:c16="http://schemas.microsoft.com/office/drawing/2014/chart" uri="{C3380CC4-5D6E-409C-BE32-E72D297353CC}">
              <c16:uniqueId val="{00000005-8328-4260-B580-549D51DCAC04}"/>
            </c:ext>
          </c:extLst>
        </c:ser>
        <c:ser>
          <c:idx val="6"/>
          <c:order val="6"/>
          <c:tx>
            <c:v>1500 mm</c:v>
          </c:tx>
          <c:spPr>
            <a:ln w="25400" cap="rnd">
              <a:noFill/>
              <a:round/>
            </a:ln>
            <a:effectLst/>
          </c:spPr>
          <c:marker>
            <c:symbol val="circle"/>
            <c:size val="5"/>
            <c:spPr>
              <a:solidFill>
                <a:srgbClr val="FF0F0F"/>
              </a:solidFill>
              <a:ln w="9525">
                <a:noFill/>
              </a:ln>
              <a:effectLst/>
            </c:spPr>
          </c:marker>
          <c:xVal>
            <c:numRef>
              <c:f>'Hawaii 350 kyr'!$P$62:$P$69</c:f>
              <c:numCache>
                <c:formatCode>General</c:formatCode>
                <c:ptCount val="8"/>
                <c:pt idx="0">
                  <c:v>90.068784316748363</c:v>
                </c:pt>
                <c:pt idx="1">
                  <c:v>97.379045859532368</c:v>
                </c:pt>
                <c:pt idx="2">
                  <c:v>98.795089803495173</c:v>
                </c:pt>
                <c:pt idx="3">
                  <c:v>99.294850463558149</c:v>
                </c:pt>
                <c:pt idx="4">
                  <c:v>99.017634444876251</c:v>
                </c:pt>
                <c:pt idx="5">
                  <c:v>99.303731262784865</c:v>
                </c:pt>
                <c:pt idx="6">
                  <c:v>95.964378133942489</c:v>
                </c:pt>
                <c:pt idx="7">
                  <c:v>45.655605383374095</c:v>
                </c:pt>
              </c:numCache>
            </c:numRef>
          </c:xVal>
          <c:yVal>
            <c:numRef>
              <c:f>'Hawaii 350 kyr'!$AD$62:$AD$69</c:f>
              <c:numCache>
                <c:formatCode>General</c:formatCode>
                <c:ptCount val="8"/>
                <c:pt idx="0">
                  <c:v>-0.76450949706956328</c:v>
                </c:pt>
                <c:pt idx="1">
                  <c:v>-0.22722526991713876</c:v>
                </c:pt>
                <c:pt idx="2">
                  <c:v>8.3230872106818676E-2</c:v>
                </c:pt>
                <c:pt idx="3">
                  <c:v>0.39292064207547672</c:v>
                </c:pt>
                <c:pt idx="4">
                  <c:v>0.10342879185478604</c:v>
                </c:pt>
                <c:pt idx="5">
                  <c:v>0.25436459957828883</c:v>
                </c:pt>
                <c:pt idx="6">
                  <c:v>0.45429423231280852</c:v>
                </c:pt>
                <c:pt idx="7">
                  <c:v>-0.17564325308182338</c:v>
                </c:pt>
              </c:numCache>
            </c:numRef>
          </c:yVal>
          <c:smooth val="0"/>
          <c:extLst xmlns:c16r2="http://schemas.microsoft.com/office/drawing/2015/06/chart">
            <c:ext xmlns:c16="http://schemas.microsoft.com/office/drawing/2014/chart" uri="{C3380CC4-5D6E-409C-BE32-E72D297353CC}">
              <c16:uniqueId val="{00000006-8328-4260-B580-549D51DCAC04}"/>
            </c:ext>
          </c:extLst>
        </c:ser>
        <c:ser>
          <c:idx val="7"/>
          <c:order val="7"/>
          <c:tx>
            <c:v>1800 mm</c:v>
          </c:tx>
          <c:spPr>
            <a:ln w="25400" cap="rnd">
              <a:noFill/>
              <a:round/>
            </a:ln>
            <a:effectLst/>
          </c:spPr>
          <c:marker>
            <c:symbol val="circle"/>
            <c:size val="5"/>
            <c:spPr>
              <a:solidFill>
                <a:srgbClr val="FF0F0F"/>
              </a:solidFill>
              <a:ln w="9525">
                <a:noFill/>
              </a:ln>
              <a:effectLst/>
            </c:spPr>
          </c:marker>
          <c:xVal>
            <c:numRef>
              <c:f>'Hawaii 350 kyr'!$P$71:$P$78</c:f>
              <c:numCache>
                <c:formatCode>General</c:formatCode>
                <c:ptCount val="8"/>
                <c:pt idx="0">
                  <c:v>89.474075746978741</c:v>
                </c:pt>
                <c:pt idx="1">
                  <c:v>97.330480500603528</c:v>
                </c:pt>
                <c:pt idx="2">
                  <c:v>97.58341009746195</c:v>
                </c:pt>
                <c:pt idx="3">
                  <c:v>98.580523063453441</c:v>
                </c:pt>
                <c:pt idx="4">
                  <c:v>98.913435668939456</c:v>
                </c:pt>
                <c:pt idx="5">
                  <c:v>99.420384651025515</c:v>
                </c:pt>
                <c:pt idx="6">
                  <c:v>98.398958138191034</c:v>
                </c:pt>
                <c:pt idx="7">
                  <c:v>48.310541571081949</c:v>
                </c:pt>
              </c:numCache>
            </c:numRef>
          </c:xVal>
          <c:yVal>
            <c:numRef>
              <c:f>'Hawaii 350 kyr'!$AD$71:$AD$78</c:f>
              <c:numCache>
                <c:formatCode>General</c:formatCode>
                <c:ptCount val="8"/>
                <c:pt idx="0">
                  <c:v>-0.59030623067218913</c:v>
                </c:pt>
                <c:pt idx="1">
                  <c:v>3.2757568569949971</c:v>
                </c:pt>
                <c:pt idx="2">
                  <c:v>4.1925624294755437</c:v>
                </c:pt>
                <c:pt idx="3">
                  <c:v>1.4204449043603455</c:v>
                </c:pt>
                <c:pt idx="4">
                  <c:v>0.2539408572112698</c:v>
                </c:pt>
                <c:pt idx="5">
                  <c:v>0.35759816231866925</c:v>
                </c:pt>
                <c:pt idx="6">
                  <c:v>5.147481892642003E-2</c:v>
                </c:pt>
                <c:pt idx="7">
                  <c:v>-0.38651218062982773</c:v>
                </c:pt>
              </c:numCache>
            </c:numRef>
          </c:yVal>
          <c:smooth val="0"/>
          <c:extLst xmlns:c16r2="http://schemas.microsoft.com/office/drawing/2015/06/chart">
            <c:ext xmlns:c16="http://schemas.microsoft.com/office/drawing/2014/chart" uri="{C3380CC4-5D6E-409C-BE32-E72D297353CC}">
              <c16:uniqueId val="{00000007-8328-4260-B580-549D51DCAC04}"/>
            </c:ext>
          </c:extLst>
        </c:ser>
        <c:ser>
          <c:idx val="8"/>
          <c:order val="8"/>
          <c:tx>
            <c:v>1900 mm</c:v>
          </c:tx>
          <c:spPr>
            <a:ln w="25400" cap="rnd">
              <a:noFill/>
              <a:round/>
            </a:ln>
            <a:effectLst/>
          </c:spPr>
          <c:marker>
            <c:symbol val="circle"/>
            <c:size val="5"/>
            <c:spPr>
              <a:solidFill>
                <a:srgbClr val="FF0000"/>
              </a:solidFill>
              <a:ln w="9525">
                <a:noFill/>
              </a:ln>
              <a:effectLst/>
            </c:spPr>
          </c:marker>
          <c:xVal>
            <c:numRef>
              <c:f>'Hawaii 350 kyr'!$P$80:$P$89</c:f>
              <c:numCache>
                <c:formatCode>General</c:formatCode>
                <c:ptCount val="10"/>
                <c:pt idx="0">
                  <c:v>79.848277261605503</c:v>
                </c:pt>
                <c:pt idx="1">
                  <c:v>82.834082533785221</c:v>
                </c:pt>
                <c:pt idx="2">
                  <c:v>89.064237391368835</c:v>
                </c:pt>
                <c:pt idx="3">
                  <c:v>91.914807193511876</c:v>
                </c:pt>
                <c:pt idx="4">
                  <c:v>95.685987299591403</c:v>
                </c:pt>
                <c:pt idx="5">
                  <c:v>98.180791517325673</c:v>
                </c:pt>
                <c:pt idx="6">
                  <c:v>99.116394776450392</c:v>
                </c:pt>
                <c:pt idx="7">
                  <c:v>98.509267403567392</c:v>
                </c:pt>
                <c:pt idx="8">
                  <c:v>48.861531351115502</c:v>
                </c:pt>
                <c:pt idx="9">
                  <c:v>46.066660925598477</c:v>
                </c:pt>
              </c:numCache>
            </c:numRef>
          </c:xVal>
          <c:yVal>
            <c:numRef>
              <c:f>'Hawaii 350 kyr'!$AD$80:$AD$89</c:f>
              <c:numCache>
                <c:formatCode>General</c:formatCode>
                <c:ptCount val="10"/>
                <c:pt idx="0">
                  <c:v>-0.2872238232468779</c:v>
                </c:pt>
                <c:pt idx="1">
                  <c:v>-0.16407376722206879</c:v>
                </c:pt>
                <c:pt idx="2">
                  <c:v>0.21430279991983614</c:v>
                </c:pt>
                <c:pt idx="3">
                  <c:v>-0.48740035513241908</c:v>
                </c:pt>
                <c:pt idx="4">
                  <c:v>0.46004934771766859</c:v>
                </c:pt>
                <c:pt idx="5">
                  <c:v>0.99296656545382822</c:v>
                </c:pt>
                <c:pt idx="6">
                  <c:v>0.69701314217443255</c:v>
                </c:pt>
                <c:pt idx="7">
                  <c:v>0.7135108011458553</c:v>
                </c:pt>
                <c:pt idx="8">
                  <c:v>8.7078239470803176E-2</c:v>
                </c:pt>
                <c:pt idx="9">
                  <c:v>9.9581208712260949E-2</c:v>
                </c:pt>
              </c:numCache>
            </c:numRef>
          </c:yVal>
          <c:smooth val="0"/>
          <c:extLst xmlns:c16r2="http://schemas.microsoft.com/office/drawing/2015/06/chart">
            <c:ext xmlns:c16="http://schemas.microsoft.com/office/drawing/2014/chart" uri="{C3380CC4-5D6E-409C-BE32-E72D297353CC}">
              <c16:uniqueId val="{00000008-8328-4260-B580-549D51DCAC04}"/>
            </c:ext>
          </c:extLst>
        </c:ser>
        <c:ser>
          <c:idx val="9"/>
          <c:order val="9"/>
          <c:tx>
            <c:v>2000 mm</c:v>
          </c:tx>
          <c:spPr>
            <a:ln w="25400" cap="rnd">
              <a:noFill/>
              <a:round/>
            </a:ln>
            <a:effectLst/>
          </c:spPr>
          <c:marker>
            <c:symbol val="circle"/>
            <c:size val="5"/>
            <c:spPr>
              <a:solidFill>
                <a:srgbClr val="D20000"/>
              </a:solidFill>
              <a:ln w="9525">
                <a:noFill/>
              </a:ln>
              <a:effectLst/>
            </c:spPr>
          </c:marker>
          <c:xVal>
            <c:numRef>
              <c:f>'Hawaii 350 kyr'!$P$91:$P$98</c:f>
              <c:numCache>
                <c:formatCode>General</c:formatCode>
                <c:ptCount val="8"/>
                <c:pt idx="0">
                  <c:v>91.207943391994647</c:v>
                </c:pt>
                <c:pt idx="1">
                  <c:v>96.88570181107535</c:v>
                </c:pt>
                <c:pt idx="2">
                  <c:v>97.285761156268094</c:v>
                </c:pt>
                <c:pt idx="3">
                  <c:v>98.390707343489652</c:v>
                </c:pt>
                <c:pt idx="4">
                  <c:v>99.606423090216552</c:v>
                </c:pt>
                <c:pt idx="5">
                  <c:v>98.600796047999225</c:v>
                </c:pt>
                <c:pt idx="6">
                  <c:v>50.007506358866181</c:v>
                </c:pt>
                <c:pt idx="7">
                  <c:v>46.066660925598477</c:v>
                </c:pt>
              </c:numCache>
            </c:numRef>
          </c:xVal>
          <c:yVal>
            <c:numRef>
              <c:f>'Hawaii 350 kyr'!$AD$91:$AD$98</c:f>
              <c:numCache>
                <c:formatCode>General</c:formatCode>
                <c:ptCount val="8"/>
                <c:pt idx="0">
                  <c:v>-0.77061704042909573</c:v>
                </c:pt>
                <c:pt idx="1">
                  <c:v>-0.78530189412918916</c:v>
                </c:pt>
                <c:pt idx="2">
                  <c:v>-0.55021832699469586</c:v>
                </c:pt>
                <c:pt idx="3">
                  <c:v>-2.1634758625385886E-2</c:v>
                </c:pt>
                <c:pt idx="4">
                  <c:v>1.1396854271794408</c:v>
                </c:pt>
                <c:pt idx="5">
                  <c:v>0.28472530250349393</c:v>
                </c:pt>
                <c:pt idx="6">
                  <c:v>0.22851176360538239</c:v>
                </c:pt>
                <c:pt idx="7">
                  <c:v>0.27119936680903911</c:v>
                </c:pt>
              </c:numCache>
            </c:numRef>
          </c:yVal>
          <c:smooth val="0"/>
          <c:extLst xmlns:c16r2="http://schemas.microsoft.com/office/drawing/2015/06/chart">
            <c:ext xmlns:c16="http://schemas.microsoft.com/office/drawing/2014/chart" uri="{C3380CC4-5D6E-409C-BE32-E72D297353CC}">
              <c16:uniqueId val="{00000009-8328-4260-B580-549D51DCAC04}"/>
            </c:ext>
          </c:extLst>
        </c:ser>
        <c:ser>
          <c:idx val="10"/>
          <c:order val="10"/>
          <c:tx>
            <c:v>2100 mm</c:v>
          </c:tx>
          <c:spPr>
            <a:ln w="25400" cap="rnd">
              <a:noFill/>
              <a:round/>
            </a:ln>
            <a:effectLst/>
          </c:spPr>
          <c:marker>
            <c:symbol val="circle"/>
            <c:size val="5"/>
            <c:spPr>
              <a:solidFill>
                <a:srgbClr val="960000"/>
              </a:solidFill>
              <a:ln w="9525">
                <a:noFill/>
              </a:ln>
              <a:effectLst/>
            </c:spPr>
          </c:marker>
          <c:xVal>
            <c:numRef>
              <c:f>'Hawaii 350 kyr'!$P$100:$P$106</c:f>
              <c:numCache>
                <c:formatCode>General</c:formatCode>
                <c:ptCount val="7"/>
                <c:pt idx="0">
                  <c:v>95.808905593853893</c:v>
                </c:pt>
                <c:pt idx="1">
                  <c:v>96.543027639188068</c:v>
                </c:pt>
                <c:pt idx="2">
                  <c:v>98.420332620916355</c:v>
                </c:pt>
                <c:pt idx="3">
                  <c:v>98.648148336125146</c:v>
                </c:pt>
                <c:pt idx="4">
                  <c:v>99.407421980457784</c:v>
                </c:pt>
                <c:pt idx="5">
                  <c:v>98.600796047999225</c:v>
                </c:pt>
                <c:pt idx="6">
                  <c:v>50.007506358866181</c:v>
                </c:pt>
              </c:numCache>
            </c:numRef>
          </c:xVal>
          <c:yVal>
            <c:numRef>
              <c:f>'Hawaii 350 kyr'!$AD$100:$AD$106</c:f>
              <c:numCache>
                <c:formatCode>General</c:formatCode>
                <c:ptCount val="7"/>
                <c:pt idx="0">
                  <c:v>-0.65223414141546021</c:v>
                </c:pt>
                <c:pt idx="1">
                  <c:v>-0.65516601441989897</c:v>
                </c:pt>
                <c:pt idx="2">
                  <c:v>-0.42573018447459654</c:v>
                </c:pt>
                <c:pt idx="3">
                  <c:v>-0.42017312434259291</c:v>
                </c:pt>
                <c:pt idx="4">
                  <c:v>2.3309661041416541</c:v>
                </c:pt>
                <c:pt idx="5">
                  <c:v>0.28472530250349393</c:v>
                </c:pt>
                <c:pt idx="6">
                  <c:v>0.22851176360538239</c:v>
                </c:pt>
              </c:numCache>
            </c:numRef>
          </c:yVal>
          <c:smooth val="0"/>
          <c:extLst xmlns:c16r2="http://schemas.microsoft.com/office/drawing/2015/06/chart">
            <c:ext xmlns:c16="http://schemas.microsoft.com/office/drawing/2014/chart" uri="{C3380CC4-5D6E-409C-BE32-E72D297353CC}">
              <c16:uniqueId val="{0000000A-8328-4260-B580-549D51DCAC04}"/>
            </c:ext>
          </c:extLst>
        </c:ser>
        <c:ser>
          <c:idx val="11"/>
          <c:order val="11"/>
          <c:tx>
            <c:v>2400 mm</c:v>
          </c:tx>
          <c:spPr>
            <a:ln w="25400" cap="rnd">
              <a:noFill/>
              <a:round/>
            </a:ln>
            <a:effectLst/>
          </c:spPr>
          <c:marker>
            <c:symbol val="circle"/>
            <c:size val="5"/>
            <c:spPr>
              <a:solidFill>
                <a:srgbClr val="5A0000"/>
              </a:solidFill>
              <a:ln w="9525">
                <a:noFill/>
              </a:ln>
              <a:effectLst/>
            </c:spPr>
          </c:marker>
          <c:xVal>
            <c:numRef>
              <c:f>'Hawaii 350 kyr'!$P$108:$P$115</c:f>
              <c:numCache>
                <c:formatCode>General</c:formatCode>
                <c:ptCount val="8"/>
                <c:pt idx="0">
                  <c:v>94.287767070479489</c:v>
                </c:pt>
                <c:pt idx="1">
                  <c:v>97.270627240673122</c:v>
                </c:pt>
                <c:pt idx="2">
                  <c:v>98.705191931470154</c:v>
                </c:pt>
                <c:pt idx="3">
                  <c:v>99.040803194343937</c:v>
                </c:pt>
                <c:pt idx="4">
                  <c:v>99.573017405436019</c:v>
                </c:pt>
                <c:pt idx="5">
                  <c:v>99.746050902575391</c:v>
                </c:pt>
                <c:pt idx="6">
                  <c:v>68.213499240569604</c:v>
                </c:pt>
                <c:pt idx="7">
                  <c:v>48.310541571081949</c:v>
                </c:pt>
              </c:numCache>
            </c:numRef>
          </c:xVal>
          <c:yVal>
            <c:numRef>
              <c:f>'Hawaii 350 kyr'!$AD$108:$AD$115</c:f>
              <c:numCache>
                <c:formatCode>General</c:formatCode>
                <c:ptCount val="8"/>
                <c:pt idx="0">
                  <c:v>-0.79303503010399556</c:v>
                </c:pt>
                <c:pt idx="1">
                  <c:v>-0.833081660448866</c:v>
                </c:pt>
                <c:pt idx="2">
                  <c:v>-0.79843629859927123</c:v>
                </c:pt>
                <c:pt idx="3">
                  <c:v>-0.77238581730769229</c:v>
                </c:pt>
                <c:pt idx="4">
                  <c:v>-0.115141683906965</c:v>
                </c:pt>
                <c:pt idx="5">
                  <c:v>0.26511400276370312</c:v>
                </c:pt>
                <c:pt idx="6">
                  <c:v>0.16228305121062814</c:v>
                </c:pt>
                <c:pt idx="7">
                  <c:v>-0.20649060294836863</c:v>
                </c:pt>
              </c:numCache>
            </c:numRef>
          </c:yVal>
          <c:smooth val="0"/>
          <c:extLst xmlns:c16r2="http://schemas.microsoft.com/office/drawing/2015/06/chart">
            <c:ext xmlns:c16="http://schemas.microsoft.com/office/drawing/2014/chart" uri="{C3380CC4-5D6E-409C-BE32-E72D297353CC}">
              <c16:uniqueId val="{0000000B-8328-4260-B580-549D51DCAC04}"/>
            </c:ext>
          </c:extLst>
        </c:ser>
        <c:ser>
          <c:idx val="12"/>
          <c:order val="12"/>
          <c:tx>
            <c:v>2500 mm</c:v>
          </c:tx>
          <c:spPr>
            <a:ln w="25400" cap="rnd">
              <a:noFill/>
              <a:round/>
            </a:ln>
            <a:effectLst/>
          </c:spPr>
          <c:marker>
            <c:symbol val="circle"/>
            <c:size val="5"/>
            <c:spPr>
              <a:solidFill>
                <a:schemeClr val="tx1"/>
              </a:solidFill>
              <a:ln w="9525">
                <a:noFill/>
              </a:ln>
              <a:effectLst/>
            </c:spPr>
          </c:marker>
          <c:xVal>
            <c:numRef>
              <c:f>'Hawaii 350 kyr'!$P$117:$P$126</c:f>
              <c:numCache>
                <c:formatCode>General</c:formatCode>
                <c:ptCount val="10"/>
                <c:pt idx="0">
                  <c:v>47.065734216771133</c:v>
                </c:pt>
                <c:pt idx="1">
                  <c:v>83.495284004668306</c:v>
                </c:pt>
                <c:pt idx="2">
                  <c:v>96.46391198069891</c:v>
                </c:pt>
                <c:pt idx="3">
                  <c:v>97.944641377200895</c:v>
                </c:pt>
                <c:pt idx="4">
                  <c:v>99.592581680410575</c:v>
                </c:pt>
                <c:pt idx="5">
                  <c:v>97.400922801470017</c:v>
                </c:pt>
                <c:pt idx="6">
                  <c:v>99.49309060883013</c:v>
                </c:pt>
                <c:pt idx="7">
                  <c:v>99.637643905280683</c:v>
                </c:pt>
                <c:pt idx="8">
                  <c:v>98.625909720660019</c:v>
                </c:pt>
                <c:pt idx="9">
                  <c:v>48.310541571081949</c:v>
                </c:pt>
              </c:numCache>
            </c:numRef>
          </c:xVal>
          <c:yVal>
            <c:numRef>
              <c:f>'Hawaii 350 kyr'!$AD$117:$AD$126</c:f>
              <c:numCache>
                <c:formatCode>General</c:formatCode>
                <c:ptCount val="10"/>
                <c:pt idx="0">
                  <c:v>-0.59411104509143731</c:v>
                </c:pt>
                <c:pt idx="1">
                  <c:v>-0.7238798901202993</c:v>
                </c:pt>
                <c:pt idx="2">
                  <c:v>-0.71400539612460134</c:v>
                </c:pt>
                <c:pt idx="3">
                  <c:v>0.52466664385358586</c:v>
                </c:pt>
                <c:pt idx="4">
                  <c:v>0.94834670858498127</c:v>
                </c:pt>
                <c:pt idx="5">
                  <c:v>0.98960951902128413</c:v>
                </c:pt>
                <c:pt idx="6">
                  <c:v>1.4998489257828029</c:v>
                </c:pt>
                <c:pt idx="7">
                  <c:v>0.85081738530744055</c:v>
                </c:pt>
                <c:pt idx="8">
                  <c:v>0.11128107665446008</c:v>
                </c:pt>
                <c:pt idx="9">
                  <c:v>-0.32714704537507733</c:v>
                </c:pt>
              </c:numCache>
            </c:numRef>
          </c:yVal>
          <c:smooth val="0"/>
          <c:extLst xmlns:c16r2="http://schemas.microsoft.com/office/drawing/2015/06/chart">
            <c:ext xmlns:c16="http://schemas.microsoft.com/office/drawing/2014/chart" uri="{C3380CC4-5D6E-409C-BE32-E72D297353CC}">
              <c16:uniqueId val="{0000000C-8328-4260-B580-549D51DCAC04}"/>
            </c:ext>
          </c:extLst>
        </c:ser>
        <c:dLbls>
          <c:showLegendKey val="0"/>
          <c:showVal val="0"/>
          <c:showCatName val="0"/>
          <c:showSerName val="0"/>
          <c:showPercent val="0"/>
          <c:showBubbleSize val="0"/>
        </c:dLbls>
        <c:axId val="162843648"/>
        <c:axId val="162846208"/>
      </c:scatterChart>
      <c:valAx>
        <c:axId val="162843648"/>
        <c:scaling>
          <c:orientation val="minMax"/>
          <c:max val="100"/>
          <c:min val="3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CIA-K</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46208"/>
        <c:crossesAt val="-1"/>
        <c:crossBetween val="midCat"/>
      </c:valAx>
      <c:valAx>
        <c:axId val="162846208"/>
        <c:scaling>
          <c:orientation val="minMax"/>
          <c:min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baseline="0">
                    <a:effectLst/>
                  </a:rPr>
                  <a:t>Tau_Ti,Al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43648"/>
        <c:crossesAt val="30"/>
        <c:crossBetween val="midCat"/>
      </c:valAx>
      <c:spPr>
        <a:noFill/>
        <a:ln>
          <a:solidFill>
            <a:sysClr val="windowText" lastClr="000000"/>
          </a:solid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Negative first quartile</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tx1"/>
              </a:solidFill>
              <a:ln w="9525">
                <a:noFill/>
              </a:ln>
              <a:effectLst/>
            </c:spPr>
          </c:marker>
          <c:trendline>
            <c:spPr>
              <a:ln w="19050" cap="rnd">
                <a:solidFill>
                  <a:schemeClr val="tx1"/>
                </a:solidFill>
                <a:prstDash val="sysDot"/>
              </a:ln>
              <a:effectLst/>
            </c:spPr>
            <c:trendlineType val="linear"/>
            <c:dispRSqr val="1"/>
            <c:dispEq val="0"/>
            <c:trendlineLbl>
              <c:layout>
                <c:manualLayout>
                  <c:x val="-0.13557081130875354"/>
                  <c:y val="0.3028493291485417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(Paleolatitudes!$B$3,Paleolatitudes!$B$9:$B$12,Paleolatitudes!$B$18:$B$21,Paleolatitudes!$B$26,Paleolatitudes!$B$28:$B$30,Paleolatitudes!$B$32:$B$34)</c:f>
              <c:numCache>
                <c:formatCode>General</c:formatCode>
                <c:ptCount val="16"/>
                <c:pt idx="0">
                  <c:v>30</c:v>
                </c:pt>
                <c:pt idx="1">
                  <c:v>14</c:v>
                </c:pt>
                <c:pt idx="2">
                  <c:v>14</c:v>
                </c:pt>
                <c:pt idx="3">
                  <c:v>14</c:v>
                </c:pt>
                <c:pt idx="4">
                  <c:v>14</c:v>
                </c:pt>
                <c:pt idx="5">
                  <c:v>60</c:v>
                </c:pt>
                <c:pt idx="6">
                  <c:v>26</c:v>
                </c:pt>
                <c:pt idx="7">
                  <c:v>26</c:v>
                </c:pt>
                <c:pt idx="8">
                  <c:v>26</c:v>
                </c:pt>
                <c:pt idx="9">
                  <c:v>5</c:v>
                </c:pt>
                <c:pt idx="10">
                  <c:v>8</c:v>
                </c:pt>
                <c:pt idx="11">
                  <c:v>48</c:v>
                </c:pt>
                <c:pt idx="12">
                  <c:v>28</c:v>
                </c:pt>
                <c:pt idx="13">
                  <c:v>46</c:v>
                </c:pt>
                <c:pt idx="14">
                  <c:v>46</c:v>
                </c:pt>
                <c:pt idx="15">
                  <c:v>46</c:v>
                </c:pt>
              </c:numCache>
            </c:numRef>
          </c:xVal>
          <c:yVal>
            <c:numRef>
              <c:f>(Paleolatitudes!$E$3,Paleolatitudes!$E$9:$E$12,Paleolatitudes!$E$18:$E$21,Paleolatitudes!$E$26,Paleolatitudes!$E$28:$E$30,Paleolatitudes!$E$32:$E$34)</c:f>
              <c:numCache>
                <c:formatCode>General</c:formatCode>
                <c:ptCount val="16"/>
                <c:pt idx="0">
                  <c:v>-0.28042365800000002</c:v>
                </c:pt>
                <c:pt idx="1">
                  <c:v>-0.241755319</c:v>
                </c:pt>
                <c:pt idx="2">
                  <c:v>-1.6245790999999999E-2</c:v>
                </c:pt>
                <c:pt idx="3">
                  <c:v>-0.32330883700000002</c:v>
                </c:pt>
                <c:pt idx="4">
                  <c:v>-3.9292767999999999E-2</c:v>
                </c:pt>
                <c:pt idx="5">
                  <c:v>-0.23395932699999999</c:v>
                </c:pt>
                <c:pt idx="6">
                  <c:v>-1.7871292E-2</c:v>
                </c:pt>
                <c:pt idx="7">
                  <c:v>-8.6701011999999994E-2</c:v>
                </c:pt>
                <c:pt idx="8">
                  <c:v>-0.476547842</c:v>
                </c:pt>
                <c:pt idx="9">
                  <c:v>-4.4658192999999999E-2</c:v>
                </c:pt>
                <c:pt idx="10">
                  <c:v>-0.499656357</c:v>
                </c:pt>
                <c:pt idx="11">
                  <c:v>-0.22401458799999999</c:v>
                </c:pt>
                <c:pt idx="12">
                  <c:v>-0.22117472604805472</c:v>
                </c:pt>
                <c:pt idx="13">
                  <c:v>-8.5295809999999996E-3</c:v>
                </c:pt>
                <c:pt idx="14">
                  <c:v>-1.118657E-2</c:v>
                </c:pt>
                <c:pt idx="15">
                  <c:v>-8.9179250000000002E-3</c:v>
                </c:pt>
              </c:numCache>
            </c:numRef>
          </c:yVal>
          <c:smooth val="0"/>
          <c:extLst xmlns:c16r2="http://schemas.microsoft.com/office/drawing/2015/06/chart">
            <c:ext xmlns:c16="http://schemas.microsoft.com/office/drawing/2014/chart" uri="{C3380CC4-5D6E-409C-BE32-E72D297353CC}">
              <c16:uniqueId val="{00000001-B62A-4AA2-A024-C358C8EAE059}"/>
            </c:ext>
          </c:extLst>
        </c:ser>
        <c:dLbls>
          <c:showLegendKey val="0"/>
          <c:showVal val="0"/>
          <c:showCatName val="0"/>
          <c:showSerName val="0"/>
          <c:showPercent val="0"/>
          <c:showBubbleSize val="0"/>
        </c:dLbls>
        <c:axId val="152480768"/>
        <c:axId val="152851584"/>
      </c:scatterChart>
      <c:valAx>
        <c:axId val="1524807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Paleolatitude (degrees)</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51584"/>
        <c:crossesAt val="-1"/>
        <c:crossBetween val="midCat"/>
      </c:valAx>
      <c:valAx>
        <c:axId val="152851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000" b="0" i="0" baseline="0">
                    <a:effectLst/>
                  </a:rPr>
                  <a:t>τ</a:t>
                </a:r>
                <a:r>
                  <a:rPr lang="en-US" sz="1000" b="0" i="0" baseline="-25000">
                    <a:effectLst/>
                  </a:rPr>
                  <a:t>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480768"/>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Positive median</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tx1"/>
              </a:solidFill>
              <a:ln w="9525">
                <a:noFill/>
              </a:ln>
              <a:effectLst/>
            </c:spPr>
          </c:marker>
          <c:trendline>
            <c:spPr>
              <a:ln w="19050" cap="rnd">
                <a:solidFill>
                  <a:schemeClr val="tx1"/>
                </a:solidFill>
                <a:prstDash val="sysDot"/>
              </a:ln>
              <a:effectLst/>
            </c:spPr>
            <c:trendlineType val="linear"/>
            <c:dispRSqr val="1"/>
            <c:dispEq val="0"/>
            <c:trendlineLbl>
              <c:layout>
                <c:manualLayout>
                  <c:x val="-0.22444958655934025"/>
                  <c:y val="-0.1337720022759392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strRef>
              <c:f>('[1]Paleolatitude correlation'!$B$6,'[1]Paleolatitude correlation'!$B$10,'[1]Paleolatitude correlation'!$B$13,'[1]Paleolatitude correlation'!$B$14,'[1]Paleolatitude correlation'!$B$15,'[1]Paleolatitude correlation'!$B$17,'[1]Paleolatitude correlation'!$B$21,'[1]Paleolatitude correlation'!$B$27,'[1]Paleolatitude correlation'!$B$28,'[1]Paleolatitude correlation'!$B$31,'[1]Paleolatitude correlation'!$B$32,'[1]Paleolatitude correlation'!$B$34)</c:f>
              <c:strCache>
                <c:ptCount val="12"/>
                <c:pt idx="0">
                  <c:v>49</c:v>
                </c:pt>
                <c:pt idx="1">
                  <c:v>14</c:v>
                </c:pt>
                <c:pt idx="2">
                  <c:v>14</c:v>
                </c:pt>
                <c:pt idx="3">
                  <c:v>1</c:v>
                </c:pt>
                <c:pt idx="4">
                  <c:v>NA</c:v>
                </c:pt>
                <c:pt idx="5">
                  <c:v>NA</c:v>
                </c:pt>
                <c:pt idx="6">
                  <c:v>26</c:v>
                </c:pt>
                <c:pt idx="7">
                  <c:v>50</c:v>
                </c:pt>
                <c:pt idx="8">
                  <c:v>8</c:v>
                </c:pt>
                <c:pt idx="9">
                  <c:v>46</c:v>
                </c:pt>
                <c:pt idx="10">
                  <c:v>46</c:v>
                </c:pt>
              </c:strCache>
            </c:strRef>
          </c:xVal>
          <c:yVal>
            <c:numRef>
              <c:f>('[1]Paleolatitude correlation'!$F$6,'[1]Paleolatitude correlation'!$F$10,'[1]Paleolatitude correlation'!$F$13,'[1]Paleolatitude correlation'!$F$14,'[1]Paleolatitude correlation'!$F$15,'[1]Paleolatitude correlation'!$F$17,'[1]Paleolatitude correlation'!$F$21,'[1]Paleolatitude correlation'!$F$27,'[1]Paleolatitude correlation'!$F$28,'[1]Paleolatitude correlation'!$F$31,'[1]Paleolatitude correlation'!$F$32,'[1]Paleolatitude correlation'!$F$34)</c:f>
              <c:numCache>
                <c:formatCode>General</c:formatCode>
                <c:ptCount val="12"/>
                <c:pt idx="0">
                  <c:v>7.9748959942945286E-2</c:v>
                </c:pt>
                <c:pt idx="1">
                  <c:v>1.5488215488215662E-2</c:v>
                </c:pt>
                <c:pt idx="2">
                  <c:v>5.3387250670180464E-2</c:v>
                </c:pt>
                <c:pt idx="3">
                  <c:v>0.23679456046624581</c:v>
                </c:pt>
                <c:pt idx="4">
                  <c:v>0.12078059071729963</c:v>
                </c:pt>
                <c:pt idx="5">
                  <c:v>-0.13075398335272015</c:v>
                </c:pt>
                <c:pt idx="6">
                  <c:v>-0.43902439024390227</c:v>
                </c:pt>
                <c:pt idx="7">
                  <c:v>0.45719076909809098</c:v>
                </c:pt>
                <c:pt idx="8">
                  <c:v>-0.38999846130173899</c:v>
                </c:pt>
                <c:pt idx="9">
                  <c:v>8.1028484598055783E-3</c:v>
                </c:pt>
                <c:pt idx="10">
                  <c:v>-3.5527724603354738E-3</c:v>
                </c:pt>
              </c:numCache>
            </c:numRef>
          </c:yVal>
          <c:smooth val="0"/>
          <c:extLst xmlns:c16r2="http://schemas.microsoft.com/office/drawing/2015/06/chart">
            <c:ext xmlns:c16="http://schemas.microsoft.com/office/drawing/2014/chart" uri="{C3380CC4-5D6E-409C-BE32-E72D297353CC}">
              <c16:uniqueId val="{00000001-0177-434E-B55F-B7CE2A81FB2B}"/>
            </c:ext>
          </c:extLst>
        </c:ser>
        <c:dLbls>
          <c:showLegendKey val="0"/>
          <c:showVal val="0"/>
          <c:showCatName val="0"/>
          <c:showSerName val="0"/>
          <c:showPercent val="0"/>
          <c:showBubbleSize val="0"/>
        </c:dLbls>
        <c:axId val="152881792"/>
        <c:axId val="152883968"/>
      </c:scatterChart>
      <c:valAx>
        <c:axId val="152881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Paleolatitude (degrees)</a:t>
                </a: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83968"/>
        <c:crossesAt val="-1"/>
        <c:crossBetween val="midCat"/>
      </c:valAx>
      <c:valAx>
        <c:axId val="152883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000" b="0" i="0" baseline="0">
                    <a:effectLst/>
                  </a:rPr>
                  <a:t>τ</a:t>
                </a:r>
                <a:r>
                  <a:rPr lang="en-US" sz="1000" b="0" i="0" baseline="-25000">
                    <a:effectLst/>
                  </a:rPr>
                  <a:t>Ti,Al</a:t>
                </a:r>
                <a:endParaRPr lang="en-US" sz="1000">
                  <a:effectLst/>
                </a:endParaRPr>
              </a:p>
            </c:rich>
          </c:tx>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81792"/>
        <c:crosses val="autoZero"/>
        <c:crossBetween val="midCat"/>
      </c:valAx>
      <c:spPr>
        <a:noFill/>
        <a:ln>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data id="1">
      <cx:numDim type="val">
        <cx:f>_xlchart.v1.27</cx:f>
      </cx:numDim>
    </cx:data>
    <cx:data id="2">
      <cx:numDim type="val">
        <cx:f>_xlchart.v1.44</cx:f>
      </cx:numDim>
    </cx:data>
    <cx:data id="3">
      <cx:numDim type="val">
        <cx:f>_xlchart.v1.45</cx:f>
      </cx:numDim>
    </cx:data>
    <cx:data id="4">
      <cx:numDim type="val">
        <cx:f>_xlchart.v1.46</cx:f>
      </cx:numDim>
    </cx:data>
    <cx:data id="5">
      <cx:numDim type="val">
        <cx:f>_xlchart.v1.47</cx:f>
      </cx:numDim>
    </cx:data>
    <cx:data id="6">
      <cx:numDim type="val">
        <cx:f>_xlchart.v1.48</cx:f>
      </cx:numDim>
    </cx:data>
    <cx:data id="7">
      <cx:numDim type="val">
        <cx:f>_xlchart.v1.49</cx:f>
      </cx:numDim>
    </cx:data>
    <cx:data id="8">
      <cx:numDim type="val">
        <cx:f>_xlchart.v1.66</cx:f>
      </cx:numDim>
    </cx:data>
    <cx:data id="9">
      <cx:numDim type="val">
        <cx:f>_xlchart.v1.67</cx:f>
      </cx:numDim>
    </cx:data>
    <cx:data id="10">
      <cx:numDim type="val">
        <cx:f>_xlchart.v1.50</cx:f>
      </cx:numDim>
    </cx:data>
    <cx:data id="11">
      <cx:numDim type="val">
        <cx:f>_xlchart.v1.51</cx:f>
      </cx:numDim>
    </cx:data>
    <cx:data id="12">
      <cx:numDim type="val">
        <cx:f>_xlchart.v1.52</cx:f>
      </cx:numDim>
    </cx:data>
    <cx:data id="13">
      <cx:numDim type="val">
        <cx:f>_xlchart.v1.53</cx:f>
      </cx:numDim>
    </cx:data>
    <cx:data id="14">
      <cx:numDim type="val">
        <cx:f>_xlchart.v1.54</cx:f>
      </cx:numDim>
    </cx:data>
    <cx:data id="15">
      <cx:numDim type="val">
        <cx:f>_xlchart.v1.55</cx:f>
      </cx:numDim>
    </cx:data>
    <cx:data id="16">
      <cx:numDim type="val">
        <cx:f>_xlchart.v1.56</cx:f>
      </cx:numDim>
    </cx:data>
    <cx:data id="17">
      <cx:numDim type="val">
        <cx:f>_xlchart.v1.57</cx:f>
      </cx:numDim>
    </cx:data>
    <cx:data id="18">
      <cx:numDim type="val">
        <cx:f>_xlchart.v1.58</cx:f>
      </cx:numDim>
    </cx:data>
    <cx:data id="19">
      <cx:numDim type="val">
        <cx:f>_xlchart.v1.59</cx:f>
      </cx:numDim>
    </cx:data>
    <cx:data id="20">
      <cx:numDim type="val">
        <cx:f>_xlchart.v1.60</cx:f>
      </cx:numDim>
    </cx:data>
    <cx:data id="21">
      <cx:numDim type="val">
        <cx:f>_xlchart.v1.61</cx:f>
      </cx:numDim>
    </cx:data>
    <cx:data id="22">
      <cx:numDim type="val">
        <cx:f>_xlchart.v1.62</cx:f>
      </cx:numDim>
    </cx:data>
    <cx:data id="23">
      <cx:numDim type="val">
        <cx:f>_xlchart.v1.63</cx:f>
      </cx:numDim>
    </cx:data>
    <cx:data id="24">
      <cx:numDim type="val">
        <cx:f>_xlchart.v1.64</cx:f>
      </cx:numDim>
    </cx:data>
    <cx:data id="25">
      <cx:numDim type="val">
        <cx:f>_xlchart.v1.65</cx:f>
      </cx:numDim>
    </cx:data>
    <cx:data id="26">
      <cx:numDim type="val">
        <cx:f>_xlchart.v1.1</cx:f>
      </cx:numDim>
    </cx:data>
    <cx:data id="27">
      <cx:numDim type="val">
        <cx:f>_xlchart.v1.2</cx:f>
      </cx:numDim>
    </cx:data>
    <cx:data id="28">
      <cx:numDim type="val">
        <cx:f>_xlchart.v1.3</cx:f>
      </cx:numDim>
    </cx:data>
    <cx:data id="29">
      <cx:numDim type="val">
        <cx:f>_xlchart.v1.4</cx:f>
      </cx:numDim>
    </cx:data>
    <cx:data id="30">
      <cx:numDim type="val">
        <cx:f>_xlchart.v1.5</cx:f>
      </cx:numDim>
    </cx:data>
    <cx:data id="31">
      <cx:numDim type="val">
        <cx:f>_xlchart.v1.6</cx:f>
      </cx:numDim>
    </cx:data>
    <cx:data id="32">
      <cx:numDim type="val">
        <cx:f>_xlchart.v1.7</cx:f>
      </cx:numDim>
    </cx:data>
    <cx:data id="33">
      <cx:numDim type="val">
        <cx:f>_xlchart.v1.8</cx:f>
      </cx:numDim>
    </cx:data>
    <cx:data id="34">
      <cx:numDim type="val">
        <cx:f>_xlchart.v1.9</cx:f>
      </cx:numDim>
    </cx:data>
    <cx:data id="35">
      <cx:numDim type="val">
        <cx:f>_xlchart.v1.10</cx:f>
      </cx:numDim>
    </cx:data>
    <cx:data id="36">
      <cx:numDim type="val">
        <cx:f>_xlchart.v1.11</cx:f>
      </cx:numDim>
    </cx:data>
    <cx:data id="37">
      <cx:numDim type="val">
        <cx:f>_xlchart.v1.12</cx:f>
      </cx:numDim>
    </cx:data>
    <cx:data id="38">
      <cx:numDim type="val">
        <cx:f>_xlchart.v1.13</cx:f>
      </cx:numDim>
    </cx:data>
    <cx:data id="39">
      <cx:numDim type="val">
        <cx:f>_xlchart.v1.14</cx:f>
      </cx:numDim>
    </cx:data>
    <cx:data id="40">
      <cx:numDim type="val">
        <cx:f>_xlchart.v1.15</cx:f>
      </cx:numDim>
    </cx:data>
    <cx:data id="41">
      <cx:numDim type="val">
        <cx:f>_xlchart.v1.16</cx:f>
      </cx:numDim>
    </cx:data>
    <cx:data id="42">
      <cx:numDim type="val">
        <cx:f>_xlchart.v1.17</cx:f>
      </cx:numDim>
    </cx:data>
    <cx:data id="43">
      <cx:numDim type="val">
        <cx:f>_xlchart.v1.18</cx:f>
      </cx:numDim>
    </cx:data>
    <cx:data id="44">
      <cx:numDim type="val">
        <cx:f>_xlchart.v1.19</cx:f>
      </cx:numDim>
    </cx:data>
    <cx:data id="45">
      <cx:numDim type="val">
        <cx:f>_xlchart.v1.20</cx:f>
      </cx:numDim>
    </cx:data>
    <cx:data id="46">
      <cx:numDim type="val">
        <cx:f>_xlchart.v1.21</cx:f>
      </cx:numDim>
    </cx:data>
    <cx:data id="47">
      <cx:numDim type="val">
        <cx:f>_xlchart.v1.22</cx:f>
      </cx:numDim>
    </cx:data>
    <cx:data id="48">
      <cx:numDim type="val">
        <cx:f>_xlchart.v1.23</cx:f>
      </cx:numDim>
    </cx:data>
    <cx:data id="49">
      <cx:numDim type="val">
        <cx:f>_xlchart.v1.24</cx:f>
      </cx:numDim>
    </cx:data>
    <cx:data id="50">
      <cx:numDim type="val">
        <cx:f>_xlchart.v1.25</cx:f>
      </cx:numDim>
    </cx:data>
    <cx:data id="51">
      <cx:numDim type="val">
        <cx:f>_xlchart.v1.26</cx:f>
      </cx:numDim>
    </cx:data>
    <cx:data id="52">
      <cx:numDim type="val">
        <cx:f>_xlchart.v1.28</cx:f>
      </cx:numDim>
    </cx:data>
    <cx:data id="53">
      <cx:numDim type="val">
        <cx:f>_xlchart.v1.29</cx:f>
      </cx:numDim>
    </cx:data>
    <cx:data id="54">
      <cx:numDim type="val">
        <cx:f>_xlchart.v1.30</cx:f>
      </cx:numDim>
    </cx:data>
    <cx:data id="55">
      <cx:numDim type="val">
        <cx:f>_xlchart.v1.31</cx:f>
      </cx:numDim>
    </cx:data>
    <cx:data id="56">
      <cx:numDim type="val">
        <cx:f>_xlchart.v1.32</cx:f>
      </cx:numDim>
    </cx:data>
    <cx:data id="57">
      <cx:numDim type="val">
        <cx:f>_xlchart.v1.33</cx:f>
      </cx:numDim>
    </cx:data>
    <cx:data id="58">
      <cx:numDim type="val">
        <cx:f>_xlchart.v1.34</cx:f>
      </cx:numDim>
    </cx:data>
    <cx:data id="59">
      <cx:numDim type="val">
        <cx:f>_xlchart.v1.35</cx:f>
      </cx:numDim>
    </cx:data>
    <cx:data id="60">
      <cx:numDim type="val">
        <cx:f>_xlchart.v1.36</cx:f>
      </cx:numDim>
    </cx:data>
    <cx:data id="61">
      <cx:numDim type="val">
        <cx:f>_xlchart.v1.37</cx:f>
      </cx:numDim>
    </cx:data>
    <cx:data id="62">
      <cx:numDim type="val">
        <cx:f>_xlchart.v1.38</cx:f>
      </cx:numDim>
    </cx:data>
    <cx:data id="63">
      <cx:numDim type="val">
        <cx:f>_xlchart.v1.39</cx:f>
      </cx:numDim>
    </cx:data>
    <cx:data id="64">
      <cx:numDim type="val">
        <cx:f>_xlchart.v1.40</cx:f>
      </cx:numDim>
    </cx:data>
    <cx:data id="65">
      <cx:numDim type="val">
        <cx:f>_xlchart.v1.41</cx:f>
      </cx:numDim>
    </cx:data>
    <cx:data id="66">
      <cx:numDim type="val">
        <cx:f>_xlchart.v1.42</cx:f>
      </cx:numDim>
    </cx:data>
    <cx:data id="67">
      <cx:numDim type="val">
        <cx:f>_xlchart.v1.43</cx:f>
      </cx:numDim>
    </cx:data>
  </cx:chartData>
  <cx:chart>
    <cx:plotArea>
      <cx:plotAreaRegion>
        <cx:plotSurface>
          <cx:spPr>
            <a:ln>
              <a:solidFill>
                <a:sysClr val="windowText" lastClr="000000"/>
              </a:solidFill>
            </a:ln>
          </cx:spPr>
        </cx:plotSurface>
        <cx:series layoutId="boxWhisker" uniqueId="{E8EFAA17-1AFD-40D7-B284-706EA5311435}" formatIdx="2">
          <cx:tx>
            <cx:txData>
              <cx:f/>
              <cx:v>Basal Pongola</cx:v>
            </cx:txData>
          </cx:tx>
          <cx:spPr>
            <a:solidFill>
              <a:srgbClr val="FF7373"/>
            </a:solidFill>
            <a:ln>
              <a:solidFill>
                <a:srgbClr val="BF5656"/>
              </a:solidFill>
            </a:ln>
          </cx:spPr>
          <cx:dataId val="0"/>
          <cx:layoutPr>
            <cx:visibility meanLine="0" meanMarker="1" nonoutliers="0" outliers="1"/>
            <cx:statistics quartileMethod="exclusive"/>
          </cx:layoutPr>
        </cx:series>
        <cx:series layoutId="boxWhisker" uniqueId="{78996263-680E-41DC-9DC7-4BC71D469317}" formatIdx="3">
          <cx:tx>
            <cx:txData>
              <cx:f/>
              <cx:v>Basal Pongola exp</cx:v>
            </cx:txData>
          </cx:tx>
          <cx:spPr>
            <a:solidFill>
              <a:srgbClr val="767171"/>
            </a:solidFill>
            <a:ln>
              <a:solidFill>
                <a:srgbClr val="000000"/>
              </a:solidFill>
            </a:ln>
          </cx:spPr>
          <cx:dataId val="1"/>
          <cx:layoutPr>
            <cx:visibility meanLine="0" meanMarker="1" nonoutliers="0" outliers="1"/>
            <cx:statistics quartileMethod="exclusive"/>
          </cx:layoutPr>
        </cx:series>
        <cx:series layoutId="boxWhisker" uniqueId="{ED7D2949-8B2B-4CDA-8189-67483A1F6812}" formatIdx="4">
          <cx:tx>
            <cx:txData>
              <cx:f/>
              <cx:v>Denny Dalton</cx:v>
            </cx:txData>
          </cx:tx>
          <cx:spPr>
            <a:solidFill>
              <a:srgbClr val="7373FF"/>
            </a:solidFill>
            <a:ln>
              <a:solidFill>
                <a:srgbClr val="5656BF"/>
              </a:solidFill>
            </a:ln>
          </cx:spPr>
          <cx:dataId val="2"/>
          <cx:layoutPr>
            <cx:visibility meanLine="0" meanMarker="1" nonoutliers="0" outliers="1"/>
            <cx:statistics quartileMethod="exclusive"/>
          </cx:layoutPr>
        </cx:series>
        <cx:series layoutId="boxWhisker" uniqueId="{D9C6CD76-357D-42B1-9D13-3B9E2812BAD5}" formatIdx="5">
          <cx:tx>
            <cx:txData>
              <cx:f/>
              <cx:v>Denny Dalton exp</cx:v>
            </cx:txData>
          </cx:tx>
          <cx:spPr>
            <a:solidFill>
              <a:srgbClr val="767171"/>
            </a:solidFill>
            <a:ln>
              <a:solidFill>
                <a:srgbClr val="000000"/>
              </a:solidFill>
            </a:ln>
          </cx:spPr>
          <cx:dataId val="3"/>
          <cx:layoutPr>
            <cx:visibility meanLine="0" meanMarker="1" nonoutliers="0" outliers="1"/>
            <cx:statistics quartileMethod="exclusive"/>
          </cx:layoutPr>
        </cx:series>
        <cx:series layoutId="boxWhisker" uniqueId="{DCDEB1DE-0D91-4A29-A654-C16A10540150}" formatIdx="6">
          <cx:tx>
            <cx:txData>
              <cx:f/>
              <cx:v>Lake Voronye</cx:v>
            </cx:txData>
          </cx:tx>
          <cx:spPr>
            <a:solidFill>
              <a:srgbClr val="FF7373"/>
            </a:solidFill>
            <a:ln>
              <a:solidFill>
                <a:srgbClr val="BF5656"/>
              </a:solidFill>
            </a:ln>
          </cx:spPr>
          <cx:dataId val="4"/>
          <cx:layoutPr>
            <cx:visibility meanLine="0" meanMarker="1" nonoutliers="0" outliers="1"/>
            <cx:statistics quartileMethod="exclusive"/>
          </cx:layoutPr>
        </cx:series>
        <cx:series layoutId="boxWhisker" uniqueId="{CFA91E79-1D1E-4B53-B555-E6B22EEEDE2E}" formatIdx="7">
          <cx:tx>
            <cx:txData>
              <cx:f/>
              <cx:v>Lake Voronye exp</cx:v>
            </cx:txData>
          </cx:tx>
          <cx:spPr>
            <a:solidFill>
              <a:srgbClr val="767171"/>
            </a:solidFill>
            <a:ln>
              <a:solidFill>
                <a:srgbClr val="000000"/>
              </a:solidFill>
            </a:ln>
          </cx:spPr>
          <cx:dataId val="5"/>
          <cx:layoutPr>
            <cx:visibility meanLine="0" meanMarker="1" nonoutliers="0" outliers="1"/>
            <cx:statistics quartileMethod="exclusive"/>
          </cx:layoutPr>
        </cx:series>
        <cx:series layoutId="boxWhisker" uniqueId="{7ABE6AC7-545C-4730-A3E3-2D6EEFC2BD39}" formatIdx="8">
          <cx:tx>
            <cx:txData>
              <cx:f/>
              <cx:v>Mt. Roe #2</cx:v>
            </cx:txData>
          </cx:tx>
          <cx:spPr>
            <a:solidFill>
              <a:srgbClr val="7373FF"/>
            </a:solidFill>
            <a:ln>
              <a:solidFill>
                <a:srgbClr val="5656BF"/>
              </a:solidFill>
            </a:ln>
          </cx:spPr>
          <cx:dataId val="6"/>
          <cx:layoutPr>
            <cx:visibility meanLine="0" meanMarker="1" nonoutliers="0" outliers="1"/>
            <cx:statistics quartileMethod="exclusive"/>
          </cx:layoutPr>
        </cx:series>
        <cx:series layoutId="boxWhisker" uniqueId="{A3A1FAC9-A0B8-4D82-B6FC-CAB45C124D3B}" formatIdx="9">
          <cx:tx>
            <cx:txData>
              <cx:f/>
              <cx:v>Mt. Roe #2 exp</cx:v>
            </cx:txData>
          </cx:tx>
          <cx:spPr>
            <a:solidFill>
              <a:srgbClr val="767171"/>
            </a:solidFill>
            <a:ln>
              <a:solidFill>
                <a:srgbClr val="000000"/>
              </a:solidFill>
            </a:ln>
          </cx:spPr>
          <cx:dataId val="7"/>
          <cx:layoutPr>
            <cx:visibility meanLine="0" meanMarker="1" nonoutliers="0" outliers="1"/>
            <cx:statistics quartileMethod="exclusive"/>
          </cx:layoutPr>
        </cx:series>
        <cx:series layoutId="boxWhisker" uniqueId="{EB3FA09A-691C-4556-B647-850B772A1167}" formatIdx="10">
          <cx:tx>
            <cx:txData>
              <cx:f/>
              <cx:v>Black Reef</cx:v>
            </cx:txData>
          </cx:tx>
          <cx:spPr>
            <a:solidFill>
              <a:srgbClr val="FF7373"/>
            </a:solidFill>
            <a:ln>
              <a:solidFill>
                <a:srgbClr val="BF5656"/>
              </a:solidFill>
            </a:ln>
          </cx:spPr>
          <cx:dataId val="8"/>
          <cx:layoutPr>
            <cx:visibility meanLine="0" meanMarker="1" nonoutliers="0" outliers="1"/>
            <cx:statistics quartileMethod="exclusive"/>
          </cx:layoutPr>
        </cx:series>
        <cx:series layoutId="boxWhisker" uniqueId="{B3380037-8DDE-4F27-B66E-CCB13F665F2F}" formatIdx="11">
          <cx:tx>
            <cx:txData>
              <cx:f/>
              <cx:v>Black Reef exp</cx:v>
            </cx:txData>
          </cx:tx>
          <cx:spPr>
            <a:solidFill>
              <a:srgbClr val="767171"/>
            </a:solidFill>
            <a:ln>
              <a:solidFill>
                <a:srgbClr val="000000"/>
              </a:solidFill>
            </a:ln>
          </cx:spPr>
          <cx:dataId val="9"/>
          <cx:layoutPr>
            <cx:visibility meanLine="0" meanMarker="1" nonoutliers="0" outliers="1"/>
            <cx:statistics quartileMethod="exclusive"/>
          </cx:layoutPr>
        </cx:series>
        <cx:series layoutId="boxWhisker" uniqueId="{932AD426-89E2-4BF0-A227-E4116B5A5574}" formatIdx="12">
          <cx:tx>
            <cx:txData>
              <cx:f/>
              <cx:v>Saganaga</cx:v>
            </cx:txData>
          </cx:tx>
          <cx:spPr>
            <a:solidFill>
              <a:srgbClr val="FF7373"/>
            </a:solidFill>
            <a:ln>
              <a:solidFill>
                <a:srgbClr val="BF5656"/>
              </a:solidFill>
            </a:ln>
          </cx:spPr>
          <cx:dataId val="10"/>
          <cx:layoutPr>
            <cx:visibility meanLine="0" meanMarker="1" nonoutliers="0" outliers="1"/>
            <cx:statistics quartileMethod="exclusive"/>
          </cx:layoutPr>
        </cx:series>
        <cx:series layoutId="boxWhisker" uniqueId="{B019A5CE-F659-402D-B4FB-FF5B4E64FFF8}" formatIdx="13">
          <cx:tx>
            <cx:txData>
              <cx:f/>
              <cx:v>Saganaga exp</cx:v>
            </cx:txData>
          </cx:tx>
          <cx:spPr>
            <a:solidFill>
              <a:srgbClr val="767171"/>
            </a:solidFill>
            <a:ln>
              <a:solidFill>
                <a:srgbClr val="000000"/>
              </a:solidFill>
            </a:ln>
          </cx:spPr>
          <cx:dataId val="11"/>
          <cx:layoutPr>
            <cx:visibility meanLine="0" meanMarker="1" nonoutliers="0" outliers="1"/>
            <cx:statistics quartileMethod="exclusive"/>
          </cx:layoutPr>
        </cx:series>
        <cx:series layoutId="boxWhisker" uniqueId="{B71D2022-B98C-435A-B009-AE7D5C4517C0}" formatIdx="14">
          <cx:tx>
            <cx:txData>
              <cx:f/>
              <cx:v>Lauzon Bay</cx:v>
            </cx:txData>
          </cx:tx>
          <cx:spPr>
            <a:solidFill>
              <a:srgbClr val="FF7373"/>
            </a:solidFill>
            <a:ln>
              <a:solidFill>
                <a:srgbClr val="BF5656"/>
              </a:solidFill>
            </a:ln>
          </cx:spPr>
          <cx:dataId val="12"/>
          <cx:layoutPr>
            <cx:visibility meanLine="0" meanMarker="1" nonoutliers="0" outliers="1"/>
            <cx:statistics quartileMethod="exclusive"/>
          </cx:layoutPr>
        </cx:series>
        <cx:series layoutId="boxWhisker" uniqueId="{93088ACD-08D6-43B1-8322-DA7257319970}" formatIdx="15">
          <cx:tx>
            <cx:txData>
              <cx:f/>
              <cx:v>Lauzon Bay exp</cx:v>
            </cx:txData>
          </cx:tx>
          <cx:spPr>
            <a:solidFill>
              <a:srgbClr val="767171"/>
            </a:solidFill>
            <a:ln>
              <a:solidFill>
                <a:srgbClr val="000000"/>
              </a:solidFill>
            </a:ln>
          </cx:spPr>
          <cx:dataId val="13"/>
          <cx:layoutPr>
            <cx:visibility meanLine="0" meanMarker="1" nonoutliers="0" outliers="1"/>
            <cx:statistics quartileMethod="exclusive"/>
          </cx:layoutPr>
        </cx:series>
        <cx:series layoutId="boxWhisker" uniqueId="{00000000-12E2-4F34-953D-B80C990E6EED}" formatIdx="16">
          <cx:tx>
            <cx:txData>
              <cx:f/>
              <cx:v>Pronto</cx:v>
            </cx:txData>
          </cx:tx>
          <cx:spPr>
            <a:solidFill>
              <a:srgbClr val="FF7373"/>
            </a:solidFill>
            <a:ln>
              <a:solidFill>
                <a:srgbClr val="BF5656"/>
              </a:solidFill>
            </a:ln>
          </cx:spPr>
          <cx:dataId val="14"/>
          <cx:layoutPr>
            <cx:visibility nonoutliers="0"/>
            <cx:statistics quartileMethod="exclusive"/>
          </cx:layoutPr>
        </cx:series>
        <cx:series layoutId="boxWhisker" uniqueId="{00000001-12E2-4F34-953D-B80C990E6EED}" formatIdx="17">
          <cx:tx>
            <cx:txData>
              <cx:f/>
              <cx:v>Pronto exp</cx:v>
            </cx:txData>
          </cx:tx>
          <cx:spPr>
            <a:solidFill>
              <a:srgbClr val="767171"/>
            </a:solidFill>
            <a:ln>
              <a:solidFill>
                <a:srgbClr val="000000"/>
              </a:solidFill>
            </a:ln>
          </cx:spPr>
          <cx:dataId val="15"/>
          <cx:layoutPr>
            <cx:visibility nonoutliers="0"/>
            <cx:statistics quartileMethod="exclusive"/>
          </cx:layoutPr>
        </cx:series>
        <cx:series layoutId="boxWhisker" uniqueId="{00000002-12E2-4F34-953D-B80C990E6EED}" formatIdx="18">
          <cx:tx>
            <cx:txData>
              <cx:f/>
              <cx:v>Denison</cx:v>
            </cx:txData>
          </cx:tx>
          <cx:spPr>
            <a:solidFill>
              <a:srgbClr val="FF7373"/>
            </a:solidFill>
            <a:ln>
              <a:solidFill>
                <a:srgbClr val="BF5656"/>
              </a:solidFill>
            </a:ln>
          </cx:spPr>
          <cx:dataId val="16"/>
          <cx:layoutPr>
            <cx:visibility nonoutliers="0"/>
            <cx:statistics quartileMethod="exclusive"/>
          </cx:layoutPr>
        </cx:series>
        <cx:series layoutId="boxWhisker" uniqueId="{00000003-12E2-4F34-953D-B80C990E6EED}" formatIdx="19">
          <cx:tx>
            <cx:txData>
              <cx:f/>
              <cx:v>Denison exp</cx:v>
            </cx:txData>
          </cx:tx>
          <cx:spPr>
            <a:solidFill>
              <a:srgbClr val="767171"/>
            </a:solidFill>
            <a:ln>
              <a:solidFill>
                <a:srgbClr val="000000"/>
              </a:solidFill>
            </a:ln>
          </cx:spPr>
          <cx:dataId val="17"/>
          <cx:layoutPr>
            <cx:visibility nonoutliers="0"/>
            <cx:statistics quartileMethod="exclusive"/>
          </cx:layoutPr>
        </cx:series>
        <cx:series layoutId="boxWhisker" uniqueId="{00000004-12E2-4F34-953D-B80C990E6EED}" formatIdx="20">
          <cx:tx>
            <cx:txData>
              <cx:f/>
              <cx:v>Quirke II</cx:v>
            </cx:txData>
          </cx:tx>
          <cx:spPr>
            <a:solidFill>
              <a:srgbClr val="7373FF"/>
            </a:solidFill>
            <a:ln>
              <a:solidFill>
                <a:srgbClr val="5656BF"/>
              </a:solidFill>
            </a:ln>
          </cx:spPr>
          <cx:dataId val="18"/>
          <cx:layoutPr>
            <cx:visibility nonoutliers="0"/>
            <cx:statistics quartileMethod="exclusive"/>
          </cx:layoutPr>
        </cx:series>
        <cx:series layoutId="boxWhisker" uniqueId="{00000005-12E2-4F34-953D-B80C990E6EED}" formatIdx="21">
          <cx:tx>
            <cx:txData>
              <cx:f/>
              <cx:v>Quirke II exp</cx:v>
            </cx:txData>
          </cx:tx>
          <cx:spPr>
            <a:solidFill>
              <a:srgbClr val="767171"/>
            </a:solidFill>
            <a:ln>
              <a:solidFill>
                <a:schemeClr val="tx1"/>
              </a:solidFill>
            </a:ln>
          </cx:spPr>
          <cx:dataId val="19"/>
          <cx:layoutPr>
            <cx:visibility nonoutliers="0"/>
            <cx:statistics quartileMethod="exclusive"/>
          </cx:layoutPr>
        </cx:series>
        <cx:series layoutId="boxWhisker" uniqueId="{00000006-12E2-4F34-953D-B80C990E6EED}" formatIdx="22">
          <cx:tx>
            <cx:txData>
              <cx:f/>
              <cx:v>Cooper Lake</cx:v>
            </cx:txData>
          </cx:tx>
          <cx:spPr>
            <a:solidFill>
              <a:srgbClr val="7373FF"/>
            </a:solidFill>
            <a:ln>
              <a:solidFill>
                <a:srgbClr val="5656BF"/>
              </a:solidFill>
            </a:ln>
          </cx:spPr>
          <cx:dataId val="20"/>
          <cx:layoutPr>
            <cx:visibility nonoutliers="0"/>
            <cx:statistics quartileMethod="exclusive"/>
          </cx:layoutPr>
        </cx:series>
        <cx:series layoutId="boxWhisker" uniqueId="{00000007-12E2-4F34-953D-B80C990E6EED}" formatIdx="23">
          <cx:tx>
            <cx:txData>
              <cx:f/>
              <cx:v>Cooper Lake exp</cx:v>
            </cx:txData>
          </cx:tx>
          <cx:spPr>
            <a:solidFill>
              <a:srgbClr val="767171"/>
            </a:solidFill>
            <a:ln>
              <a:solidFill>
                <a:schemeClr val="tx1"/>
              </a:solidFill>
            </a:ln>
          </cx:spPr>
          <cx:dataId val="21"/>
          <cx:layoutPr>
            <cx:statistics quartileMethod="exclusive"/>
          </cx:layoutPr>
        </cx:series>
        <cx:series layoutId="boxWhisker" uniqueId="{00000000-BEAC-4D79-805D-941ED54CF3F1}" formatIdx="0">
          <cx:tx>
            <cx:txData>
              <cx:f/>
              <cx:v>Ville Marie</cx:v>
            </cx:txData>
          </cx:tx>
          <cx:spPr>
            <a:solidFill>
              <a:srgbClr val="FF7373"/>
            </a:solidFill>
            <a:ln>
              <a:solidFill>
                <a:srgbClr val="BF5656"/>
              </a:solidFill>
            </a:ln>
          </cx:spPr>
          <cx:dataId val="22"/>
          <cx:layoutPr>
            <cx:visibility nonoutliers="0"/>
            <cx:statistics quartileMethod="exclusive"/>
          </cx:layoutPr>
        </cx:series>
        <cx:series layoutId="boxWhisker" uniqueId="{00000001-BEAC-4D79-805D-941ED54CF3F1}" formatIdx="1">
          <cx:tx>
            <cx:txData>
              <cx:f/>
              <cx:v>Ville Marie exp</cx:v>
            </cx:txData>
          </cx:tx>
          <cx:spPr>
            <a:solidFill>
              <a:srgbClr val="767171"/>
            </a:solidFill>
            <a:ln>
              <a:solidFill>
                <a:srgbClr val="000000"/>
              </a:solidFill>
            </a:ln>
          </cx:spPr>
          <cx:dataId val="23"/>
          <cx:layoutPr>
            <cx:visibility nonoutliers="0"/>
            <cx:statistics quartileMethod="exclusive"/>
          </cx:layoutPr>
        </cx:series>
        <cx:series layoutId="boxWhisker" uniqueId="{00000002-BEAC-4D79-805D-941ED54CF3F1}" formatIdx="24">
          <cx:tx>
            <cx:txData>
              <cx:f/>
              <cx:v>Hekpoort</cx:v>
            </cx:txData>
          </cx:tx>
          <cx:spPr>
            <a:solidFill>
              <a:srgbClr val="7373FF"/>
            </a:solidFill>
            <a:ln>
              <a:solidFill>
                <a:srgbClr val="5656BF"/>
              </a:solidFill>
            </a:ln>
          </cx:spPr>
          <cx:dataId val="24"/>
          <cx:layoutPr>
            <cx:visibility nonoutliers="0"/>
            <cx:statistics quartileMethod="exclusive"/>
          </cx:layoutPr>
        </cx:series>
        <cx:series layoutId="boxWhisker" uniqueId="{00000003-BEAC-4D79-805D-941ED54CF3F1}" formatIdx="25">
          <cx:tx>
            <cx:txData>
              <cx:f/>
              <cx:v>Hekpoort exp</cx:v>
            </cx:txData>
          </cx:tx>
          <cx:spPr>
            <a:solidFill>
              <a:srgbClr val="767171"/>
            </a:solidFill>
            <a:ln>
              <a:solidFill>
                <a:srgbClr val="000000"/>
              </a:solidFill>
            </a:ln>
          </cx:spPr>
          <cx:dataId val="25"/>
          <cx:layoutPr>
            <cx:visibility nonoutliers="0"/>
            <cx:statistics quartileMethod="exclusive"/>
          </cx:layoutPr>
        </cx:series>
        <cx:series layoutId="boxWhisker" uniqueId="{00000004-BEAC-4D79-805D-941ED54CF3F1}" formatIdx="26">
          <cx:tx>
            <cx:txData>
              <cx:f/>
              <cx:v>Beaverlodge Lake</cx:v>
            </cx:txData>
          </cx:tx>
          <cx:spPr>
            <a:solidFill>
              <a:srgbClr val="FF7373"/>
            </a:solidFill>
            <a:ln>
              <a:solidFill>
                <a:srgbClr val="BF5656"/>
              </a:solidFill>
            </a:ln>
          </cx:spPr>
          <cx:dataId val="26"/>
          <cx:layoutPr>
            <cx:visibility nonoutliers="0"/>
            <cx:statistics quartileMethod="exclusive"/>
          </cx:layoutPr>
        </cx:series>
        <cx:series layoutId="boxWhisker" uniqueId="{00000005-BEAC-4D79-805D-941ED54CF3F1}" formatIdx="27">
          <cx:tx>
            <cx:txData>
              <cx:f/>
              <cx:v>Beaverlodge Lake exp</cx:v>
            </cx:txData>
          </cx:tx>
          <cx:spPr>
            <a:solidFill>
              <a:srgbClr val="767171"/>
            </a:solidFill>
            <a:ln>
              <a:solidFill>
                <a:srgbClr val="000000"/>
              </a:solidFill>
            </a:ln>
          </cx:spPr>
          <cx:dataId val="27"/>
          <cx:layoutPr>
            <cx:visibility nonoutliers="0"/>
            <cx:statistics quartileMethod="exclusive"/>
          </cx:layoutPr>
        </cx:series>
        <cx:series layoutId="boxWhisker" uniqueId="{00000006-BEAC-4D79-805D-941ED54CF3F1}" formatIdx="28">
          <cx:tx>
            <cx:txData>
              <cx:f/>
              <cx:v>Flin Flon</cx:v>
            </cx:txData>
          </cx:tx>
          <cx:spPr>
            <a:solidFill>
              <a:srgbClr val="7373FF"/>
            </a:solidFill>
            <a:ln>
              <a:solidFill>
                <a:srgbClr val="5656BF"/>
              </a:solidFill>
            </a:ln>
          </cx:spPr>
          <cx:dataId val="28"/>
          <cx:layoutPr>
            <cx:visibility nonoutliers="0"/>
            <cx:statistics quartileMethod="exclusive"/>
          </cx:layoutPr>
        </cx:series>
        <cx:series layoutId="boxWhisker" uniqueId="{00000007-BEAC-4D79-805D-941ED54CF3F1}" formatIdx="29">
          <cx:tx>
            <cx:txData>
              <cx:f/>
              <cx:v>Flin Flon exp</cx:v>
            </cx:txData>
          </cx:tx>
          <cx:spPr>
            <a:solidFill>
              <a:srgbClr val="767171"/>
            </a:solidFill>
            <a:ln>
              <a:solidFill>
                <a:srgbClr val="000000"/>
              </a:solidFill>
            </a:ln>
          </cx:spPr>
          <cx:dataId val="29"/>
          <cx:layoutPr>
            <cx:visibility nonoutliers="0"/>
            <cx:statistics quartileMethod="exclusive"/>
          </cx:layoutPr>
        </cx:series>
        <cx:series layoutId="boxWhisker" uniqueId="{00000008-BEAC-4D79-805D-941ED54CF3F1}" formatIdx="30">
          <cx:tx>
            <cx:txData>
              <cx:f/>
              <cx:v>Baraboo</cx:v>
            </cx:txData>
          </cx:tx>
          <cx:spPr>
            <a:solidFill>
              <a:srgbClr val="FF7373"/>
            </a:solidFill>
            <a:ln>
              <a:solidFill>
                <a:srgbClr val="BF5656"/>
              </a:solidFill>
            </a:ln>
          </cx:spPr>
          <cx:dataId val="30"/>
          <cx:layoutPr>
            <cx:visibility nonoutliers="0"/>
            <cx:statistics quartileMethod="exclusive"/>
          </cx:layoutPr>
        </cx:series>
        <cx:series layoutId="boxWhisker" uniqueId="{00000009-BEAC-4D79-805D-941ED54CF3F1}" formatIdx="31">
          <cx:tx>
            <cx:txData>
              <cx:f/>
              <cx:v>Baraboo exp</cx:v>
            </cx:txData>
          </cx:tx>
          <cx:spPr>
            <a:solidFill>
              <a:srgbClr val="767171"/>
            </a:solidFill>
            <a:ln>
              <a:solidFill>
                <a:srgbClr val="000000"/>
              </a:solidFill>
            </a:ln>
          </cx:spPr>
          <cx:dataId val="31"/>
          <cx:layoutPr>
            <cx:visibility nonoutliers="0"/>
            <cx:statistics quartileMethod="exclusive"/>
          </cx:layoutPr>
        </cx:series>
        <cx:series layoutId="boxWhisker" uniqueId="{0000000A-BEAC-4D79-805D-941ED54CF3F1}" formatIdx="32">
          <cx:tx>
            <cx:txData>
              <cx:f/>
              <cx:v>Avontuur</cx:v>
            </cx:txData>
          </cx:tx>
          <cx:spPr>
            <a:solidFill>
              <a:srgbClr val="7373FF"/>
            </a:solidFill>
            <a:ln>
              <a:solidFill>
                <a:srgbClr val="5656BF"/>
              </a:solidFill>
            </a:ln>
          </cx:spPr>
          <cx:dataId val="32"/>
          <cx:layoutPr>
            <cx:visibility nonoutliers="0"/>
            <cx:statistics quartileMethod="exclusive"/>
          </cx:layoutPr>
        </cx:series>
        <cx:series layoutId="boxWhisker" uniqueId="{0000000B-BEAC-4D79-805D-941ED54CF3F1}" formatIdx="33">
          <cx:tx>
            <cx:txData>
              <cx:f/>
              <cx:v>Avontuur exp</cx:v>
            </cx:txData>
          </cx:tx>
          <cx:spPr>
            <a:solidFill>
              <a:srgbClr val="767171"/>
            </a:solidFill>
            <a:ln>
              <a:solidFill>
                <a:srgbClr val="000000"/>
              </a:solidFill>
            </a:ln>
          </cx:spPr>
          <cx:dataId val="33"/>
          <cx:layoutPr>
            <cx:visibility nonoutliers="0"/>
            <cx:statistics quartileMethod="exclusive"/>
          </cx:layoutPr>
        </cx:series>
        <cx:series layoutId="boxWhisker" uniqueId="{0000000C-BEAC-4D79-805D-941ED54CF3F1}" formatIdx="34">
          <cx:tx>
            <cx:txData>
              <cx:f/>
              <cx:v>Drakenstein</cx:v>
            </cx:txData>
          </cx:tx>
          <cx:spPr>
            <a:solidFill>
              <a:srgbClr val="7373FF"/>
            </a:solidFill>
            <a:ln>
              <a:solidFill>
                <a:srgbClr val="5656BF"/>
              </a:solidFill>
            </a:ln>
          </cx:spPr>
          <cx:dataId val="34"/>
          <cx:layoutPr>
            <cx:visibility nonoutliers="0"/>
            <cx:statistics quartileMethod="exclusive"/>
          </cx:layoutPr>
        </cx:series>
        <cx:series layoutId="boxWhisker" uniqueId="{0000000D-BEAC-4D79-805D-941ED54CF3F1}" formatIdx="35">
          <cx:tx>
            <cx:txData>
              <cx:f/>
              <cx:v>Drakenstein exp</cx:v>
            </cx:txData>
          </cx:tx>
          <cx:spPr>
            <a:solidFill>
              <a:srgbClr val="767171"/>
            </a:solidFill>
            <a:ln>
              <a:solidFill>
                <a:srgbClr val="000000"/>
              </a:solidFill>
            </a:ln>
          </cx:spPr>
          <cx:dataId val="35"/>
          <cx:layoutPr>
            <cx:visibility nonoutliers="0"/>
            <cx:statistics quartileMethod="exclusive"/>
          </cx:layoutPr>
        </cx:series>
        <cx:series layoutId="boxWhisker" uniqueId="{0000000E-BEAC-4D79-805D-941ED54CF3F1}" formatIdx="36">
          <cx:tx>
            <cx:txData>
              <cx:f/>
              <cx:v>Temperance River</cx:v>
            </cx:txData>
          </cx:tx>
          <cx:spPr>
            <a:solidFill>
              <a:srgbClr val="7373FF"/>
            </a:solidFill>
            <a:ln>
              <a:solidFill>
                <a:srgbClr val="5656BF"/>
              </a:solidFill>
            </a:ln>
          </cx:spPr>
          <cx:dataId val="36"/>
          <cx:layoutPr>
            <cx:visibility nonoutliers="0"/>
            <cx:statistics quartileMethod="exclusive"/>
          </cx:layoutPr>
        </cx:series>
        <cx:series layoutId="boxWhisker" uniqueId="{0000000F-BEAC-4D79-805D-941ED54CF3F1}" formatIdx="37">
          <cx:tx>
            <cx:txData>
              <cx:f/>
              <cx:v>Temperance River exp</cx:v>
            </cx:txData>
          </cx:tx>
          <cx:spPr>
            <a:solidFill>
              <a:srgbClr val="767171"/>
            </a:solidFill>
            <a:ln>
              <a:solidFill>
                <a:srgbClr val="000000"/>
              </a:solidFill>
            </a:ln>
          </cx:spPr>
          <cx:dataId val="37"/>
          <cx:layoutPr>
            <cx:visibility nonoutliers="0"/>
            <cx:statistics quartileMethod="exclusive"/>
          </cx:layoutPr>
        </cx:series>
        <cx:series layoutId="boxWhisker" uniqueId="{00000010-BEAC-4D79-805D-941ED54CF3F1}" formatIdx="38">
          <cx:tx>
            <cx:txData>
              <cx:f/>
              <cx:v>Sigula</cx:v>
            </cx:txData>
          </cx:tx>
          <cx:spPr>
            <a:solidFill>
              <a:srgbClr val="7373FF"/>
            </a:solidFill>
            <a:ln>
              <a:solidFill>
                <a:srgbClr val="5656BF"/>
              </a:solidFill>
            </a:ln>
          </cx:spPr>
          <cx:dataId val="38"/>
          <cx:layoutPr>
            <cx:visibility nonoutliers="0"/>
            <cx:statistics quartileMethod="exclusive"/>
          </cx:layoutPr>
        </cx:series>
        <cx:series layoutId="boxWhisker" uniqueId="{00000011-BEAC-4D79-805D-941ED54CF3F1}" formatIdx="39">
          <cx:tx>
            <cx:txData>
              <cx:f/>
              <cx:v>Sigula exp</cx:v>
            </cx:txData>
          </cx:tx>
          <cx:spPr>
            <a:solidFill>
              <a:srgbClr val="767171"/>
            </a:solidFill>
            <a:ln>
              <a:solidFill>
                <a:srgbClr val="000000"/>
              </a:solidFill>
            </a:ln>
          </cx:spPr>
          <cx:dataId val="39"/>
          <cx:layoutPr>
            <cx:statistics quartileMethod="exclusive"/>
          </cx:layoutPr>
        </cx:series>
        <cx:series layoutId="boxWhisker" uniqueId="{00000012-BEAC-4D79-805D-941ED54CF3F1}" formatIdx="40">
          <cx:tx>
            <cx:txData>
              <cx:f/>
              <cx:v>Roded</cx:v>
            </cx:txData>
          </cx:tx>
          <cx:spPr>
            <a:solidFill>
              <a:srgbClr val="FF7373"/>
            </a:solidFill>
            <a:ln>
              <a:solidFill>
                <a:srgbClr val="BF5656"/>
              </a:solidFill>
            </a:ln>
          </cx:spPr>
          <cx:dataId val="40"/>
          <cx:layoutPr>
            <cx:visibility nonoutliers="0"/>
            <cx:statistics quartileMethod="exclusive"/>
          </cx:layoutPr>
        </cx:series>
        <cx:series layoutId="boxWhisker" uniqueId="{00000013-BEAC-4D79-805D-941ED54CF3F1}" formatIdx="41">
          <cx:tx>
            <cx:txData>
              <cx:f/>
              <cx:v>Roded exp</cx:v>
            </cx:txData>
          </cx:tx>
          <cx:spPr>
            <a:solidFill>
              <a:srgbClr val="767171"/>
            </a:solidFill>
            <a:ln>
              <a:solidFill>
                <a:srgbClr val="000000"/>
              </a:solidFill>
            </a:ln>
          </cx:spPr>
          <cx:dataId val="41"/>
          <cx:layoutPr>
            <cx:visibility nonoutliers="0"/>
            <cx:statistics quartileMethod="exclusive"/>
          </cx:layoutPr>
        </cx:series>
        <cx:series layoutId="boxWhisker" uniqueId="{00000014-BEAC-4D79-805D-941ED54CF3F1}" formatIdx="42">
          <cx:tx>
            <cx:txData>
              <cx:f/>
              <cx:v>Timna</cx:v>
            </cx:txData>
          </cx:tx>
          <cx:spPr>
            <a:solidFill>
              <a:srgbClr val="FF7373"/>
            </a:solidFill>
            <a:ln>
              <a:solidFill>
                <a:srgbClr val="BF5656"/>
              </a:solidFill>
            </a:ln>
          </cx:spPr>
          <cx:dataId val="42"/>
          <cx:layoutPr>
            <cx:visibility nonoutliers="0"/>
            <cx:statistics quartileMethod="exclusive"/>
          </cx:layoutPr>
        </cx:series>
        <cx:series layoutId="boxWhisker" uniqueId="{00000015-BEAC-4D79-805D-941ED54CF3F1}" formatIdx="43">
          <cx:tx>
            <cx:txData>
              <cx:f/>
              <cx:v>Timna exp</cx:v>
            </cx:txData>
          </cx:tx>
          <cx:spPr>
            <a:solidFill>
              <a:srgbClr val="767171"/>
            </a:solidFill>
            <a:ln>
              <a:solidFill>
                <a:srgbClr val="000000"/>
              </a:solidFill>
            </a:ln>
          </cx:spPr>
          <cx:dataId val="43"/>
          <cx:layoutPr>
            <cx:visibility nonoutliers="0"/>
            <cx:statistics quartileMethod="exclusive"/>
          </cx:layoutPr>
        </cx:series>
        <cx:series layoutId="boxWhisker" uniqueId="{00000016-BEAC-4D79-805D-941ED54CF3F1}" formatIdx="44">
          <cx:tx>
            <cx:txData>
              <cx:f/>
              <cx:v>Verde River</cx:v>
            </cx:txData>
          </cx:tx>
          <cx:spPr>
            <a:solidFill>
              <a:srgbClr val="7373FF"/>
            </a:solidFill>
            <a:ln>
              <a:solidFill>
                <a:srgbClr val="5656BF"/>
              </a:solidFill>
            </a:ln>
          </cx:spPr>
          <cx:dataId val="44"/>
          <cx:layoutPr>
            <cx:visibility nonoutliers="0"/>
            <cx:statistics quartileMethod="exclusive"/>
          </cx:layoutPr>
        </cx:series>
        <cx:series layoutId="boxWhisker" uniqueId="{00000017-BEAC-4D79-805D-941ED54CF3F1}" formatIdx="45">
          <cx:tx>
            <cx:txData>
              <cx:f/>
              <cx:v>Verde River exp</cx:v>
            </cx:txData>
          </cx:tx>
          <cx:spPr>
            <a:solidFill>
              <a:srgbClr val="767171"/>
            </a:solidFill>
            <a:ln>
              <a:solidFill>
                <a:srgbClr val="000000"/>
              </a:solidFill>
            </a:ln>
          </cx:spPr>
          <cx:dataId val="45"/>
          <cx:layoutPr>
            <cx:visibility nonoutliers="0"/>
            <cx:statistics quartileMethod="exclusive"/>
          </cx:layoutPr>
        </cx:series>
        <cx:series layoutId="boxWhisker" uniqueId="{00000018-BEAC-4D79-805D-941ED54CF3F1}" formatIdx="46">
          <cx:tx>
            <cx:txData>
              <cx:f/>
              <cx:v>Elk Point</cx:v>
            </cx:txData>
          </cx:tx>
          <cx:spPr>
            <a:solidFill>
              <a:srgbClr val="7373FF"/>
            </a:solidFill>
            <a:ln>
              <a:solidFill>
                <a:srgbClr val="5656BF"/>
              </a:solidFill>
            </a:ln>
          </cx:spPr>
          <cx:dataId val="46"/>
          <cx:layoutPr>
            <cx:visibility nonoutliers="0"/>
            <cx:statistics quartileMethod="exclusive"/>
          </cx:layoutPr>
        </cx:series>
        <cx:series layoutId="boxWhisker" uniqueId="{00000019-BEAC-4D79-805D-941ED54CF3F1}" formatIdx="47">
          <cx:tx>
            <cx:txData>
              <cx:f/>
              <cx:v>Elk Point exp</cx:v>
            </cx:txData>
          </cx:tx>
          <cx:spPr>
            <a:solidFill>
              <a:srgbClr val="767171"/>
            </a:solidFill>
            <a:ln>
              <a:solidFill>
                <a:srgbClr val="000000"/>
              </a:solidFill>
            </a:ln>
          </cx:spPr>
          <cx:dataId val="47"/>
          <cx:layoutPr>
            <cx:statistics quartileMethod="exclusive"/>
          </cx:layoutPr>
        </cx:series>
        <cx:series layoutId="boxWhisker" uniqueId="{00000000-5950-4A44-BF1D-A4BEBCB17FE5}">
          <cx:tx>
            <cx:txData>
              <cx:v>St. Francois Mtns</cx:v>
            </cx:txData>
          </cx:tx>
          <cx:spPr>
            <a:solidFill>
              <a:srgbClr val="FF7373"/>
            </a:solidFill>
            <a:ln>
              <a:solidFill>
                <a:srgbClr val="BF5656"/>
              </a:solidFill>
            </a:ln>
          </cx:spPr>
          <cx:dataId val="48"/>
          <cx:layoutPr>
            <cx:visibility nonoutliers="0"/>
            <cx:statistics quartileMethod="exclusive"/>
          </cx:layoutPr>
        </cx:series>
        <cx:series layoutId="boxWhisker" uniqueId="{00000001-5950-4A44-BF1D-A4BEBCB17FE5}">
          <cx:tx>
            <cx:txData>
              <cx:v>St. Francois Mtns exp</cx:v>
            </cx:txData>
          </cx:tx>
          <cx:spPr>
            <a:solidFill>
              <a:srgbClr val="767171"/>
            </a:solidFill>
            <a:ln>
              <a:solidFill>
                <a:srgbClr val="000000"/>
              </a:solidFill>
            </a:ln>
          </cx:spPr>
          <cx:dataId val="49"/>
          <cx:layoutPr>
            <cx:visibility nonoutliers="0"/>
            <cx:statistics quartileMethod="exclusive"/>
          </cx:layoutPr>
        </cx:series>
        <cx:series layoutId="boxWhisker" uniqueId="{00000002-5950-4A44-BF1D-A4BEBCB17FE5}">
          <cx:tx>
            <cx:txData>
              <cx:v>Dunn Point</cx:v>
            </cx:txData>
          </cx:tx>
          <cx:spPr>
            <a:solidFill>
              <a:srgbClr val="7373FF"/>
            </a:solidFill>
            <a:ln>
              <a:solidFill>
                <a:srgbClr val="5656BF"/>
              </a:solidFill>
            </a:ln>
          </cx:spPr>
          <cx:dataId val="50"/>
          <cx:layoutPr>
            <cx:visibility nonoutliers="0"/>
            <cx:statistics quartileMethod="exclusive"/>
          </cx:layoutPr>
        </cx:series>
        <cx:series layoutId="boxWhisker" uniqueId="{00000003-5950-4A44-BF1D-A4BEBCB17FE5}">
          <cx:tx>
            <cx:txData>
              <cx:v>Dunn Point exp</cx:v>
            </cx:txData>
          </cx:tx>
          <cx:spPr>
            <a:solidFill>
              <a:srgbClr val="767171"/>
            </a:solidFill>
            <a:ln>
              <a:solidFill>
                <a:srgbClr val="000000"/>
              </a:solidFill>
            </a:ln>
          </cx:spPr>
          <cx:dataId val="51"/>
          <cx:layoutPr>
            <cx:visibility nonoutliers="0"/>
            <cx:statistics quartileMethod="exclusive"/>
          </cx:layoutPr>
        </cx:series>
        <cx:series layoutId="boxWhisker" uniqueId="{00000004-5950-4A44-BF1D-A4BEBCB17FE5}">
          <cx:tx>
            <cx:txData>
              <cx:v>Boulder Creek</cx:v>
            </cx:txData>
          </cx:tx>
          <cx:spPr>
            <a:solidFill>
              <a:srgbClr val="FF7373"/>
            </a:solidFill>
            <a:ln>
              <a:solidFill>
                <a:srgbClr val="BF5656"/>
              </a:solidFill>
            </a:ln>
          </cx:spPr>
          <cx:dataId val="52"/>
          <cx:layoutPr>
            <cx:visibility nonoutliers="0"/>
            <cx:statistics quartileMethod="exclusive"/>
          </cx:layoutPr>
        </cx:series>
        <cx:series layoutId="boxWhisker" uniqueId="{00000005-5950-4A44-BF1D-A4BEBCB17FE5}">
          <cx:tx>
            <cx:txData>
              <cx:v>Boulder Creek exp</cx:v>
            </cx:txData>
          </cx:tx>
          <cx:spPr>
            <a:solidFill>
              <a:srgbClr val="767171"/>
            </a:solidFill>
            <a:ln>
              <a:solidFill>
                <a:srgbClr val="000000"/>
              </a:solidFill>
            </a:ln>
          </cx:spPr>
          <cx:dataId val="53"/>
          <cx:layoutPr>
            <cx:visibility nonoutliers="0"/>
            <cx:statistics quartileMethod="exclusive"/>
          </cx:layoutPr>
        </cx:series>
        <cx:series layoutId="boxWhisker" uniqueId="{00000006-5950-4A44-BF1D-A4BEBCB17FE5}">
          <cx:tx>
            <cx:txData>
              <cx:v>Ischigualasto</cx:v>
            </cx:txData>
          </cx:tx>
          <cx:spPr>
            <a:solidFill>
              <a:srgbClr val="7373FF"/>
            </a:solidFill>
            <a:ln>
              <a:solidFill>
                <a:srgbClr val="5656BF"/>
              </a:solidFill>
            </a:ln>
          </cx:spPr>
          <cx:dataId val="54"/>
          <cx:layoutPr>
            <cx:visibility nonoutliers="0"/>
            <cx:statistics quartileMethod="exclusive"/>
          </cx:layoutPr>
        </cx:series>
        <cx:series layoutId="boxWhisker" uniqueId="{00000007-5950-4A44-BF1D-A4BEBCB17FE5}">
          <cx:tx>
            <cx:txData>
              <cx:v>Ischigualasto exp</cx:v>
            </cx:txData>
          </cx:tx>
          <cx:spPr>
            <a:solidFill>
              <a:srgbClr val="767171"/>
            </a:solidFill>
            <a:ln>
              <a:solidFill>
                <a:srgbClr val="000000"/>
              </a:solidFill>
            </a:ln>
          </cx:spPr>
          <cx:dataId val="55"/>
          <cx:layoutPr>
            <cx:visibility nonoutliers="0"/>
            <cx:statistics quartileMethod="exclusive"/>
          </cx:layoutPr>
        </cx:series>
        <cx:series layoutId="boxWhisker" uniqueId="{00000008-5950-4A44-BF1D-A4BEBCB17FE5}">
          <cx:tx>
            <cx:txData>
              <cx:v>Bidar</cx:v>
            </cx:txData>
          </cx:tx>
          <cx:spPr>
            <a:solidFill>
              <a:srgbClr val="7373FF"/>
            </a:solidFill>
            <a:ln>
              <a:solidFill>
                <a:srgbClr val="5656BF"/>
              </a:solidFill>
            </a:ln>
          </cx:spPr>
          <cx:dataId val="56"/>
          <cx:layoutPr>
            <cx:visibility nonoutliers="0"/>
            <cx:statistics quartileMethod="exclusive"/>
          </cx:layoutPr>
        </cx:series>
        <cx:series layoutId="boxWhisker" uniqueId="{00000009-5950-4A44-BF1D-A4BEBCB17FE5}">
          <cx:tx>
            <cx:txData>
              <cx:v>Bidar exp</cx:v>
            </cx:txData>
          </cx:tx>
          <cx:spPr>
            <a:solidFill>
              <a:srgbClr val="767171"/>
            </a:solidFill>
            <a:ln>
              <a:solidFill>
                <a:srgbClr val="000000"/>
              </a:solidFill>
            </a:ln>
          </cx:spPr>
          <cx:dataId val="57"/>
          <cx:layoutPr>
            <cx:visibility nonoutliers="0"/>
            <cx:statistics quartileMethod="exclusive"/>
          </cx:layoutPr>
        </cx:series>
        <cx:series layoutId="boxWhisker" uniqueId="{0000000A-5950-4A44-BF1D-A4BEBCB17FE5}">
          <cx:tx>
            <cx:txData>
              <cx:v>Picture Gorge</cx:v>
            </cx:txData>
          </cx:tx>
          <cx:spPr>
            <a:solidFill>
              <a:srgbClr val="7373FF"/>
            </a:solidFill>
            <a:ln>
              <a:solidFill>
                <a:srgbClr val="5656BF"/>
              </a:solidFill>
            </a:ln>
          </cx:spPr>
          <cx:dataId val="58"/>
          <cx:layoutPr>
            <cx:visibility nonoutliers="0"/>
            <cx:statistics quartileMethod="exclusive"/>
          </cx:layoutPr>
        </cx:series>
        <cx:series layoutId="boxWhisker" uniqueId="{0000000B-5950-4A44-BF1D-A4BEBCB17FE5}">
          <cx:tx>
            <cx:txData>
              <cx:v>Picture Gorge exp</cx:v>
            </cx:txData>
          </cx:tx>
          <cx:spPr>
            <a:solidFill>
              <a:srgbClr val="767171"/>
            </a:solidFill>
            <a:ln>
              <a:solidFill>
                <a:srgbClr val="000000"/>
              </a:solidFill>
            </a:ln>
          </cx:spPr>
          <cx:dataId val="59"/>
          <cx:layoutPr>
            <cx:visibility nonoutliers="0"/>
            <cx:statistics quartileMethod="exclusive"/>
          </cx:layoutPr>
        </cx:series>
        <cx:series layoutId="boxWhisker" uniqueId="{0000000C-5950-4A44-BF1D-A4BEBCB17FE5}">
          <cx:tx>
            <cx:txData>
              <cx:v>Lower Rice Creek</cx:v>
            </cx:txData>
          </cx:tx>
          <cx:spPr>
            <a:solidFill>
              <a:srgbClr val="7373FF"/>
            </a:solidFill>
            <a:ln>
              <a:solidFill>
                <a:srgbClr val="5656BF"/>
              </a:solidFill>
            </a:ln>
          </cx:spPr>
          <cx:dataId val="60"/>
          <cx:layoutPr>
            <cx:visibility nonoutliers="0"/>
            <cx:statistics quartileMethod="exclusive"/>
          </cx:layoutPr>
        </cx:series>
        <cx:series layoutId="boxWhisker" uniqueId="{0000000D-5950-4A44-BF1D-A4BEBCB17FE5}">
          <cx:tx>
            <cx:txData>
              <cx:v>Lower Rice Creek exp</cx:v>
            </cx:txData>
          </cx:tx>
          <cx:spPr>
            <a:solidFill>
              <a:srgbClr val="767171"/>
            </a:solidFill>
            <a:ln>
              <a:solidFill>
                <a:srgbClr val="000000"/>
              </a:solidFill>
            </a:ln>
          </cx:spPr>
          <cx:dataId val="61"/>
          <cx:layoutPr>
            <cx:visibility nonoutliers="0"/>
            <cx:statistics quartileMethod="exclusive"/>
          </cx:layoutPr>
        </cx:series>
        <cx:series layoutId="boxWhisker" uniqueId="{0000000E-5950-4A44-BF1D-A4BEBCB17FE5}">
          <cx:tx>
            <cx:txData>
              <cx:v>Lawyer Canyon</cx:v>
            </cx:txData>
          </cx:tx>
          <cx:spPr>
            <a:solidFill>
              <a:srgbClr val="7373FF"/>
            </a:solidFill>
            <a:ln>
              <a:solidFill>
                <a:srgbClr val="5656BF"/>
              </a:solidFill>
            </a:ln>
          </cx:spPr>
          <cx:dataId val="62"/>
          <cx:layoutPr>
            <cx:visibility nonoutliers="0"/>
            <cx:statistics quartileMethod="exclusive"/>
          </cx:layoutPr>
        </cx:series>
        <cx:series layoutId="boxWhisker" uniqueId="{0000000F-5950-4A44-BF1D-A4BEBCB17FE5}">
          <cx:tx>
            <cx:txData>
              <cx:v>Lawyer Canyon exp</cx:v>
            </cx:txData>
          </cx:tx>
          <cx:spPr>
            <a:solidFill>
              <a:srgbClr val="767171"/>
            </a:solidFill>
            <a:ln>
              <a:solidFill>
                <a:srgbClr val="000000"/>
              </a:solidFill>
            </a:ln>
          </cx:spPr>
          <cx:dataId val="63"/>
          <cx:layoutPr>
            <cx:visibility nonoutliers="0"/>
            <cx:statistics quartileMethod="exclusive"/>
          </cx:layoutPr>
        </cx:series>
        <cx:series layoutId="boxWhisker" uniqueId="{00000010-5950-4A44-BF1D-A4BEBCB17FE5}">
          <cx:tx>
            <cx:txData>
              <cx:v>Upper Shumaker</cx:v>
            </cx:txData>
          </cx:tx>
          <cx:spPr>
            <a:solidFill>
              <a:srgbClr val="7373FF"/>
            </a:solidFill>
            <a:ln>
              <a:solidFill>
                <a:srgbClr val="5656BF"/>
              </a:solidFill>
            </a:ln>
          </cx:spPr>
          <cx:dataId val="64"/>
          <cx:layoutPr>
            <cx:visibility nonoutliers="0"/>
            <cx:statistics quartileMethod="exclusive"/>
          </cx:layoutPr>
        </cx:series>
        <cx:series layoutId="boxWhisker" uniqueId="{00000011-5950-4A44-BF1D-A4BEBCB17FE5}">
          <cx:tx>
            <cx:txData>
              <cx:v>Upper Shumaker exp</cx:v>
            </cx:txData>
          </cx:tx>
          <cx:spPr>
            <a:solidFill>
              <a:srgbClr val="767171"/>
            </a:solidFill>
            <a:ln>
              <a:solidFill>
                <a:srgbClr val="000000"/>
              </a:solidFill>
            </a:ln>
          </cx:spPr>
          <cx:dataId val="65"/>
          <cx:layoutPr>
            <cx:visibility nonoutliers="0"/>
            <cx:statistics quartileMethod="exclusive"/>
          </cx:layoutPr>
        </cx:series>
        <cx:series layoutId="boxWhisker" uniqueId="{00000012-5950-4A44-BF1D-A4BEBCB17FE5}">
          <cx:tx>
            <cx:txData>
              <cx:v>Hawaii total</cx:v>
            </cx:txData>
          </cx:tx>
          <cx:spPr>
            <a:solidFill>
              <a:srgbClr val="7373FF"/>
            </a:solidFill>
            <a:ln>
              <a:solidFill>
                <a:srgbClr val="5656BF"/>
              </a:solidFill>
            </a:ln>
          </cx:spPr>
          <cx:dataId val="66"/>
          <cx:layoutPr>
            <cx:visibility nonoutliers="0"/>
            <cx:statistics quartileMethod="exclusive"/>
          </cx:layoutPr>
        </cx:series>
        <cx:series layoutId="boxWhisker" uniqueId="{00000013-5950-4A44-BF1D-A4BEBCB17FE5}">
          <cx:tx>
            <cx:txData>
              <cx:v>Hawaii &lt; 1400 mm</cx:v>
            </cx:txData>
          </cx:tx>
          <cx:spPr>
            <a:solidFill>
              <a:srgbClr val="7373FF"/>
            </a:solidFill>
            <a:ln>
              <a:solidFill>
                <a:srgbClr val="5656BF"/>
              </a:solidFill>
            </a:ln>
          </cx:spPr>
          <cx:dataId val="67"/>
          <cx:layoutPr>
            <cx:visibility nonoutliers="0"/>
            <cx:statistics quartileMethod="exclusive"/>
          </cx:layoutPr>
        </cx:series>
      </cx:plotAreaRegion>
      <cx:axis id="0" hidden="1">
        <cx:catScaling gapWidth="1"/>
        <cx:tickLabels/>
      </cx:axis>
      <cx:axis id="1">
        <cx:valScaling max="4.5" min="-1"/>
        <cx:title>
          <cx:tx>
            <cx:rich>
              <a:bodyPr spcFirstLastPara="1" vertOverflow="ellipsis" horzOverflow="overflow" wrap="square" lIns="0" tIns="0" rIns="0" bIns="0" anchor="ctr" anchorCtr="1"/>
              <a:lstStyle/>
              <a:p>
                <a:pPr rtl="0"/>
                <a:r>
                  <a:rPr lang="el-GR" sz="1200" b="0" i="0" baseline="0">
                    <a:effectLst/>
                    <a:latin typeface="Arial" panose="020B0604020202020204" pitchFamily="34" charset="0"/>
                    <a:cs typeface="Arial" panose="020B0604020202020204" pitchFamily="34" charset="0"/>
                  </a:rPr>
                  <a:t>Δ</a:t>
                </a:r>
                <a:r>
                  <a:rPr lang="en-US" sz="1200" b="0" i="0" baseline="0">
                    <a:effectLst/>
                    <a:latin typeface="Arial" panose="020B0604020202020204" pitchFamily="34" charset="0"/>
                    <a:cs typeface="Arial" panose="020B0604020202020204" pitchFamily="34" charset="0"/>
                  </a:rPr>
                  <a:t>Al/Ti</a:t>
                </a:r>
                <a:endParaRPr lang="en-US" sz="1200">
                  <a:effectLst/>
                  <a:latin typeface="Arial" panose="020B0604020202020204" pitchFamily="34" charset="0"/>
                  <a:cs typeface="Arial" panose="020B0604020202020204" pitchFamily="34" charset="0"/>
                </a:endParaRPr>
              </a:p>
            </cx:rich>
          </cx:tx>
        </cx:title>
        <cx:majorGridlines>
          <cx:spPr>
            <a:ln w="6350">
              <a:solidFill>
                <a:schemeClr val="bg2">
                  <a:lumMod val="75000"/>
                </a:schemeClr>
              </a:solidFill>
              <a:prstDash val="solid"/>
            </a:ln>
          </cx:spPr>
        </cx:majorGridlines>
        <cx:tickLabels/>
        <cx:txPr>
          <a:bodyPr spcFirstLastPara="1" vertOverflow="ellipsis" horzOverflow="overflow" wrap="square" lIns="0" tIns="0" rIns="0" bIns="0" anchor="ctr" anchorCtr="1"/>
          <a:lstStyle/>
          <a:p>
            <a:pPr algn="ctr" rtl="0">
              <a:defRPr sz="1000">
                <a:latin typeface="Arial" panose="020B0604020202020204" pitchFamily="34" charset="0"/>
                <a:ea typeface="Arial" panose="020B0604020202020204" pitchFamily="34" charset="0"/>
                <a:cs typeface="Arial" panose="020B0604020202020204" pitchFamily="34" charset="0"/>
              </a:defRPr>
            </a:pPr>
            <a:endParaRPr lang="en-US" sz="1000" b="0" i="0" u="none" strike="noStrike" baseline="0">
              <a:solidFill>
                <a:sysClr val="windowText" lastClr="000000">
                  <a:lumMod val="65000"/>
                  <a:lumOff val="35000"/>
                </a:sysClr>
              </a:solidFill>
              <a:latin typeface="Arial" panose="020B0604020202020204" pitchFamily="34" charset="0"/>
              <a:cs typeface="Arial" panose="020B0604020202020204" pitchFamily="34" charset="0"/>
            </a:endParaRPr>
          </a:p>
        </cx:txPr>
      </cx:axis>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_xlchart.v1.68</cx:f>
      </cx:numDim>
    </cx:data>
    <cx:data id="1">
      <cx:numDim type="val">
        <cx:f>_xlchart.v1.69</cx:f>
      </cx:numDim>
    </cx:data>
    <cx:data id="2">
      <cx:numDim type="val">
        <cx:f>_xlchart.v1.70</cx:f>
      </cx:numDim>
    </cx:data>
  </cx:chartData>
  <cx:chart>
    <cx:title pos="t" align="ctr" overlay="0">
      <cx:tx>
        <cx:txData>
          <cx:v>Hawaii</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Hawaii</a:t>
          </a:r>
        </a:p>
      </cx:txPr>
    </cx:title>
    <cx:plotArea>
      <cx:plotAreaRegion>
        <cx:series layoutId="boxWhisker" uniqueId="{00000000-9173-4E77-BAF2-F07DB9B7376E}" formatIdx="0">
          <cx:tx>
            <cx:txData>
              <cx:f/>
              <cx:v>Total</cx:v>
            </cx:txData>
          </cx:tx>
          <cx:dataId val="0"/>
          <cx:layoutPr>
            <cx:visibility nonoutliers="0"/>
            <cx:statistics quartileMethod="exclusive"/>
          </cx:layoutPr>
        </cx:series>
        <cx:series layoutId="boxWhisker" uniqueId="{00000000-65DF-4408-B2A3-19E02FE02E18}" formatIdx="1">
          <cx:tx>
            <cx:txData>
              <cx:f/>
              <cx:v>&lt; 1400 mm</cx:v>
            </cx:txData>
          </cx:tx>
          <cx:dataId val="1"/>
          <cx:layoutPr>
            <cx:visibility nonoutliers="0"/>
            <cx:statistics quartileMethod="exclusive"/>
          </cx:layoutPr>
        </cx:series>
        <cx:series layoutId="boxWhisker" uniqueId="{00000001-65DF-4408-B2A3-19E02FE02E18}" formatIdx="2">
          <cx:tx>
            <cx:txData>
              <cx:f/>
              <cx:v>&gt; 1400 mm</cx:v>
            </cx:txData>
          </cx:tx>
          <cx:dataId val="2"/>
          <cx:layoutPr>
            <cx:visibility nonoutliers="1"/>
            <cx:statistics quartileMethod="exclusive"/>
          </cx:layoutPr>
        </cx:series>
      </cx:plotAreaRegion>
      <cx:axis id="0" hidden="1">
        <cx:catScaling/>
        <cx:tickLabels/>
      </cx:axis>
      <cx:axis id="1">
        <cx:valScaling min="-1"/>
        <cx:tickLabels/>
      </cx:axis>
    </cx:plotArea>
    <cx:legend pos="r" align="ctr"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microsoft.com/office/2014/relationships/chartEx" Target="../charts/chartEx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5.xml"/><Relationship Id="rId7" Type="http://schemas.openxmlformats.org/officeDocument/2006/relationships/chart" Target="../charts/chart59.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chart" Target="../charts/chart5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5" Type="http://schemas.openxmlformats.org/officeDocument/2006/relationships/chart" Target="../charts/chart64.xml"/><Relationship Id="rId4" Type="http://schemas.openxmlformats.org/officeDocument/2006/relationships/chart" Target="../charts/chart6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24.xml.rels><?xml version="1.0" encoding="UTF-8" standalone="yes"?>
<Relationships xmlns="http://schemas.openxmlformats.org/package/2006/relationships"><Relationship Id="rId1" Type="http://schemas.microsoft.com/office/2014/relationships/chartEx" Target="../charts/chartEx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3" Type="http://schemas.openxmlformats.org/officeDocument/2006/relationships/chart" Target="../charts/chart5.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 Type="http://schemas.openxmlformats.org/officeDocument/2006/relationships/chart" Target="../charts/chart4.xml"/><Relationship Id="rId16" Type="http://schemas.openxmlformats.org/officeDocument/2006/relationships/chart" Target="../charts/chart18.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5" Type="http://schemas.openxmlformats.org/officeDocument/2006/relationships/chart" Target="../charts/chart1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drawing1.xml><?xml version="1.0" encoding="utf-8"?>
<xdr:wsDr xmlns:xdr="http://schemas.openxmlformats.org/drawingml/2006/spreadsheetDrawing" xmlns:a="http://schemas.openxmlformats.org/drawingml/2006/main">
  <xdr:twoCellAnchor>
    <xdr:from>
      <xdr:col>0</xdr:col>
      <xdr:colOff>0</xdr:colOff>
      <xdr:row>23</xdr:row>
      <xdr:rowOff>167821</xdr:rowOff>
    </xdr:from>
    <xdr:to>
      <xdr:col>18</xdr:col>
      <xdr:colOff>607785</xdr:colOff>
      <xdr:row>59</xdr:row>
      <xdr:rowOff>31295</xdr:rowOff>
    </xdr:to>
    <mc:AlternateContent xmlns:mc="http://schemas.openxmlformats.org/markup-compatibility/2006">
      <mc:Choice xmlns:cx1="http://schemas.microsoft.com/office/drawing/2015/9/8/chartex" xmlns="" Requires="cx1">
        <xdr:graphicFrame macro="">
          <xdr:nvGraphicFramePr>
            <xdr:cNvPr id="2" name="Chart 1">
              <a:extLst>
                <a:ext uri="{FF2B5EF4-FFF2-40B4-BE49-F238E27FC236}">
                  <a16:creationId xmlns:a16="http://schemas.microsoft.com/office/drawing/2014/main" id="{50D51AA1-15A5-4EFF-BF7C-68D5035F606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2" name="Rectangle 1"/>
            <xdr:cNvSpPr>
              <a:spLocks noTextEdit="1"/>
            </xdr:cNvSpPr>
          </xdr:nvSpPr>
          <xdr:spPr>
            <a:xfrm>
              <a:off x="0" y="4476296"/>
              <a:ext cx="11580585" cy="6607174"/>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57</xdr:row>
      <xdr:rowOff>0</xdr:rowOff>
    </xdr:from>
    <xdr:to>
      <xdr:col>6</xdr:col>
      <xdr:colOff>480836</xdr:colOff>
      <xdr:row>71</xdr:row>
      <xdr:rowOff>178947</xdr:rowOff>
    </xdr:to>
    <xdr:graphicFrame macro="">
      <xdr:nvGraphicFramePr>
        <xdr:cNvPr id="2" name="Chart 1">
          <a:extLst>
            <a:ext uri="{FF2B5EF4-FFF2-40B4-BE49-F238E27FC236}">
              <a16:creationId xmlns:a16="http://schemas.microsoft.com/office/drawing/2014/main" xmlns="" id="{ED163969-5901-481F-9EF7-3795B0A30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76729</xdr:colOff>
      <xdr:row>57</xdr:row>
      <xdr:rowOff>0</xdr:rowOff>
    </xdr:from>
    <xdr:to>
      <xdr:col>14</xdr:col>
      <xdr:colOff>412398</xdr:colOff>
      <xdr:row>71</xdr:row>
      <xdr:rowOff>178947</xdr:rowOff>
    </xdr:to>
    <xdr:graphicFrame macro="">
      <xdr:nvGraphicFramePr>
        <xdr:cNvPr id="3" name="Chart 2">
          <a:extLst>
            <a:ext uri="{FF2B5EF4-FFF2-40B4-BE49-F238E27FC236}">
              <a16:creationId xmlns:a16="http://schemas.microsoft.com/office/drawing/2014/main" xmlns="" id="{8BBB8937-0CB6-47E9-B59A-798A2383CC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57</xdr:row>
      <xdr:rowOff>0</xdr:rowOff>
    </xdr:from>
    <xdr:to>
      <xdr:col>22</xdr:col>
      <xdr:colOff>340229</xdr:colOff>
      <xdr:row>71</xdr:row>
      <xdr:rowOff>178947</xdr:rowOff>
    </xdr:to>
    <xdr:graphicFrame macro="">
      <xdr:nvGraphicFramePr>
        <xdr:cNvPr id="4" name="Chart 3">
          <a:extLst>
            <a:ext uri="{FF2B5EF4-FFF2-40B4-BE49-F238E27FC236}">
              <a16:creationId xmlns:a16="http://schemas.microsoft.com/office/drawing/2014/main" xmlns="" id="{19BB1074-44BE-43F6-9CA1-D754FA3DC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86708</xdr:colOff>
      <xdr:row>12</xdr:row>
      <xdr:rowOff>0</xdr:rowOff>
    </xdr:from>
    <xdr:to>
      <xdr:col>14</xdr:col>
      <xdr:colOff>409677</xdr:colOff>
      <xdr:row>26</xdr:row>
      <xdr:rowOff>159897</xdr:rowOff>
    </xdr:to>
    <xdr:graphicFrame macro="">
      <xdr:nvGraphicFramePr>
        <xdr:cNvPr id="3" name="Chart 2">
          <a:extLst>
            <a:ext uri="{FF2B5EF4-FFF2-40B4-BE49-F238E27FC236}">
              <a16:creationId xmlns:a16="http://schemas.microsoft.com/office/drawing/2014/main" xmlns="" id="{1D1A475A-68B0-4A0A-8031-7FF1704128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10</xdr:row>
      <xdr:rowOff>0</xdr:rowOff>
    </xdr:from>
    <xdr:to>
      <xdr:col>5</xdr:col>
      <xdr:colOff>79879</xdr:colOff>
      <xdr:row>24</xdr:row>
      <xdr:rowOff>159897</xdr:rowOff>
    </xdr:to>
    <xdr:graphicFrame macro="">
      <xdr:nvGraphicFramePr>
        <xdr:cNvPr id="2" name="Chart 1">
          <a:extLst>
            <a:ext uri="{FF2B5EF4-FFF2-40B4-BE49-F238E27FC236}">
              <a16:creationId xmlns:a16="http://schemas.microsoft.com/office/drawing/2014/main" xmlns="" id="{1FA6FC74-E248-4DC1-90AA-975F45A092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283558</xdr:colOff>
      <xdr:row>10</xdr:row>
      <xdr:rowOff>0</xdr:rowOff>
    </xdr:from>
    <xdr:to>
      <xdr:col>12</xdr:col>
      <xdr:colOff>606527</xdr:colOff>
      <xdr:row>24</xdr:row>
      <xdr:rowOff>159897</xdr:rowOff>
    </xdr:to>
    <xdr:graphicFrame macro="">
      <xdr:nvGraphicFramePr>
        <xdr:cNvPr id="3" name="Chart 2">
          <a:extLst>
            <a:ext uri="{FF2B5EF4-FFF2-40B4-BE49-F238E27FC236}">
              <a16:creationId xmlns:a16="http://schemas.microsoft.com/office/drawing/2014/main" xmlns="" id="{D8D6E61D-3C75-4408-AB54-3C85D87E08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10</xdr:row>
      <xdr:rowOff>0</xdr:rowOff>
    </xdr:from>
    <xdr:to>
      <xdr:col>20</xdr:col>
      <xdr:colOff>338415</xdr:colOff>
      <xdr:row>24</xdr:row>
      <xdr:rowOff>159897</xdr:rowOff>
    </xdr:to>
    <xdr:graphicFrame macro="">
      <xdr:nvGraphicFramePr>
        <xdr:cNvPr id="4" name="Chart 3">
          <a:extLst>
            <a:ext uri="{FF2B5EF4-FFF2-40B4-BE49-F238E27FC236}">
              <a16:creationId xmlns:a16="http://schemas.microsoft.com/office/drawing/2014/main" xmlns="" id="{505B6B50-BE3B-4B09-A6ED-8DB8553627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333375</xdr:colOff>
      <xdr:row>13</xdr:row>
      <xdr:rowOff>117475</xdr:rowOff>
    </xdr:from>
    <xdr:to>
      <xdr:col>12</xdr:col>
      <xdr:colOff>50801</xdr:colOff>
      <xdr:row>28</xdr:row>
      <xdr:rowOff>110067</xdr:rowOff>
    </xdr:to>
    <xdr:graphicFrame macro="">
      <xdr:nvGraphicFramePr>
        <xdr:cNvPr id="2" name="Chart 1">
          <a:extLst>
            <a:ext uri="{FF2B5EF4-FFF2-40B4-BE49-F238E27FC236}">
              <a16:creationId xmlns:a16="http://schemas.microsoft.com/office/drawing/2014/main" xmlns="" id="{3345EB98-65CD-477B-80BF-9F477BDC5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11</xdr:row>
      <xdr:rowOff>0</xdr:rowOff>
    </xdr:from>
    <xdr:to>
      <xdr:col>6</xdr:col>
      <xdr:colOff>406401</xdr:colOff>
      <xdr:row>26</xdr:row>
      <xdr:rowOff>40217</xdr:rowOff>
    </xdr:to>
    <xdr:graphicFrame macro="">
      <xdr:nvGraphicFramePr>
        <xdr:cNvPr id="2" name="Chart 1">
          <a:extLst>
            <a:ext uri="{FF2B5EF4-FFF2-40B4-BE49-F238E27FC236}">
              <a16:creationId xmlns:a16="http://schemas.microsoft.com/office/drawing/2014/main" xmlns="" id="{8DF057E0-01A8-432E-ACFE-567DF4312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11</xdr:row>
      <xdr:rowOff>0</xdr:rowOff>
    </xdr:from>
    <xdr:to>
      <xdr:col>14</xdr:col>
      <xdr:colOff>327026</xdr:colOff>
      <xdr:row>26</xdr:row>
      <xdr:rowOff>40217</xdr:rowOff>
    </xdr:to>
    <xdr:graphicFrame macro="">
      <xdr:nvGraphicFramePr>
        <xdr:cNvPr id="3" name="Chart 2">
          <a:extLst>
            <a:ext uri="{FF2B5EF4-FFF2-40B4-BE49-F238E27FC236}">
              <a16:creationId xmlns:a16="http://schemas.microsoft.com/office/drawing/2014/main" xmlns="" id="{2794A35A-6A8D-4D01-90EE-B4EA2E0C34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11</xdr:row>
      <xdr:rowOff>0</xdr:rowOff>
    </xdr:from>
    <xdr:to>
      <xdr:col>21</xdr:col>
      <xdr:colOff>517526</xdr:colOff>
      <xdr:row>26</xdr:row>
      <xdr:rowOff>40217</xdr:rowOff>
    </xdr:to>
    <xdr:graphicFrame macro="">
      <xdr:nvGraphicFramePr>
        <xdr:cNvPr id="4" name="Chart 3">
          <a:extLst>
            <a:ext uri="{FF2B5EF4-FFF2-40B4-BE49-F238E27FC236}">
              <a16:creationId xmlns:a16="http://schemas.microsoft.com/office/drawing/2014/main" xmlns="" id="{060D160F-DA0B-46C9-B906-F2718F871B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9</xdr:row>
      <xdr:rowOff>0</xdr:rowOff>
    </xdr:from>
    <xdr:to>
      <xdr:col>6</xdr:col>
      <xdr:colOff>227807</xdr:colOff>
      <xdr:row>24</xdr:row>
      <xdr:rowOff>40217</xdr:rowOff>
    </xdr:to>
    <xdr:graphicFrame macro="">
      <xdr:nvGraphicFramePr>
        <xdr:cNvPr id="2" name="Chart 1">
          <a:extLst>
            <a:ext uri="{FF2B5EF4-FFF2-40B4-BE49-F238E27FC236}">
              <a16:creationId xmlns:a16="http://schemas.microsoft.com/office/drawing/2014/main" xmlns="" id="{7C437B1A-A228-4A9D-92F2-921716FB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9</xdr:row>
      <xdr:rowOff>0</xdr:rowOff>
    </xdr:from>
    <xdr:to>
      <xdr:col>14</xdr:col>
      <xdr:colOff>327025</xdr:colOff>
      <xdr:row>24</xdr:row>
      <xdr:rowOff>40217</xdr:rowOff>
    </xdr:to>
    <xdr:graphicFrame macro="">
      <xdr:nvGraphicFramePr>
        <xdr:cNvPr id="3" name="Chart 2">
          <a:extLst>
            <a:ext uri="{FF2B5EF4-FFF2-40B4-BE49-F238E27FC236}">
              <a16:creationId xmlns:a16="http://schemas.microsoft.com/office/drawing/2014/main" xmlns="" id="{6B2F98CC-D2DC-44D7-9CC8-5C97541AC2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9</xdr:row>
      <xdr:rowOff>0</xdr:rowOff>
    </xdr:from>
    <xdr:to>
      <xdr:col>21</xdr:col>
      <xdr:colOff>394494</xdr:colOff>
      <xdr:row>24</xdr:row>
      <xdr:rowOff>40217</xdr:rowOff>
    </xdr:to>
    <xdr:graphicFrame macro="">
      <xdr:nvGraphicFramePr>
        <xdr:cNvPr id="4" name="Chart 3">
          <a:extLst>
            <a:ext uri="{FF2B5EF4-FFF2-40B4-BE49-F238E27FC236}">
              <a16:creationId xmlns:a16="http://schemas.microsoft.com/office/drawing/2014/main" xmlns="" id="{C3BDCF6D-7AFB-4FE0-B9EB-4FF9D52898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400050</xdr:colOff>
      <xdr:row>52</xdr:row>
      <xdr:rowOff>60325</xdr:rowOff>
    </xdr:from>
    <xdr:to>
      <xdr:col>7</xdr:col>
      <xdr:colOff>428626</xdr:colOff>
      <xdr:row>67</xdr:row>
      <xdr:rowOff>8467</xdr:rowOff>
    </xdr:to>
    <xdr:graphicFrame macro="">
      <xdr:nvGraphicFramePr>
        <xdr:cNvPr id="2" name="Chart 1">
          <a:extLst>
            <a:ext uri="{FF2B5EF4-FFF2-40B4-BE49-F238E27FC236}">
              <a16:creationId xmlns:a16="http://schemas.microsoft.com/office/drawing/2014/main" xmlns="" id="{F73E4F24-70CB-44FD-AB7C-05CFB189E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52</xdr:row>
      <xdr:rowOff>0</xdr:rowOff>
    </xdr:from>
    <xdr:to>
      <xdr:col>15</xdr:col>
      <xdr:colOff>327026</xdr:colOff>
      <xdr:row>66</xdr:row>
      <xdr:rowOff>135467</xdr:rowOff>
    </xdr:to>
    <xdr:graphicFrame macro="">
      <xdr:nvGraphicFramePr>
        <xdr:cNvPr id="3" name="Chart 2">
          <a:extLst>
            <a:ext uri="{FF2B5EF4-FFF2-40B4-BE49-F238E27FC236}">
              <a16:creationId xmlns:a16="http://schemas.microsoft.com/office/drawing/2014/main" xmlns="" id="{283BBB49-8AF7-4534-8F2C-5AD63DE3D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52</xdr:row>
      <xdr:rowOff>0</xdr:rowOff>
    </xdr:from>
    <xdr:to>
      <xdr:col>23</xdr:col>
      <xdr:colOff>235857</xdr:colOff>
      <xdr:row>79</xdr:row>
      <xdr:rowOff>0</xdr:rowOff>
    </xdr:to>
    <xdr:graphicFrame macro="">
      <xdr:nvGraphicFramePr>
        <xdr:cNvPr id="4" name="Chart 3">
          <a:extLst>
            <a:ext uri="{FF2B5EF4-FFF2-40B4-BE49-F238E27FC236}">
              <a16:creationId xmlns:a16="http://schemas.microsoft.com/office/drawing/2014/main" xmlns="" id="{CF2350AD-72A0-46D4-8C60-6901736815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145143</xdr:colOff>
      <xdr:row>52</xdr:row>
      <xdr:rowOff>0</xdr:rowOff>
    </xdr:from>
    <xdr:to>
      <xdr:col>27</xdr:col>
      <xdr:colOff>152400</xdr:colOff>
      <xdr:row>79</xdr:row>
      <xdr:rowOff>0</xdr:rowOff>
    </xdr:to>
    <xdr:graphicFrame macro="">
      <xdr:nvGraphicFramePr>
        <xdr:cNvPr id="5" name="Chart 4">
          <a:extLst>
            <a:ext uri="{FF2B5EF4-FFF2-40B4-BE49-F238E27FC236}">
              <a16:creationId xmlns:a16="http://schemas.microsoft.com/office/drawing/2014/main" xmlns="" id="{14C25BB1-5D7B-41C5-9A0D-8D1256A3B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68</xdr:row>
      <xdr:rowOff>0</xdr:rowOff>
    </xdr:from>
    <xdr:to>
      <xdr:col>15</xdr:col>
      <xdr:colOff>327026</xdr:colOff>
      <xdr:row>82</xdr:row>
      <xdr:rowOff>135467</xdr:rowOff>
    </xdr:to>
    <xdr:graphicFrame macro="">
      <xdr:nvGraphicFramePr>
        <xdr:cNvPr id="7" name="Chart 6">
          <a:extLst>
            <a:ext uri="{FF2B5EF4-FFF2-40B4-BE49-F238E27FC236}">
              <a16:creationId xmlns:a16="http://schemas.microsoft.com/office/drawing/2014/main" xmlns="" id="{13B716B1-3A13-41A1-8F19-056290D463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502709</xdr:colOff>
      <xdr:row>68</xdr:row>
      <xdr:rowOff>37041</xdr:rowOff>
    </xdr:from>
    <xdr:to>
      <xdr:col>7</xdr:col>
      <xdr:colOff>531285</xdr:colOff>
      <xdr:row>82</xdr:row>
      <xdr:rowOff>170392</xdr:rowOff>
    </xdr:to>
    <xdr:graphicFrame macro="">
      <xdr:nvGraphicFramePr>
        <xdr:cNvPr id="8" name="Chart 7">
          <a:extLst>
            <a:ext uri="{FF2B5EF4-FFF2-40B4-BE49-F238E27FC236}">
              <a16:creationId xmlns:a16="http://schemas.microsoft.com/office/drawing/2014/main" xmlns="" id="{A07CD5C6-4CBD-4A55-94C3-756E86702B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338667</xdr:colOff>
      <xdr:row>52</xdr:row>
      <xdr:rowOff>15875</xdr:rowOff>
    </xdr:from>
    <xdr:to>
      <xdr:col>30</xdr:col>
      <xdr:colOff>765024</xdr:colOff>
      <xdr:row>79</xdr:row>
      <xdr:rowOff>15875</xdr:rowOff>
    </xdr:to>
    <xdr:graphicFrame macro="">
      <xdr:nvGraphicFramePr>
        <xdr:cNvPr id="9" name="Chart 8">
          <a:extLst>
            <a:ext uri="{FF2B5EF4-FFF2-40B4-BE49-F238E27FC236}">
              <a16:creationId xmlns:a16="http://schemas.microsoft.com/office/drawing/2014/main" xmlns="" id="{59327572-7D75-4C00-B88F-A223F7C76C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17</xdr:row>
      <xdr:rowOff>0</xdr:rowOff>
    </xdr:from>
    <xdr:to>
      <xdr:col>7</xdr:col>
      <xdr:colOff>12701</xdr:colOff>
      <xdr:row>32</xdr:row>
      <xdr:rowOff>28311</xdr:rowOff>
    </xdr:to>
    <xdr:graphicFrame macro="">
      <xdr:nvGraphicFramePr>
        <xdr:cNvPr id="2" name="Chart 1">
          <a:extLst>
            <a:ext uri="{FF2B5EF4-FFF2-40B4-BE49-F238E27FC236}">
              <a16:creationId xmlns:a16="http://schemas.microsoft.com/office/drawing/2014/main" xmlns="" id="{1BACB5A1-F42D-4619-A87B-C8853C7EB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396081</xdr:colOff>
      <xdr:row>17</xdr:row>
      <xdr:rowOff>0</xdr:rowOff>
    </xdr:from>
    <xdr:to>
      <xdr:col>15</xdr:col>
      <xdr:colOff>124619</xdr:colOff>
      <xdr:row>32</xdr:row>
      <xdr:rowOff>28311</xdr:rowOff>
    </xdr:to>
    <xdr:graphicFrame macro="">
      <xdr:nvGraphicFramePr>
        <xdr:cNvPr id="3" name="Chart 2">
          <a:extLst>
            <a:ext uri="{FF2B5EF4-FFF2-40B4-BE49-F238E27FC236}">
              <a16:creationId xmlns:a16="http://schemas.microsoft.com/office/drawing/2014/main" xmlns="" id="{FF944147-A95D-492B-BD8D-D37F268EB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17</xdr:row>
      <xdr:rowOff>0</xdr:rowOff>
    </xdr:from>
    <xdr:to>
      <xdr:col>21</xdr:col>
      <xdr:colOff>241148</xdr:colOff>
      <xdr:row>44</xdr:row>
      <xdr:rowOff>142875</xdr:rowOff>
    </xdr:to>
    <xdr:graphicFrame macro="">
      <xdr:nvGraphicFramePr>
        <xdr:cNvPr id="4" name="Chart 3">
          <a:extLst>
            <a:ext uri="{FF2B5EF4-FFF2-40B4-BE49-F238E27FC236}">
              <a16:creationId xmlns:a16="http://schemas.microsoft.com/office/drawing/2014/main" xmlns="" id="{FC0358FB-CD22-42E3-9353-AC22CCB3E0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0</xdr:colOff>
      <xdr:row>17</xdr:row>
      <xdr:rowOff>0</xdr:rowOff>
    </xdr:from>
    <xdr:to>
      <xdr:col>25</xdr:col>
      <xdr:colOff>870857</xdr:colOff>
      <xdr:row>44</xdr:row>
      <xdr:rowOff>142875</xdr:rowOff>
    </xdr:to>
    <xdr:graphicFrame macro="">
      <xdr:nvGraphicFramePr>
        <xdr:cNvPr id="6" name="Chart 5">
          <a:extLst>
            <a:ext uri="{FF2B5EF4-FFF2-40B4-BE49-F238E27FC236}">
              <a16:creationId xmlns:a16="http://schemas.microsoft.com/office/drawing/2014/main" xmlns="" id="{5FB81170-CD4A-4CF1-8D8E-75E928289D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33</xdr:row>
      <xdr:rowOff>0</xdr:rowOff>
    </xdr:from>
    <xdr:to>
      <xdr:col>7</xdr:col>
      <xdr:colOff>12701</xdr:colOff>
      <xdr:row>48</xdr:row>
      <xdr:rowOff>28311</xdr:rowOff>
    </xdr:to>
    <xdr:graphicFrame macro="">
      <xdr:nvGraphicFramePr>
        <xdr:cNvPr id="7" name="Chart 6">
          <a:extLst>
            <a:ext uri="{FF2B5EF4-FFF2-40B4-BE49-F238E27FC236}">
              <a16:creationId xmlns:a16="http://schemas.microsoft.com/office/drawing/2014/main" xmlns="" id="{2C38CA13-97C4-4673-8FE8-EBE251763E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152664</xdr:colOff>
      <xdr:row>12</xdr:row>
      <xdr:rowOff>52916</xdr:rowOff>
    </xdr:from>
    <xdr:to>
      <xdr:col>6</xdr:col>
      <xdr:colOff>526786</xdr:colOff>
      <xdr:row>27</xdr:row>
      <xdr:rowOff>81227</xdr:rowOff>
    </xdr:to>
    <xdr:graphicFrame macro="">
      <xdr:nvGraphicFramePr>
        <xdr:cNvPr id="3" name="Chart 2">
          <a:extLst>
            <a:ext uri="{FF2B5EF4-FFF2-40B4-BE49-F238E27FC236}">
              <a16:creationId xmlns:a16="http://schemas.microsoft.com/office/drawing/2014/main" xmlns="" id="{50E6C5E0-E91F-459A-97C3-E9A84FF824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11</xdr:row>
      <xdr:rowOff>0</xdr:rowOff>
    </xdr:from>
    <xdr:to>
      <xdr:col>7</xdr:col>
      <xdr:colOff>11378</xdr:colOff>
      <xdr:row>26</xdr:row>
      <xdr:rowOff>8467</xdr:rowOff>
    </xdr:to>
    <xdr:graphicFrame macro="">
      <xdr:nvGraphicFramePr>
        <xdr:cNvPr id="2" name="Chart 1">
          <a:extLst>
            <a:ext uri="{FF2B5EF4-FFF2-40B4-BE49-F238E27FC236}">
              <a16:creationId xmlns:a16="http://schemas.microsoft.com/office/drawing/2014/main" xmlns="" id="{A4F2878B-EC86-4FE6-AABA-814EB3B03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394758</xdr:colOff>
      <xdr:row>11</xdr:row>
      <xdr:rowOff>0</xdr:rowOff>
    </xdr:from>
    <xdr:to>
      <xdr:col>15</xdr:col>
      <xdr:colOff>102130</xdr:colOff>
      <xdr:row>26</xdr:row>
      <xdr:rowOff>8467</xdr:rowOff>
    </xdr:to>
    <xdr:graphicFrame macro="">
      <xdr:nvGraphicFramePr>
        <xdr:cNvPr id="3" name="Chart 2">
          <a:extLst>
            <a:ext uri="{FF2B5EF4-FFF2-40B4-BE49-F238E27FC236}">
              <a16:creationId xmlns:a16="http://schemas.microsoft.com/office/drawing/2014/main" xmlns="" id="{51E63BF0-E7A5-4DE5-BA1F-F5553F0D88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11</xdr:row>
      <xdr:rowOff>0</xdr:rowOff>
    </xdr:from>
    <xdr:to>
      <xdr:col>22</xdr:col>
      <xdr:colOff>340784</xdr:colOff>
      <xdr:row>26</xdr:row>
      <xdr:rowOff>8467</xdr:rowOff>
    </xdr:to>
    <xdr:graphicFrame macro="">
      <xdr:nvGraphicFramePr>
        <xdr:cNvPr id="4" name="Chart 3">
          <a:extLst>
            <a:ext uri="{FF2B5EF4-FFF2-40B4-BE49-F238E27FC236}">
              <a16:creationId xmlns:a16="http://schemas.microsoft.com/office/drawing/2014/main" xmlns="" id="{95036DF1-129D-4966-A95A-7C185A672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185737</xdr:colOff>
      <xdr:row>9</xdr:row>
      <xdr:rowOff>185737</xdr:rowOff>
    </xdr:from>
    <xdr:to>
      <xdr:col>4</xdr:col>
      <xdr:colOff>179387</xdr:colOff>
      <xdr:row>24</xdr:row>
      <xdr:rowOff>119062</xdr:rowOff>
    </xdr:to>
    <xdr:graphicFrame macro="">
      <xdr:nvGraphicFramePr>
        <xdr:cNvPr id="2" name="Chart 1">
          <a:extLst>
            <a:ext uri="{FF2B5EF4-FFF2-40B4-BE49-F238E27FC236}">
              <a16:creationId xmlns:a16="http://schemas.microsoft.com/office/drawing/2014/main" xmlns="" id="{9D3EFB34-7779-429E-ACC6-350EFE1F6F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146050</xdr:colOff>
      <xdr:row>9</xdr:row>
      <xdr:rowOff>149225</xdr:rowOff>
    </xdr:from>
    <xdr:to>
      <xdr:col>10</xdr:col>
      <xdr:colOff>63500</xdr:colOff>
      <xdr:row>24</xdr:row>
      <xdr:rowOff>82550</xdr:rowOff>
    </xdr:to>
    <xdr:graphicFrame macro="">
      <xdr:nvGraphicFramePr>
        <xdr:cNvPr id="3" name="Chart 2">
          <a:extLst>
            <a:ext uri="{FF2B5EF4-FFF2-40B4-BE49-F238E27FC236}">
              <a16:creationId xmlns:a16="http://schemas.microsoft.com/office/drawing/2014/main" xmlns="" id="{F2D0965A-7F31-4A02-A4FB-94B77AEEC6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8</xdr:row>
      <xdr:rowOff>0</xdr:rowOff>
    </xdr:from>
    <xdr:to>
      <xdr:col>6</xdr:col>
      <xdr:colOff>519378</xdr:colOff>
      <xdr:row>23</xdr:row>
      <xdr:rowOff>8467</xdr:rowOff>
    </xdr:to>
    <xdr:graphicFrame macro="">
      <xdr:nvGraphicFramePr>
        <xdr:cNvPr id="4" name="Chart 3">
          <a:extLst>
            <a:ext uri="{FF2B5EF4-FFF2-40B4-BE49-F238E27FC236}">
              <a16:creationId xmlns:a16="http://schemas.microsoft.com/office/drawing/2014/main" xmlns="" id="{025C741D-4AA8-43DD-97B1-4BD2829613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0</xdr:colOff>
      <xdr:row>44</xdr:row>
      <xdr:rowOff>0</xdr:rowOff>
    </xdr:from>
    <xdr:to>
      <xdr:col>14</xdr:col>
      <xdr:colOff>304800</xdr:colOff>
      <xdr:row>60</xdr:row>
      <xdr:rowOff>119857</xdr:rowOff>
    </xdr:to>
    <xdr:graphicFrame macro="">
      <xdr:nvGraphicFramePr>
        <xdr:cNvPr id="6" name="Chart 5">
          <a:extLst>
            <a:ext uri="{FF2B5EF4-FFF2-40B4-BE49-F238E27FC236}">
              <a16:creationId xmlns:a16="http://schemas.microsoft.com/office/drawing/2014/main" xmlns="" id="{C4E7AC86-F9B2-485B-862B-045BFB86D9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44</xdr:row>
      <xdr:rowOff>0</xdr:rowOff>
    </xdr:from>
    <xdr:to>
      <xdr:col>20</xdr:col>
      <xdr:colOff>30956</xdr:colOff>
      <xdr:row>60</xdr:row>
      <xdr:rowOff>119857</xdr:rowOff>
    </xdr:to>
    <xdr:graphicFrame macro="">
      <xdr:nvGraphicFramePr>
        <xdr:cNvPr id="7" name="Chart 6">
          <a:extLst>
            <a:ext uri="{FF2B5EF4-FFF2-40B4-BE49-F238E27FC236}">
              <a16:creationId xmlns:a16="http://schemas.microsoft.com/office/drawing/2014/main" xmlns="" id="{12078BD5-812C-445A-B940-3CFABD5004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273050</xdr:colOff>
      <xdr:row>78</xdr:row>
      <xdr:rowOff>152400</xdr:rowOff>
    </xdr:from>
    <xdr:to>
      <xdr:col>14</xdr:col>
      <xdr:colOff>577850</xdr:colOff>
      <xdr:row>95</xdr:row>
      <xdr:rowOff>85725</xdr:rowOff>
    </xdr:to>
    <xdr:graphicFrame macro="">
      <xdr:nvGraphicFramePr>
        <xdr:cNvPr id="3" name="Chart 2">
          <a:extLst>
            <a:ext uri="{FF2B5EF4-FFF2-40B4-BE49-F238E27FC236}">
              <a16:creationId xmlns:a16="http://schemas.microsoft.com/office/drawing/2014/main" xmlns="" id="{15F5BBA0-CB00-48CE-B1BD-58CD6C17AA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79376</xdr:colOff>
      <xdr:row>78</xdr:row>
      <xdr:rowOff>179917</xdr:rowOff>
    </xdr:from>
    <xdr:to>
      <xdr:col>20</xdr:col>
      <xdr:colOff>103718</xdr:colOff>
      <xdr:row>95</xdr:row>
      <xdr:rowOff>113242</xdr:rowOff>
    </xdr:to>
    <xdr:graphicFrame macro="">
      <xdr:nvGraphicFramePr>
        <xdr:cNvPr id="6" name="Chart 5">
          <a:extLst>
            <a:ext uri="{FF2B5EF4-FFF2-40B4-BE49-F238E27FC236}">
              <a16:creationId xmlns:a16="http://schemas.microsoft.com/office/drawing/2014/main" xmlns="" id="{0FDA5619-D7A0-4B7A-BD56-C91D3F1D1A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7</xdr:col>
      <xdr:colOff>0</xdr:colOff>
      <xdr:row>128</xdr:row>
      <xdr:rowOff>0</xdr:rowOff>
    </xdr:from>
    <xdr:to>
      <xdr:col>14</xdr:col>
      <xdr:colOff>304800</xdr:colOff>
      <xdr:row>144</xdr:row>
      <xdr:rowOff>119857</xdr:rowOff>
    </xdr:to>
    <xdr:graphicFrame macro="">
      <xdr:nvGraphicFramePr>
        <xdr:cNvPr id="6" name="Chart 5">
          <a:extLst>
            <a:ext uri="{FF2B5EF4-FFF2-40B4-BE49-F238E27FC236}">
              <a16:creationId xmlns:a16="http://schemas.microsoft.com/office/drawing/2014/main" xmlns="" id="{12BE8EB2-0A33-40BD-B0D1-8A45CE17B8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128</xdr:row>
      <xdr:rowOff>0</xdr:rowOff>
    </xdr:from>
    <xdr:to>
      <xdr:col>20</xdr:col>
      <xdr:colOff>30956</xdr:colOff>
      <xdr:row>144</xdr:row>
      <xdr:rowOff>119857</xdr:rowOff>
    </xdr:to>
    <xdr:graphicFrame macro="">
      <xdr:nvGraphicFramePr>
        <xdr:cNvPr id="7" name="Chart 6">
          <a:extLst>
            <a:ext uri="{FF2B5EF4-FFF2-40B4-BE49-F238E27FC236}">
              <a16:creationId xmlns:a16="http://schemas.microsoft.com/office/drawing/2014/main" xmlns="" id="{4A08FFCE-55BC-4F04-B1F7-56B6BBEDD0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21</xdr:col>
      <xdr:colOff>387350</xdr:colOff>
      <xdr:row>1</xdr:row>
      <xdr:rowOff>66675</xdr:rowOff>
    </xdr:from>
    <xdr:to>
      <xdr:col>27</xdr:col>
      <xdr:colOff>132556</xdr:colOff>
      <xdr:row>17</xdr:row>
      <xdr:rowOff>176212</xdr:rowOff>
    </xdr:to>
    <mc:AlternateContent xmlns:mc="http://schemas.openxmlformats.org/markup-compatibility/2006">
      <mc:Choice xmlns:cx1="http://schemas.microsoft.com/office/drawing/2015/9/8/chartex" xmlns="" Requires="cx1">
        <xdr:graphicFrame macro="">
          <xdr:nvGraphicFramePr>
            <xdr:cNvPr id="2" name="Chart 1">
              <a:extLst>
                <a:ext uri="{FF2B5EF4-FFF2-40B4-BE49-F238E27FC236}">
                  <a16:creationId xmlns:a16="http://schemas.microsoft.com/office/drawing/2014/main" id="{22D5D010-2F99-4035-8C4E-A41D9F4DD45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2" name="Rectangle 1"/>
            <xdr:cNvSpPr>
              <a:spLocks noTextEdit="1"/>
            </xdr:cNvSpPr>
          </xdr:nvSpPr>
          <xdr:spPr>
            <a:xfrm>
              <a:off x="13188950" y="254000"/>
              <a:ext cx="3402806" cy="3106737"/>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1</xdr:row>
      <xdr:rowOff>0</xdr:rowOff>
    </xdr:from>
    <xdr:to>
      <xdr:col>16</xdr:col>
      <xdr:colOff>297392</xdr:colOff>
      <xdr:row>15</xdr:row>
      <xdr:rowOff>91017</xdr:rowOff>
    </xdr:to>
    <xdr:graphicFrame macro="">
      <xdr:nvGraphicFramePr>
        <xdr:cNvPr id="2" name="Chart 1">
          <a:extLst>
            <a:ext uri="{FF2B5EF4-FFF2-40B4-BE49-F238E27FC236}">
              <a16:creationId xmlns:a16="http://schemas.microsoft.com/office/drawing/2014/main" xmlns="" id="{DDB42EDD-83F5-4E4A-BE45-A142821BAF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15</xdr:row>
      <xdr:rowOff>155575</xdr:rowOff>
    </xdr:from>
    <xdr:to>
      <xdr:col>16</xdr:col>
      <xdr:colOff>297392</xdr:colOff>
      <xdr:row>31</xdr:row>
      <xdr:rowOff>59267</xdr:rowOff>
    </xdr:to>
    <xdr:graphicFrame macro="">
      <xdr:nvGraphicFramePr>
        <xdr:cNvPr id="3" name="Chart 2">
          <a:extLst>
            <a:ext uri="{FF2B5EF4-FFF2-40B4-BE49-F238E27FC236}">
              <a16:creationId xmlns:a16="http://schemas.microsoft.com/office/drawing/2014/main" xmlns="" id="{4E24C700-C9EA-4CE2-A4C1-B5C466DCC7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601133</xdr:colOff>
      <xdr:row>1</xdr:row>
      <xdr:rowOff>0</xdr:rowOff>
    </xdr:from>
    <xdr:to>
      <xdr:col>24</xdr:col>
      <xdr:colOff>288926</xdr:colOff>
      <xdr:row>15</xdr:row>
      <xdr:rowOff>91017</xdr:rowOff>
    </xdr:to>
    <xdr:graphicFrame macro="">
      <xdr:nvGraphicFramePr>
        <xdr:cNvPr id="4" name="Chart 3">
          <a:extLst>
            <a:ext uri="{FF2B5EF4-FFF2-40B4-BE49-F238E27FC236}">
              <a16:creationId xmlns:a16="http://schemas.microsoft.com/office/drawing/2014/main" xmlns="" id="{9F7896EA-442D-4B92-9726-4D12B87099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601133</xdr:colOff>
      <xdr:row>15</xdr:row>
      <xdr:rowOff>155575</xdr:rowOff>
    </xdr:from>
    <xdr:to>
      <xdr:col>24</xdr:col>
      <xdr:colOff>288926</xdr:colOff>
      <xdr:row>31</xdr:row>
      <xdr:rowOff>59267</xdr:rowOff>
    </xdr:to>
    <xdr:graphicFrame macro="">
      <xdr:nvGraphicFramePr>
        <xdr:cNvPr id="5" name="Chart 4">
          <a:extLst>
            <a:ext uri="{FF2B5EF4-FFF2-40B4-BE49-F238E27FC236}">
              <a16:creationId xmlns:a16="http://schemas.microsoft.com/office/drawing/2014/main" xmlns="" id="{B2A3AA24-F3FA-4712-9F48-C5D90CD29A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592667</xdr:colOff>
      <xdr:row>1</xdr:row>
      <xdr:rowOff>0</xdr:rowOff>
    </xdr:from>
    <xdr:to>
      <xdr:col>32</xdr:col>
      <xdr:colOff>280458</xdr:colOff>
      <xdr:row>15</xdr:row>
      <xdr:rowOff>91017</xdr:rowOff>
    </xdr:to>
    <xdr:graphicFrame macro="">
      <xdr:nvGraphicFramePr>
        <xdr:cNvPr id="6" name="Chart 5">
          <a:extLst>
            <a:ext uri="{FF2B5EF4-FFF2-40B4-BE49-F238E27FC236}">
              <a16:creationId xmlns:a16="http://schemas.microsoft.com/office/drawing/2014/main" xmlns="" id="{1ABA9FE6-7FF8-4B31-B417-589964B55C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592667</xdr:colOff>
      <xdr:row>15</xdr:row>
      <xdr:rowOff>155575</xdr:rowOff>
    </xdr:from>
    <xdr:to>
      <xdr:col>32</xdr:col>
      <xdr:colOff>280458</xdr:colOff>
      <xdr:row>31</xdr:row>
      <xdr:rowOff>59267</xdr:rowOff>
    </xdr:to>
    <xdr:graphicFrame macro="">
      <xdr:nvGraphicFramePr>
        <xdr:cNvPr id="7" name="Chart 6">
          <a:extLst>
            <a:ext uri="{FF2B5EF4-FFF2-40B4-BE49-F238E27FC236}">
              <a16:creationId xmlns:a16="http://schemas.microsoft.com/office/drawing/2014/main" xmlns="" id="{DCB49A95-569F-424E-A661-6B6756360A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584200</xdr:colOff>
      <xdr:row>1</xdr:row>
      <xdr:rowOff>0</xdr:rowOff>
    </xdr:from>
    <xdr:to>
      <xdr:col>40</xdr:col>
      <xdr:colOff>271992</xdr:colOff>
      <xdr:row>15</xdr:row>
      <xdr:rowOff>91017</xdr:rowOff>
    </xdr:to>
    <xdr:graphicFrame macro="">
      <xdr:nvGraphicFramePr>
        <xdr:cNvPr id="8" name="Chart 7">
          <a:extLst>
            <a:ext uri="{FF2B5EF4-FFF2-40B4-BE49-F238E27FC236}">
              <a16:creationId xmlns:a16="http://schemas.microsoft.com/office/drawing/2014/main" xmlns="" id="{57BC4199-0AB8-401C-979D-E9D40300F6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32</xdr:col>
      <xdr:colOff>584200</xdr:colOff>
      <xdr:row>15</xdr:row>
      <xdr:rowOff>155575</xdr:rowOff>
    </xdr:from>
    <xdr:to>
      <xdr:col>40</xdr:col>
      <xdr:colOff>271992</xdr:colOff>
      <xdr:row>31</xdr:row>
      <xdr:rowOff>59267</xdr:rowOff>
    </xdr:to>
    <xdr:graphicFrame macro="">
      <xdr:nvGraphicFramePr>
        <xdr:cNvPr id="9" name="Chart 8">
          <a:extLst>
            <a:ext uri="{FF2B5EF4-FFF2-40B4-BE49-F238E27FC236}">
              <a16:creationId xmlns:a16="http://schemas.microsoft.com/office/drawing/2014/main" xmlns="" id="{C8B938F0-9259-4C75-83EA-C15A53908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40</xdr:col>
      <xdr:colOff>575733</xdr:colOff>
      <xdr:row>1</xdr:row>
      <xdr:rowOff>0</xdr:rowOff>
    </xdr:from>
    <xdr:to>
      <xdr:col>48</xdr:col>
      <xdr:colOff>263526</xdr:colOff>
      <xdr:row>15</xdr:row>
      <xdr:rowOff>91017</xdr:rowOff>
    </xdr:to>
    <xdr:graphicFrame macro="">
      <xdr:nvGraphicFramePr>
        <xdr:cNvPr id="10" name="Chart 9">
          <a:extLst>
            <a:ext uri="{FF2B5EF4-FFF2-40B4-BE49-F238E27FC236}">
              <a16:creationId xmlns:a16="http://schemas.microsoft.com/office/drawing/2014/main" xmlns="" id="{70891C61-B9DB-439D-8E3B-A994596AFF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40</xdr:col>
      <xdr:colOff>575733</xdr:colOff>
      <xdr:row>15</xdr:row>
      <xdr:rowOff>155575</xdr:rowOff>
    </xdr:from>
    <xdr:to>
      <xdr:col>48</xdr:col>
      <xdr:colOff>263526</xdr:colOff>
      <xdr:row>31</xdr:row>
      <xdr:rowOff>59267</xdr:rowOff>
    </xdr:to>
    <xdr:graphicFrame macro="">
      <xdr:nvGraphicFramePr>
        <xdr:cNvPr id="11" name="Chart 10">
          <a:extLst>
            <a:ext uri="{FF2B5EF4-FFF2-40B4-BE49-F238E27FC236}">
              <a16:creationId xmlns:a16="http://schemas.microsoft.com/office/drawing/2014/main" xmlns="" id="{83A2215D-CE65-4B6B-BC1D-47CC2668D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48</xdr:col>
      <xdr:colOff>567267</xdr:colOff>
      <xdr:row>1</xdr:row>
      <xdr:rowOff>0</xdr:rowOff>
    </xdr:from>
    <xdr:to>
      <xdr:col>56</xdr:col>
      <xdr:colOff>255058</xdr:colOff>
      <xdr:row>15</xdr:row>
      <xdr:rowOff>91017</xdr:rowOff>
    </xdr:to>
    <xdr:graphicFrame macro="">
      <xdr:nvGraphicFramePr>
        <xdr:cNvPr id="12" name="Chart 11">
          <a:extLst>
            <a:ext uri="{FF2B5EF4-FFF2-40B4-BE49-F238E27FC236}">
              <a16:creationId xmlns:a16="http://schemas.microsoft.com/office/drawing/2014/main" xmlns="" id="{16E1B76B-C6C0-40C5-9B78-EEDC590FAD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48</xdr:col>
      <xdr:colOff>567267</xdr:colOff>
      <xdr:row>15</xdr:row>
      <xdr:rowOff>155575</xdr:rowOff>
    </xdr:from>
    <xdr:to>
      <xdr:col>56</xdr:col>
      <xdr:colOff>255058</xdr:colOff>
      <xdr:row>31</xdr:row>
      <xdr:rowOff>59267</xdr:rowOff>
    </xdr:to>
    <xdr:graphicFrame macro="">
      <xdr:nvGraphicFramePr>
        <xdr:cNvPr id="13" name="Chart 12">
          <a:extLst>
            <a:ext uri="{FF2B5EF4-FFF2-40B4-BE49-F238E27FC236}">
              <a16:creationId xmlns:a16="http://schemas.microsoft.com/office/drawing/2014/main" xmlns="" id="{B9B0E728-1A71-4C24-8055-3EFCA9CD4F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31</xdr:row>
      <xdr:rowOff>123825</xdr:rowOff>
    </xdr:from>
    <xdr:to>
      <xdr:col>16</xdr:col>
      <xdr:colOff>297392</xdr:colOff>
      <xdr:row>46</xdr:row>
      <xdr:rowOff>27517</xdr:rowOff>
    </xdr:to>
    <xdr:graphicFrame macro="">
      <xdr:nvGraphicFramePr>
        <xdr:cNvPr id="14" name="Chart 13">
          <a:extLst>
            <a:ext uri="{FF2B5EF4-FFF2-40B4-BE49-F238E27FC236}">
              <a16:creationId xmlns:a16="http://schemas.microsoft.com/office/drawing/2014/main" xmlns="" id="{E9CFD1CB-FE15-4A94-B5CD-3A4C5161E2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601133</xdr:colOff>
      <xdr:row>31</xdr:row>
      <xdr:rowOff>123825</xdr:rowOff>
    </xdr:from>
    <xdr:to>
      <xdr:col>24</xdr:col>
      <xdr:colOff>288926</xdr:colOff>
      <xdr:row>46</xdr:row>
      <xdr:rowOff>27517</xdr:rowOff>
    </xdr:to>
    <xdr:graphicFrame macro="">
      <xdr:nvGraphicFramePr>
        <xdr:cNvPr id="15" name="Chart 14">
          <a:extLst>
            <a:ext uri="{FF2B5EF4-FFF2-40B4-BE49-F238E27FC236}">
              <a16:creationId xmlns:a16="http://schemas.microsoft.com/office/drawing/2014/main" xmlns="" id="{BE1A668A-BBA0-49AE-9ACD-AFD85B1135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592667</xdr:colOff>
      <xdr:row>31</xdr:row>
      <xdr:rowOff>123825</xdr:rowOff>
    </xdr:from>
    <xdr:to>
      <xdr:col>32</xdr:col>
      <xdr:colOff>280458</xdr:colOff>
      <xdr:row>46</xdr:row>
      <xdr:rowOff>27517</xdr:rowOff>
    </xdr:to>
    <xdr:graphicFrame macro="">
      <xdr:nvGraphicFramePr>
        <xdr:cNvPr id="16" name="Chart 15">
          <a:extLst>
            <a:ext uri="{FF2B5EF4-FFF2-40B4-BE49-F238E27FC236}">
              <a16:creationId xmlns:a16="http://schemas.microsoft.com/office/drawing/2014/main" xmlns="" id="{604E1BE3-E235-4B45-BED6-B585EF69E9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32</xdr:col>
      <xdr:colOff>584200</xdr:colOff>
      <xdr:row>31</xdr:row>
      <xdr:rowOff>123825</xdr:rowOff>
    </xdr:from>
    <xdr:to>
      <xdr:col>40</xdr:col>
      <xdr:colOff>271992</xdr:colOff>
      <xdr:row>46</xdr:row>
      <xdr:rowOff>27517</xdr:rowOff>
    </xdr:to>
    <xdr:graphicFrame macro="">
      <xdr:nvGraphicFramePr>
        <xdr:cNvPr id="17" name="Chart 16">
          <a:extLst>
            <a:ext uri="{FF2B5EF4-FFF2-40B4-BE49-F238E27FC236}">
              <a16:creationId xmlns:a16="http://schemas.microsoft.com/office/drawing/2014/main" xmlns="" id="{EB9D22EF-4F64-462E-BE9E-BEC5FC4F3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40</xdr:col>
      <xdr:colOff>575733</xdr:colOff>
      <xdr:row>31</xdr:row>
      <xdr:rowOff>123825</xdr:rowOff>
    </xdr:from>
    <xdr:to>
      <xdr:col>48</xdr:col>
      <xdr:colOff>263526</xdr:colOff>
      <xdr:row>46</xdr:row>
      <xdr:rowOff>27517</xdr:rowOff>
    </xdr:to>
    <xdr:graphicFrame macro="">
      <xdr:nvGraphicFramePr>
        <xdr:cNvPr id="18" name="Chart 17">
          <a:extLst>
            <a:ext uri="{FF2B5EF4-FFF2-40B4-BE49-F238E27FC236}">
              <a16:creationId xmlns:a16="http://schemas.microsoft.com/office/drawing/2014/main" xmlns="" id="{BD943B56-3EA1-4647-9495-4D6305027A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48</xdr:col>
      <xdr:colOff>567267</xdr:colOff>
      <xdr:row>31</xdr:row>
      <xdr:rowOff>123825</xdr:rowOff>
    </xdr:from>
    <xdr:to>
      <xdr:col>56</xdr:col>
      <xdr:colOff>255058</xdr:colOff>
      <xdr:row>46</xdr:row>
      <xdr:rowOff>27517</xdr:rowOff>
    </xdr:to>
    <xdr:graphicFrame macro="">
      <xdr:nvGraphicFramePr>
        <xdr:cNvPr id="19" name="Chart 18">
          <a:extLst>
            <a:ext uri="{FF2B5EF4-FFF2-40B4-BE49-F238E27FC236}">
              <a16:creationId xmlns:a16="http://schemas.microsoft.com/office/drawing/2014/main" xmlns="" id="{DA9217FD-0543-44DB-9786-B22B78EB9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635000</xdr:colOff>
      <xdr:row>32</xdr:row>
      <xdr:rowOff>28311</xdr:rowOff>
    </xdr:to>
    <xdr:graphicFrame macro="">
      <xdr:nvGraphicFramePr>
        <xdr:cNvPr id="6" name="Chart 5">
          <a:extLst>
            <a:ext uri="{FF2B5EF4-FFF2-40B4-BE49-F238E27FC236}">
              <a16:creationId xmlns:a16="http://schemas.microsoft.com/office/drawing/2014/main" xmlns="" id="{8875DA27-C625-4229-A22E-9C776A3954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88371</xdr:colOff>
      <xdr:row>17</xdr:row>
      <xdr:rowOff>0</xdr:rowOff>
    </xdr:from>
    <xdr:to>
      <xdr:col>12</xdr:col>
      <xdr:colOff>463551</xdr:colOff>
      <xdr:row>32</xdr:row>
      <xdr:rowOff>28311</xdr:rowOff>
    </xdr:to>
    <xdr:graphicFrame macro="">
      <xdr:nvGraphicFramePr>
        <xdr:cNvPr id="7" name="Chart 6">
          <a:extLst>
            <a:ext uri="{FF2B5EF4-FFF2-40B4-BE49-F238E27FC236}">
              <a16:creationId xmlns:a16="http://schemas.microsoft.com/office/drawing/2014/main" xmlns="" id="{810A8408-164D-4752-8D64-F6308680B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17</xdr:row>
      <xdr:rowOff>0</xdr:rowOff>
    </xdr:from>
    <xdr:to>
      <xdr:col>20</xdr:col>
      <xdr:colOff>333375</xdr:colOff>
      <xdr:row>32</xdr:row>
      <xdr:rowOff>28311</xdr:rowOff>
    </xdr:to>
    <xdr:graphicFrame macro="">
      <xdr:nvGraphicFramePr>
        <xdr:cNvPr id="5" name="Chart 4">
          <a:extLst>
            <a:ext uri="{FF2B5EF4-FFF2-40B4-BE49-F238E27FC236}">
              <a16:creationId xmlns:a16="http://schemas.microsoft.com/office/drawing/2014/main" xmlns="" id="{6EE258E7-F57C-4347-B98A-0316E8C20A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25</xdr:row>
      <xdr:rowOff>0</xdr:rowOff>
    </xdr:from>
    <xdr:to>
      <xdr:col>6</xdr:col>
      <xdr:colOff>394229</xdr:colOff>
      <xdr:row>40</xdr:row>
      <xdr:rowOff>8467</xdr:rowOff>
    </xdr:to>
    <xdr:graphicFrame macro="">
      <xdr:nvGraphicFramePr>
        <xdr:cNvPr id="2" name="Chart 1">
          <a:extLst>
            <a:ext uri="{FF2B5EF4-FFF2-40B4-BE49-F238E27FC236}">
              <a16:creationId xmlns:a16="http://schemas.microsoft.com/office/drawing/2014/main" xmlns="" id="{9AA70420-3EB2-4FB0-8643-4481A40E5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599016</xdr:colOff>
      <xdr:row>25</xdr:row>
      <xdr:rowOff>0</xdr:rowOff>
    </xdr:from>
    <xdr:to>
      <xdr:col>14</xdr:col>
      <xdr:colOff>307446</xdr:colOff>
      <xdr:row>40</xdr:row>
      <xdr:rowOff>8467</xdr:rowOff>
    </xdr:to>
    <xdr:graphicFrame macro="">
      <xdr:nvGraphicFramePr>
        <xdr:cNvPr id="3" name="Chart 2">
          <a:extLst>
            <a:ext uri="{FF2B5EF4-FFF2-40B4-BE49-F238E27FC236}">
              <a16:creationId xmlns:a16="http://schemas.microsoft.com/office/drawing/2014/main" xmlns="" id="{CC58BB32-41EC-4581-A400-34E7693EC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25</xdr:row>
      <xdr:rowOff>0</xdr:rowOff>
    </xdr:from>
    <xdr:to>
      <xdr:col>22</xdr:col>
      <xdr:colOff>314854</xdr:colOff>
      <xdr:row>40</xdr:row>
      <xdr:rowOff>8467</xdr:rowOff>
    </xdr:to>
    <xdr:graphicFrame macro="">
      <xdr:nvGraphicFramePr>
        <xdr:cNvPr id="4" name="Chart 3">
          <a:extLst>
            <a:ext uri="{FF2B5EF4-FFF2-40B4-BE49-F238E27FC236}">
              <a16:creationId xmlns:a16="http://schemas.microsoft.com/office/drawing/2014/main" xmlns="" id="{EB55DD96-8836-4648-A397-589DFB31FA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9</xdr:row>
      <xdr:rowOff>0</xdr:rowOff>
    </xdr:from>
    <xdr:to>
      <xdr:col>9</xdr:col>
      <xdr:colOff>421217</xdr:colOff>
      <xdr:row>23</xdr:row>
      <xdr:rowOff>183886</xdr:rowOff>
    </xdr:to>
    <xdr:graphicFrame macro="">
      <xdr:nvGraphicFramePr>
        <xdr:cNvPr id="2" name="Chart 1">
          <a:extLst>
            <a:ext uri="{FF2B5EF4-FFF2-40B4-BE49-F238E27FC236}">
              <a16:creationId xmlns:a16="http://schemas.microsoft.com/office/drawing/2014/main" xmlns="" id="{C575BCD6-6E74-484C-B81C-9C6AD43AC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16404</xdr:colOff>
      <xdr:row>9</xdr:row>
      <xdr:rowOff>0</xdr:rowOff>
    </xdr:from>
    <xdr:to>
      <xdr:col>17</xdr:col>
      <xdr:colOff>347134</xdr:colOff>
      <xdr:row>23</xdr:row>
      <xdr:rowOff>183886</xdr:rowOff>
    </xdr:to>
    <xdr:graphicFrame macro="">
      <xdr:nvGraphicFramePr>
        <xdr:cNvPr id="3" name="Chart 2">
          <a:extLst>
            <a:ext uri="{FF2B5EF4-FFF2-40B4-BE49-F238E27FC236}">
              <a16:creationId xmlns:a16="http://schemas.microsoft.com/office/drawing/2014/main" xmlns="" id="{99F6B9FF-6994-4DF5-A7E7-D2BB3ACF5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9</xdr:row>
      <xdr:rowOff>0</xdr:rowOff>
    </xdr:from>
    <xdr:to>
      <xdr:col>25</xdr:col>
      <xdr:colOff>78317</xdr:colOff>
      <xdr:row>23</xdr:row>
      <xdr:rowOff>183886</xdr:rowOff>
    </xdr:to>
    <xdr:graphicFrame macro="">
      <xdr:nvGraphicFramePr>
        <xdr:cNvPr id="4" name="Chart 3">
          <a:extLst>
            <a:ext uri="{FF2B5EF4-FFF2-40B4-BE49-F238E27FC236}">
              <a16:creationId xmlns:a16="http://schemas.microsoft.com/office/drawing/2014/main" xmlns="" id="{39D343C4-2DB8-4977-8B6A-AD9F34849D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412926</xdr:colOff>
      <xdr:row>18</xdr:row>
      <xdr:rowOff>0</xdr:rowOff>
    </xdr:from>
    <xdr:to>
      <xdr:col>15</xdr:col>
      <xdr:colOff>128412</xdr:colOff>
      <xdr:row>33</xdr:row>
      <xdr:rowOff>1853</xdr:rowOff>
    </xdr:to>
    <xdr:graphicFrame macro="">
      <xdr:nvGraphicFramePr>
        <xdr:cNvPr id="3" name="Chart 2">
          <a:extLst>
            <a:ext uri="{FF2B5EF4-FFF2-40B4-BE49-F238E27FC236}">
              <a16:creationId xmlns:a16="http://schemas.microsoft.com/office/drawing/2014/main" xmlns="" id="{91DB39C2-7A9A-4BAF-8CAE-9F1CE0238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18</xdr:row>
      <xdr:rowOff>0</xdr:rowOff>
    </xdr:from>
    <xdr:to>
      <xdr:col>20</xdr:col>
      <xdr:colOff>218722</xdr:colOff>
      <xdr:row>35</xdr:row>
      <xdr:rowOff>183444</xdr:rowOff>
    </xdr:to>
    <xdr:graphicFrame macro="">
      <xdr:nvGraphicFramePr>
        <xdr:cNvPr id="5" name="Chart 4">
          <a:extLst>
            <a:ext uri="{FF2B5EF4-FFF2-40B4-BE49-F238E27FC236}">
              <a16:creationId xmlns:a16="http://schemas.microsoft.com/office/drawing/2014/main" xmlns="" id="{315D20A5-A84B-4A94-9710-7206A1CC4E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19</xdr:row>
      <xdr:rowOff>0</xdr:rowOff>
    </xdr:from>
    <xdr:to>
      <xdr:col>6</xdr:col>
      <xdr:colOff>599017</xdr:colOff>
      <xdr:row>33</xdr:row>
      <xdr:rowOff>183886</xdr:rowOff>
    </xdr:to>
    <xdr:graphicFrame macro="">
      <xdr:nvGraphicFramePr>
        <xdr:cNvPr id="2" name="Chart 1">
          <a:extLst>
            <a:ext uri="{FF2B5EF4-FFF2-40B4-BE49-F238E27FC236}">
              <a16:creationId xmlns:a16="http://schemas.microsoft.com/office/drawing/2014/main" xmlns="" id="{D0F34836-6198-422A-B820-7159C6547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194204</xdr:colOff>
      <xdr:row>19</xdr:row>
      <xdr:rowOff>0</xdr:rowOff>
    </xdr:from>
    <xdr:to>
      <xdr:col>14</xdr:col>
      <xdr:colOff>524934</xdr:colOff>
      <xdr:row>33</xdr:row>
      <xdr:rowOff>183886</xdr:rowOff>
    </xdr:to>
    <xdr:graphicFrame macro="">
      <xdr:nvGraphicFramePr>
        <xdr:cNvPr id="3" name="Chart 2">
          <a:extLst>
            <a:ext uri="{FF2B5EF4-FFF2-40B4-BE49-F238E27FC236}">
              <a16:creationId xmlns:a16="http://schemas.microsoft.com/office/drawing/2014/main" xmlns="" id="{3040ECC6-D975-4C04-847F-DBF1FF8D3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19</xdr:row>
      <xdr:rowOff>0</xdr:rowOff>
    </xdr:from>
    <xdr:to>
      <xdr:col>21</xdr:col>
      <xdr:colOff>577849</xdr:colOff>
      <xdr:row>33</xdr:row>
      <xdr:rowOff>183886</xdr:rowOff>
    </xdr:to>
    <xdr:graphicFrame macro="">
      <xdr:nvGraphicFramePr>
        <xdr:cNvPr id="4" name="Chart 3">
          <a:extLst>
            <a:ext uri="{FF2B5EF4-FFF2-40B4-BE49-F238E27FC236}">
              <a16:creationId xmlns:a16="http://schemas.microsoft.com/office/drawing/2014/main" xmlns="" id="{2F3280CE-E9E4-4F96-BA05-6564B273F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21</xdr:row>
      <xdr:rowOff>0</xdr:rowOff>
    </xdr:from>
    <xdr:to>
      <xdr:col>6</xdr:col>
      <xdr:colOff>576086</xdr:colOff>
      <xdr:row>36</xdr:row>
      <xdr:rowOff>3528</xdr:rowOff>
    </xdr:to>
    <xdr:graphicFrame macro="">
      <xdr:nvGraphicFramePr>
        <xdr:cNvPr id="2" name="Chart 1">
          <a:extLst>
            <a:ext uri="{FF2B5EF4-FFF2-40B4-BE49-F238E27FC236}">
              <a16:creationId xmlns:a16="http://schemas.microsoft.com/office/drawing/2014/main" xmlns="" id="{88A4310F-AD8F-4B00-BAAE-24A77E50C4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170391</xdr:colOff>
      <xdr:row>21</xdr:row>
      <xdr:rowOff>0</xdr:rowOff>
    </xdr:from>
    <xdr:to>
      <xdr:col>14</xdr:col>
      <xdr:colOff>494948</xdr:colOff>
      <xdr:row>36</xdr:row>
      <xdr:rowOff>3528</xdr:rowOff>
    </xdr:to>
    <xdr:graphicFrame macro="">
      <xdr:nvGraphicFramePr>
        <xdr:cNvPr id="3" name="Chart 2">
          <a:extLst>
            <a:ext uri="{FF2B5EF4-FFF2-40B4-BE49-F238E27FC236}">
              <a16:creationId xmlns:a16="http://schemas.microsoft.com/office/drawing/2014/main" xmlns="" id="{C18F8049-2F4C-4423-847A-C3D3D6440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21</xdr:row>
      <xdr:rowOff>0</xdr:rowOff>
    </xdr:from>
    <xdr:to>
      <xdr:col>22</xdr:col>
      <xdr:colOff>314149</xdr:colOff>
      <xdr:row>36</xdr:row>
      <xdr:rowOff>3528</xdr:rowOff>
    </xdr:to>
    <xdr:graphicFrame macro="">
      <xdr:nvGraphicFramePr>
        <xdr:cNvPr id="5" name="Chart 4">
          <a:extLst>
            <a:ext uri="{FF2B5EF4-FFF2-40B4-BE49-F238E27FC236}">
              <a16:creationId xmlns:a16="http://schemas.microsoft.com/office/drawing/2014/main" xmlns="" id="{8AF7CFC8-3E9F-4687-B85A-514BDDC7DD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0</xdr:colOff>
      <xdr:row>20</xdr:row>
      <xdr:rowOff>83344</xdr:rowOff>
    </xdr:from>
    <xdr:to>
      <xdr:col>26</xdr:col>
      <xdr:colOff>163601</xdr:colOff>
      <xdr:row>40</xdr:row>
      <xdr:rowOff>4410</xdr:rowOff>
    </xdr:to>
    <xdr:graphicFrame macro="">
      <xdr:nvGraphicFramePr>
        <xdr:cNvPr id="6" name="Chart 5">
          <a:extLst>
            <a:ext uri="{FF2B5EF4-FFF2-40B4-BE49-F238E27FC236}">
              <a16:creationId xmlns:a16="http://schemas.microsoft.com/office/drawing/2014/main" xmlns="" id="{EF0FA1FE-5BCA-4A16-BD5A-4D5541EDE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0b1d1e4c864d605b/Documents/Grad%20School/Paleosols/Paleosol%20paleolatitude%20correla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leolatitude correlation"/>
    </sheetNames>
    <sheetDataSet>
      <sheetData sheetId="0">
        <row r="3">
          <cell r="B3">
            <v>30</v>
          </cell>
          <cell r="D3">
            <v>-0.43372145202679124</v>
          </cell>
          <cell r="G3">
            <v>-3.3788203124265365E-2</v>
          </cell>
        </row>
        <row r="6">
          <cell r="B6">
            <v>49</v>
          </cell>
          <cell r="D6">
            <v>1.6088735871118587E-2</v>
          </cell>
          <cell r="E6">
            <v>6.0112404926970564E-2</v>
          </cell>
          <cell r="F6">
            <v>7.9748959942945286E-2</v>
          </cell>
        </row>
        <row r="9">
          <cell r="B9">
            <v>14</v>
          </cell>
          <cell r="D9">
            <v>-0.42062193126022929</v>
          </cell>
          <cell r="G9">
            <v>-8.6976852934299992E-2</v>
          </cell>
        </row>
        <row r="10">
          <cell r="B10">
            <v>14</v>
          </cell>
          <cell r="D10">
            <v>-0.38973063973063959</v>
          </cell>
          <cell r="F10">
            <v>1.5488215488215662E-2</v>
          </cell>
        </row>
        <row r="11">
          <cell r="B11">
            <v>14</v>
          </cell>
          <cell r="D11">
            <v>-0.57543780871127082</v>
          </cell>
          <cell r="G11">
            <v>-6.3741967375185393E-2</v>
          </cell>
        </row>
        <row r="12">
          <cell r="B12">
            <v>14</v>
          </cell>
          <cell r="D12">
            <v>-0.11299043017178956</v>
          </cell>
        </row>
        <row r="13">
          <cell r="B13">
            <v>14</v>
          </cell>
          <cell r="D13">
            <v>-0.33174757746523831</v>
          </cell>
          <cell r="E13">
            <v>3.418487891317179E-2</v>
          </cell>
          <cell r="F13">
            <v>5.3387250670180464E-2</v>
          </cell>
        </row>
        <row r="14">
          <cell r="B14">
            <v>1</v>
          </cell>
          <cell r="D14">
            <v>-3.1373618052400354E-2</v>
          </cell>
          <cell r="F14">
            <v>0.23679456046624581</v>
          </cell>
        </row>
        <row r="15">
          <cell r="B15" t="str">
            <v>NA</v>
          </cell>
          <cell r="D15">
            <v>7.359924026590714E-2</v>
          </cell>
          <cell r="E15">
            <v>0.10450785773366444</v>
          </cell>
          <cell r="F15">
            <v>0.12078059071729963</v>
          </cell>
        </row>
        <row r="17">
          <cell r="B17" t="str">
            <v>NA</v>
          </cell>
          <cell r="D17">
            <v>-0.52723464547526655</v>
          </cell>
          <cell r="E17">
            <v>-0.27026260330845653</v>
          </cell>
          <cell r="F17">
            <v>-0.13075398335272015</v>
          </cell>
        </row>
        <row r="19">
          <cell r="B19">
            <v>26</v>
          </cell>
          <cell r="D19">
            <v>-4.6623781676413234E-2</v>
          </cell>
          <cell r="G19">
            <v>0.15406990886523075</v>
          </cell>
        </row>
        <row r="20">
          <cell r="B20">
            <v>26</v>
          </cell>
          <cell r="D20">
            <v>-0.1279447637160458</v>
          </cell>
          <cell r="G20">
            <v>-3.0329377034595706E-2</v>
          </cell>
        </row>
        <row r="21">
          <cell r="B21">
            <v>26</v>
          </cell>
          <cell r="D21">
            <v>-0.53846153846153832</v>
          </cell>
          <cell r="E21">
            <v>-0.47654784240150089</v>
          </cell>
          <cell r="F21">
            <v>-0.43902439024390227</v>
          </cell>
        </row>
        <row r="22">
          <cell r="B22" t="str">
            <v>NA</v>
          </cell>
          <cell r="D22">
            <v>-0.12841809217941369</v>
          </cell>
          <cell r="G22">
            <v>0.12949955227169396</v>
          </cell>
          <cell r="H22">
            <v>1.1819946743832941</v>
          </cell>
        </row>
        <row r="27">
          <cell r="B27">
            <v>50</v>
          </cell>
          <cell r="D27">
            <v>-0.11667777666542145</v>
          </cell>
          <cell r="F27">
            <v>0.45719076909809098</v>
          </cell>
        </row>
        <row r="28">
          <cell r="B28">
            <v>8</v>
          </cell>
          <cell r="D28">
            <v>-0.59637613245860677</v>
          </cell>
          <cell r="E28">
            <v>-0.49965635738831626</v>
          </cell>
          <cell r="F28">
            <v>-0.38999846130173899</v>
          </cell>
        </row>
        <row r="29">
          <cell r="B29">
            <v>48</v>
          </cell>
          <cell r="D29">
            <v>-0.26009303474066958</v>
          </cell>
          <cell r="G29">
            <v>1.0852541121347786E-2</v>
          </cell>
          <cell r="H29">
            <v>0.65104659066936499</v>
          </cell>
        </row>
        <row r="30">
          <cell r="B30">
            <v>45</v>
          </cell>
          <cell r="D30">
            <v>-8.8292309255625923E-2</v>
          </cell>
        </row>
        <row r="31">
          <cell r="B31">
            <v>46</v>
          </cell>
          <cell r="D31">
            <v>-7.6005664027442466E-2</v>
          </cell>
          <cell r="E31">
            <v>-8.5295813631649509E-3</v>
          </cell>
          <cell r="F31">
            <v>8.1028484598055783E-3</v>
          </cell>
        </row>
        <row r="32">
          <cell r="B32">
            <v>46</v>
          </cell>
          <cell r="D32">
            <v>-3.1619464999463665E-2</v>
          </cell>
          <cell r="F32">
            <v>-3.5527724603354738E-3</v>
          </cell>
        </row>
        <row r="33">
          <cell r="B33">
            <v>46</v>
          </cell>
          <cell r="D33">
            <v>-1.4590320084138853E-2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1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18.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4.5"/>
  <sheetData>
    <row r="1" spans="1:1">
      <c r="A1" t="s">
        <v>562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65"/>
  <sheetViews>
    <sheetView topLeftCell="G1" zoomScale="80" zoomScaleNormal="80" workbookViewId="0">
      <selection activeCell="O41" sqref="O41"/>
    </sheetView>
  </sheetViews>
  <sheetFormatPr defaultRowHeight="14.5"/>
  <cols>
    <col min="1" max="2" width="11.7265625" style="6" customWidth="1"/>
    <col min="3" max="3" width="11.81640625" style="6" customWidth="1"/>
    <col min="4" max="4" width="7.26953125" style="6" customWidth="1"/>
    <col min="5" max="24" width="8.7265625" style="6"/>
    <col min="25" max="25" width="13.26953125" style="6" customWidth="1"/>
    <col min="26" max="27" width="12.54296875" style="6" customWidth="1"/>
    <col min="28" max="28" width="17.90625" style="6" customWidth="1"/>
    <col min="29" max="30" width="20" style="6" customWidth="1"/>
    <col min="31" max="32" width="11.90625" style="6" customWidth="1"/>
    <col min="33" max="33" width="13.81640625" style="6" customWidth="1"/>
    <col min="34" max="34" width="17.26953125" style="6" customWidth="1"/>
    <col min="35" max="42" width="8.7265625" style="6"/>
    <col min="43" max="43" width="11" style="6" customWidth="1"/>
    <col min="44" max="44" width="12.7265625" style="6" customWidth="1"/>
    <col min="45" max="45" width="9.54296875" style="6" customWidth="1"/>
    <col min="46" max="16384" width="8.7265625" style="6"/>
  </cols>
  <sheetData>
    <row r="1" spans="1:49">
      <c r="A1" s="81" t="s">
        <v>171</v>
      </c>
      <c r="B1" s="92"/>
      <c r="C1" s="81"/>
      <c r="D1" s="81"/>
      <c r="E1" s="81"/>
      <c r="F1" s="81"/>
      <c r="G1" s="81"/>
      <c r="H1" s="81"/>
      <c r="I1" s="81"/>
      <c r="J1" s="81"/>
      <c r="K1" s="81"/>
      <c r="L1" s="81"/>
      <c r="M1" s="81"/>
      <c r="N1" s="81"/>
      <c r="O1" s="81"/>
      <c r="P1" s="81"/>
      <c r="Q1" s="81"/>
      <c r="R1" s="81"/>
      <c r="S1" s="81"/>
      <c r="T1" s="92"/>
      <c r="U1" s="81"/>
      <c r="V1" s="81"/>
    </row>
    <row r="2" spans="1:49">
      <c r="A2" s="1" t="s">
        <v>197</v>
      </c>
      <c r="B2" s="1" t="s">
        <v>196</v>
      </c>
      <c r="C2" s="1" t="s">
        <v>20</v>
      </c>
      <c r="D2" s="1" t="s">
        <v>1</v>
      </c>
      <c r="E2" s="1" t="s">
        <v>2</v>
      </c>
      <c r="F2" s="1" t="s">
        <v>3</v>
      </c>
      <c r="G2" s="1" t="s">
        <v>48</v>
      </c>
      <c r="H2" s="1" t="s">
        <v>49</v>
      </c>
      <c r="I2" s="1" t="s">
        <v>50</v>
      </c>
      <c r="J2" s="1" t="s">
        <v>4</v>
      </c>
      <c r="K2" s="1" t="s">
        <v>5</v>
      </c>
      <c r="L2" s="1" t="s">
        <v>6</v>
      </c>
      <c r="M2" s="1" t="s">
        <v>45</v>
      </c>
      <c r="N2" s="1" t="s">
        <v>46</v>
      </c>
      <c r="O2" s="1" t="s">
        <v>47</v>
      </c>
      <c r="P2" s="1" t="s">
        <v>51</v>
      </c>
      <c r="Q2" s="1" t="s">
        <v>52</v>
      </c>
      <c r="R2" s="1" t="s">
        <v>110</v>
      </c>
      <c r="S2" s="1" t="s">
        <v>109</v>
      </c>
      <c r="T2" s="1" t="s">
        <v>378</v>
      </c>
      <c r="U2" s="1" t="s">
        <v>108</v>
      </c>
      <c r="V2" s="1" t="s">
        <v>120</v>
      </c>
      <c r="W2" s="1" t="s">
        <v>121</v>
      </c>
      <c r="X2" s="1" t="s">
        <v>122</v>
      </c>
      <c r="Y2" s="1" t="s">
        <v>7</v>
      </c>
      <c r="Z2" s="1" t="s">
        <v>8</v>
      </c>
      <c r="AA2" s="1" t="s">
        <v>9</v>
      </c>
      <c r="AB2" s="1" t="s">
        <v>10</v>
      </c>
      <c r="AC2" s="1" t="s">
        <v>11</v>
      </c>
      <c r="AD2" s="1" t="s">
        <v>12</v>
      </c>
      <c r="AE2" s="1" t="s">
        <v>13</v>
      </c>
      <c r="AF2" s="1" t="s">
        <v>14</v>
      </c>
      <c r="AG2" s="1" t="s">
        <v>15</v>
      </c>
      <c r="AH2" s="1" t="s">
        <v>460</v>
      </c>
      <c r="AI2" s="1" t="s">
        <v>16</v>
      </c>
      <c r="AJ2" s="1" t="s">
        <v>17</v>
      </c>
      <c r="AK2" s="1" t="s">
        <v>107</v>
      </c>
      <c r="AL2" s="1" t="s">
        <v>134</v>
      </c>
      <c r="AM2" s="1" t="s">
        <v>136</v>
      </c>
      <c r="AN2" s="1" t="s">
        <v>135</v>
      </c>
      <c r="AO2" s="1" t="s">
        <v>106</v>
      </c>
      <c r="AP2" s="1" t="s">
        <v>459</v>
      </c>
      <c r="AQ2" s="1" t="s">
        <v>461</v>
      </c>
      <c r="AR2" s="1" t="s">
        <v>462</v>
      </c>
      <c r="AS2" s="1" t="s">
        <v>465</v>
      </c>
      <c r="AT2" s="1" t="s">
        <v>464</v>
      </c>
      <c r="AU2" s="1" t="s">
        <v>463</v>
      </c>
      <c r="AV2" s="1" t="s">
        <v>466</v>
      </c>
      <c r="AW2" s="1"/>
    </row>
    <row r="3" spans="1:49" s="15" customFormat="1">
      <c r="A3" s="15" t="s">
        <v>501</v>
      </c>
      <c r="B3" s="15" t="s">
        <v>214</v>
      </c>
      <c r="C3" s="15">
        <v>0.03</v>
      </c>
      <c r="D3" s="15">
        <v>22.3</v>
      </c>
      <c r="E3" s="15">
        <v>0.44</v>
      </c>
      <c r="F3" s="15">
        <v>0.85</v>
      </c>
      <c r="G3" s="15">
        <v>0.2</v>
      </c>
      <c r="H3" s="15">
        <v>6.17</v>
      </c>
      <c r="I3" s="15">
        <v>0.1</v>
      </c>
      <c r="J3" s="15">
        <f>D3*26.98/101.96</f>
        <v>5.9008826990976857</v>
      </c>
      <c r="K3" s="15">
        <f>E3*24.305/40.3044</f>
        <v>0.26533579460307061</v>
      </c>
      <c r="L3" s="15">
        <f>F3*47.867/79.866</f>
        <v>0.50944018731375051</v>
      </c>
      <c r="M3" s="15">
        <f>G3*40.078/56.0774</f>
        <v>0.14293815333806492</v>
      </c>
      <c r="N3" s="15">
        <f>H3*39.0983/94.2</f>
        <v>2.5608971443736732</v>
      </c>
      <c r="O3" s="15">
        <f>I3*22.989769/61.9789</f>
        <v>3.7092896130779991E-2</v>
      </c>
      <c r="P3" s="15">
        <f>100*(J3/(J3+M3+N3+O3))</f>
        <v>68.282941760717335</v>
      </c>
      <c r="Q3" s="15">
        <f>100*(J3/(J3+M3+O3))</f>
        <v>97.039407942411884</v>
      </c>
      <c r="R3" s="15">
        <v>500</v>
      </c>
      <c r="S3" s="15">
        <v>10.199999999999999</v>
      </c>
      <c r="T3" s="15">
        <v>170</v>
      </c>
      <c r="U3" s="15">
        <v>6</v>
      </c>
      <c r="V3" s="15">
        <f>R3/10000</f>
        <v>0.05</v>
      </c>
      <c r="W3" s="15">
        <f>S3/10000</f>
        <v>1.0199999999999999E-3</v>
      </c>
      <c r="X3" s="15">
        <f>U3/10000</f>
        <v>5.9999999999999995E-4</v>
      </c>
      <c r="Y3" s="15">
        <f>(J3/J24-1)*100</f>
        <v>63.970588235294137</v>
      </c>
      <c r="Z3" s="15">
        <f>(K3/K24-1)*100</f>
        <v>-66.917293233082702</v>
      </c>
      <c r="AA3" s="95">
        <f>(L3/L24-1)*100</f>
        <v>70.000000000000014</v>
      </c>
      <c r="AB3" s="15">
        <f>Z3/-0.13</f>
        <v>514.7484094852515</v>
      </c>
      <c r="AC3" s="15">
        <f>AB3*0.0018</f>
        <v>0.92654713707345271</v>
      </c>
      <c r="AD3" s="15">
        <f>AB3*0.00015</f>
        <v>7.7212261422787712E-2</v>
      </c>
      <c r="AE3" s="15">
        <f>J24*(100-AC3)/100</f>
        <v>3.5654005406127807</v>
      </c>
      <c r="AF3" s="15">
        <f>L24*(100-AD3)/100</f>
        <v>0.2994393158967818</v>
      </c>
      <c r="AG3" s="15">
        <f>AE3/AF3</f>
        <v>11.906921874754055</v>
      </c>
      <c r="AH3" s="15">
        <f>AG3/AI24-1</f>
        <v>-8.4999117305728511E-3</v>
      </c>
      <c r="AI3" s="15">
        <f>J3/L3</f>
        <v>11.583072647277218</v>
      </c>
      <c r="AJ3" s="15">
        <f>K3/L3</f>
        <v>0.52083797315278824</v>
      </c>
      <c r="AK3" s="15">
        <f>M3/L3</f>
        <v>0.28057887245168028</v>
      </c>
      <c r="AL3" s="15">
        <f>V3/L3</f>
        <v>9.8146948837403644E-2</v>
      </c>
      <c r="AM3" s="15">
        <f>W3/L3</f>
        <v>2.0021977562830339E-3</v>
      </c>
      <c r="AN3" s="15">
        <f>X3/L3</f>
        <v>1.1777633860488436E-3</v>
      </c>
      <c r="AO3" s="15">
        <f>X3/W3</f>
        <v>0.58823529411764708</v>
      </c>
      <c r="AP3" s="15">
        <f t="shared" ref="AP3:AV3" si="0">AI3/AI24-1</f>
        <v>-3.5467128027681705E-2</v>
      </c>
      <c r="AQ3" s="15">
        <f t="shared" si="0"/>
        <v>-0.80539584254754537</v>
      </c>
      <c r="AR3" s="15">
        <f t="shared" si="0"/>
        <v>-0.87871437234687688</v>
      </c>
      <c r="AS3" s="15">
        <f t="shared" si="0"/>
        <v>1.1008403361344534</v>
      </c>
      <c r="AT3" s="15">
        <f t="shared" si="0"/>
        <v>-0.33333333333333348</v>
      </c>
      <c r="AU3" s="15">
        <f t="shared" si="0"/>
        <v>-0.11764705882352955</v>
      </c>
      <c r="AV3" s="15">
        <f t="shared" si="0"/>
        <v>0.32352941176470584</v>
      </c>
    </row>
    <row r="4" spans="1:49" s="15" customFormat="1">
      <c r="A4" s="15" t="s">
        <v>502</v>
      </c>
      <c r="B4" s="15" t="s">
        <v>214</v>
      </c>
      <c r="C4" s="15">
        <v>0.04</v>
      </c>
      <c r="D4" s="15">
        <v>24.9</v>
      </c>
      <c r="E4" s="15">
        <v>0.31</v>
      </c>
      <c r="F4" s="15">
        <v>0.93</v>
      </c>
      <c r="G4" s="15">
        <v>0.22</v>
      </c>
      <c r="H4" s="15">
        <v>7.35</v>
      </c>
      <c r="I4" s="15">
        <v>0.04</v>
      </c>
      <c r="J4" s="15">
        <f t="shared" ref="J4:J24" si="1">D4*26.98/101.96</f>
        <v>6.5888779913691646</v>
      </c>
      <c r="K4" s="15">
        <f t="shared" ref="K4:K24" si="2">E4*24.305/40.3044</f>
        <v>0.18694112801579973</v>
      </c>
      <c r="L4" s="15">
        <f t="shared" ref="L4:L24" si="3">F4*47.867/79.866</f>
        <v>0.55738749906092699</v>
      </c>
      <c r="M4" s="15">
        <f t="shared" ref="M4:M24" si="4">G4*40.078/56.0774</f>
        <v>0.15723196867187142</v>
      </c>
      <c r="N4" s="15">
        <f t="shared" ref="N4:N24" si="5">H4*39.0983/94.2</f>
        <v>3.050663535031847</v>
      </c>
      <c r="O4" s="15">
        <f t="shared" ref="O4:O24" si="6">I4*22.989769/61.9789</f>
        <v>1.4837158452311995E-2</v>
      </c>
      <c r="P4" s="15">
        <f t="shared" ref="P4:P22" si="7">100*(J4/(J4+M4+N4+O4))</f>
        <v>67.153887613771744</v>
      </c>
      <c r="Q4" s="15">
        <f t="shared" ref="Q4:Q22" si="8">100*(J4/(J4+M4+O4))</f>
        <v>97.454955287943037</v>
      </c>
      <c r="R4" s="15">
        <v>890</v>
      </c>
      <c r="T4" s="15">
        <v>230</v>
      </c>
      <c r="U4" s="15">
        <v>5</v>
      </c>
      <c r="V4" s="15">
        <f t="shared" ref="V4:V24" si="9">R4/10000</f>
        <v>8.8999999999999996E-2</v>
      </c>
      <c r="W4" s="15" t="s">
        <v>53</v>
      </c>
      <c r="X4" s="15">
        <f t="shared" ref="X4:X24" si="10">U4/10000</f>
        <v>5.0000000000000001E-4</v>
      </c>
      <c r="Y4" s="15">
        <f>(J4/J24-1)*100</f>
        <v>83.088235294117666</v>
      </c>
      <c r="Z4" s="15">
        <f>(K4/K24-1)*100</f>
        <v>-76.69172932330828</v>
      </c>
      <c r="AA4" s="95">
        <f>(L4/L24-1)*100</f>
        <v>86.000000000000014</v>
      </c>
      <c r="AB4" s="15">
        <f t="shared" ref="AB4:AB23" si="11">Z4/-0.13</f>
        <v>589.93637941006364</v>
      </c>
      <c r="AC4" s="15">
        <f t="shared" ref="AC4:AC23" si="12">AB4*0.0018</f>
        <v>1.0618854829381146</v>
      </c>
      <c r="AD4" s="15">
        <f t="shared" ref="AD4:AD23" si="13">AB4*0.00015</f>
        <v>8.8490456911509544E-2</v>
      </c>
      <c r="AE4" s="15">
        <f>J24*(100-AC4)/100</f>
        <v>3.5605300591914952</v>
      </c>
      <c r="AF4" s="15">
        <f>L24*(100-AD4)/100</f>
        <v>0.29940551844959157</v>
      </c>
      <c r="AG4" s="15">
        <f t="shared" ref="AG4:AG23" si="14">AE4/AF4</f>
        <v>11.891998776872752</v>
      </c>
      <c r="AH4" s="15">
        <f>AG4/AI24-1</f>
        <v>-9.742571506306863E-3</v>
      </c>
      <c r="AI4" s="15">
        <f t="shared" ref="AI4:AI24" si="15">J4/L4</f>
        <v>11.821000654786745</v>
      </c>
      <c r="AJ4" s="15">
        <f t="shared" ref="AJ4:AJ16" si="16">K4/L4</f>
        <v>0.33538808877262882</v>
      </c>
      <c r="AK4" s="15">
        <f t="shared" ref="AK4:AK23" si="17">M4/L4</f>
        <v>0.28208736101324849</v>
      </c>
      <c r="AL4" s="15">
        <f t="shared" ref="AL4:AL24" si="18">V4/L4</f>
        <v>0.159673476979561</v>
      </c>
      <c r="AM4" s="15" t="s">
        <v>53</v>
      </c>
      <c r="AN4" s="15">
        <f t="shared" ref="AN4:AN24" si="19">X4/L4</f>
        <v>8.9704200550315167E-4</v>
      </c>
      <c r="AO4" s="15" t="s">
        <v>53</v>
      </c>
      <c r="AP4" s="15">
        <f>AI4/AI24-1</f>
        <v>-1.5654648956356709E-2</v>
      </c>
      <c r="AQ4" s="15">
        <f>AJ4/AJ24-1</f>
        <v>-0.87468671679197996</v>
      </c>
      <c r="AR4" s="15">
        <f>AK4/AK24-1</f>
        <v>-0.87806229907992461</v>
      </c>
      <c r="AS4" s="15">
        <f>AL4/AL24-1</f>
        <v>2.4178187403993854</v>
      </c>
      <c r="AT4" s="15" t="s">
        <v>53</v>
      </c>
      <c r="AU4" s="15">
        <f>AN4/AN24-1</f>
        <v>-0.32795698924731176</v>
      </c>
      <c r="AV4" s="15" t="s">
        <v>53</v>
      </c>
    </row>
    <row r="5" spans="1:49">
      <c r="A5" s="6" t="s">
        <v>503</v>
      </c>
      <c r="B5" s="6" t="s">
        <v>214</v>
      </c>
      <c r="C5" s="6">
        <v>0.09</v>
      </c>
      <c r="D5" s="6">
        <v>16.100000000000001</v>
      </c>
      <c r="E5" s="6">
        <v>0.31</v>
      </c>
      <c r="F5" s="6">
        <v>0.25</v>
      </c>
      <c r="G5" s="6">
        <v>0.02</v>
      </c>
      <c r="H5" s="6">
        <v>4.5</v>
      </c>
      <c r="I5" s="6">
        <v>0.1</v>
      </c>
      <c r="J5" s="6">
        <f t="shared" si="1"/>
        <v>4.2602785406041592</v>
      </c>
      <c r="K5" s="6">
        <f t="shared" si="2"/>
        <v>0.18694112801579973</v>
      </c>
      <c r="L5" s="6">
        <f t="shared" si="3"/>
        <v>0.14983534920992661</v>
      </c>
      <c r="M5" s="6">
        <f t="shared" si="4"/>
        <v>1.4293815333806491E-2</v>
      </c>
      <c r="N5" s="6">
        <f t="shared" si="5"/>
        <v>1.8677531847133757</v>
      </c>
      <c r="O5" s="6">
        <f t="shared" si="6"/>
        <v>3.7092896130779991E-2</v>
      </c>
      <c r="P5" s="6">
        <f t="shared" si="7"/>
        <v>68.943033785274181</v>
      </c>
      <c r="Q5" s="6">
        <f t="shared" si="8"/>
        <v>98.808193390246828</v>
      </c>
      <c r="R5" s="6">
        <v>160</v>
      </c>
      <c r="S5" s="6">
        <v>11</v>
      </c>
      <c r="T5" s="6">
        <v>150</v>
      </c>
      <c r="U5" s="6">
        <v>3</v>
      </c>
      <c r="V5" s="6">
        <f t="shared" si="9"/>
        <v>1.6E-2</v>
      </c>
      <c r="W5" s="6">
        <f t="shared" ref="W5:W24" si="20">S5/10000</f>
        <v>1.1000000000000001E-3</v>
      </c>
      <c r="X5" s="6">
        <f t="shared" si="10"/>
        <v>2.9999999999999997E-4</v>
      </c>
      <c r="Y5" s="6">
        <f>(J5/J24-1)*100</f>
        <v>18.382352941176492</v>
      </c>
      <c r="Z5" s="6">
        <f>(K5/K24-1)*100</f>
        <v>-76.69172932330828</v>
      </c>
      <c r="AA5" s="52">
        <f>(L5/L24-1)*100</f>
        <v>-50</v>
      </c>
      <c r="AB5" s="6">
        <f t="shared" si="11"/>
        <v>589.93637941006364</v>
      </c>
      <c r="AC5" s="6">
        <f t="shared" si="12"/>
        <v>1.0618854829381146</v>
      </c>
      <c r="AD5" s="6">
        <f t="shared" si="13"/>
        <v>8.8490456911509544E-2</v>
      </c>
      <c r="AE5" s="6">
        <f>J24*(100-AC5)/100</f>
        <v>3.5605300591914952</v>
      </c>
      <c r="AF5" s="6">
        <f>L24*(100-AD5)/100</f>
        <v>0.29940551844959157</v>
      </c>
      <c r="AG5" s="6">
        <f t="shared" si="14"/>
        <v>11.891998776872752</v>
      </c>
      <c r="AH5" s="6">
        <f>AG5/AI24-1</f>
        <v>-9.742571506306863E-3</v>
      </c>
      <c r="AI5" s="6">
        <f t="shared" si="15"/>
        <v>28.433067117128026</v>
      </c>
      <c r="AJ5" s="6">
        <f t="shared" si="16"/>
        <v>1.2476436902341792</v>
      </c>
      <c r="AK5" s="6">
        <f t="shared" si="17"/>
        <v>9.5396816633571302E-2</v>
      </c>
      <c r="AL5" s="6">
        <f t="shared" si="18"/>
        <v>0.10678388033509517</v>
      </c>
      <c r="AM5" s="6">
        <f t="shared" ref="AM5:AM24" si="21">W5/L5</f>
        <v>7.3413917730377936E-3</v>
      </c>
      <c r="AN5" s="6">
        <f t="shared" si="19"/>
        <v>2.0021977562830343E-3</v>
      </c>
      <c r="AO5" s="6">
        <f t="shared" ref="AO5:AO24" si="22">X5/W5</f>
        <v>0.27272727272727271</v>
      </c>
      <c r="AP5" s="6">
        <f t="shared" ref="AP5:AV5" si="23">AI5/AI24-1</f>
        <v>1.3676470588235294</v>
      </c>
      <c r="AQ5" s="6">
        <f t="shared" si="23"/>
        <v>-0.53383458646616555</v>
      </c>
      <c r="AR5" s="6">
        <f t="shared" si="23"/>
        <v>-0.95876288659793818</v>
      </c>
      <c r="AS5" s="6">
        <f t="shared" si="23"/>
        <v>1.2857142857142856</v>
      </c>
      <c r="AT5" s="6">
        <f t="shared" si="23"/>
        <v>1.4444444444444446</v>
      </c>
      <c r="AU5" s="6">
        <f t="shared" si="23"/>
        <v>0.5</v>
      </c>
      <c r="AV5" s="6">
        <f t="shared" si="23"/>
        <v>-0.38636363636363646</v>
      </c>
    </row>
    <row r="6" spans="1:49" s="15" customFormat="1">
      <c r="A6" s="15" t="s">
        <v>504</v>
      </c>
      <c r="B6" s="15" t="s">
        <v>214</v>
      </c>
      <c r="C6" s="15">
        <v>0.12</v>
      </c>
      <c r="D6" s="15">
        <v>12.8</v>
      </c>
      <c r="E6" s="15">
        <v>0.33</v>
      </c>
      <c r="F6" s="15">
        <v>0.02</v>
      </c>
      <c r="G6" s="15">
        <v>0.02</v>
      </c>
      <c r="H6" s="15">
        <v>3.68</v>
      </c>
      <c r="I6" s="15">
        <v>0.1</v>
      </c>
      <c r="J6" s="15">
        <f t="shared" si="1"/>
        <v>3.3870537465672821</v>
      </c>
      <c r="K6" s="15">
        <f t="shared" si="2"/>
        <v>0.19900184595230297</v>
      </c>
      <c r="L6" s="15">
        <f t="shared" si="3"/>
        <v>1.198682793679413E-2</v>
      </c>
      <c r="M6" s="15">
        <f t="shared" si="4"/>
        <v>1.4293815333806491E-2</v>
      </c>
      <c r="N6" s="15">
        <f t="shared" si="5"/>
        <v>1.527407048832272</v>
      </c>
      <c r="O6" s="15">
        <f t="shared" si="6"/>
        <v>3.7092896130779991E-2</v>
      </c>
      <c r="P6" s="15">
        <f t="shared" si="7"/>
        <v>68.206962495031519</v>
      </c>
      <c r="Q6" s="15">
        <f t="shared" si="8"/>
        <v>98.505522719041068</v>
      </c>
      <c r="R6" s="15">
        <v>99</v>
      </c>
      <c r="S6" s="15">
        <v>8.8699999999999992</v>
      </c>
      <c r="T6" s="15">
        <v>120</v>
      </c>
      <c r="U6" s="15">
        <v>3</v>
      </c>
      <c r="V6" s="15">
        <f t="shared" si="9"/>
        <v>9.9000000000000008E-3</v>
      </c>
      <c r="W6" s="15">
        <f t="shared" si="20"/>
        <v>8.8699999999999988E-4</v>
      </c>
      <c r="X6" s="15">
        <f t="shared" si="10"/>
        <v>2.9999999999999997E-4</v>
      </c>
      <c r="Y6" s="15">
        <f>(J6/J24-1)*100</f>
        <v>-5.8823529411764497</v>
      </c>
      <c r="Z6" s="15">
        <f>(K6/K24-1)*100</f>
        <v>-75.187969924812023</v>
      </c>
      <c r="AA6" s="95">
        <f>(L6/L24-1)*100</f>
        <v>-96</v>
      </c>
      <c r="AB6" s="15">
        <f t="shared" si="11"/>
        <v>578.36899942163097</v>
      </c>
      <c r="AC6" s="15">
        <f t="shared" si="12"/>
        <v>1.0410641989589358</v>
      </c>
      <c r="AD6" s="15">
        <f t="shared" si="13"/>
        <v>8.6755349913244642E-2</v>
      </c>
      <c r="AE6" s="15">
        <f>J24*(100-AC6)/100</f>
        <v>3.5612793640255394</v>
      </c>
      <c r="AF6" s="15">
        <f>L24*(100-AD6)/100</f>
        <v>0.2994107180568516</v>
      </c>
      <c r="AG6" s="15">
        <f t="shared" si="14"/>
        <v>11.894294857371571</v>
      </c>
      <c r="AH6" s="15">
        <f>AG6/AI24-1</f>
        <v>-9.5513748191026204E-3</v>
      </c>
      <c r="AI6" s="15">
        <f t="shared" si="15"/>
        <v>282.56464215779403</v>
      </c>
      <c r="AJ6" s="15">
        <f t="shared" si="16"/>
        <v>16.601710394245124</v>
      </c>
      <c r="AK6" s="15">
        <f t="shared" si="17"/>
        <v>1.1924602079196411</v>
      </c>
      <c r="AL6" s="15">
        <f t="shared" si="18"/>
        <v>0.82590657446675164</v>
      </c>
      <c r="AM6" s="15">
        <f t="shared" si="21"/>
        <v>7.3997892075960456E-2</v>
      </c>
      <c r="AN6" s="15">
        <f t="shared" si="19"/>
        <v>2.5027471953537925E-2</v>
      </c>
      <c r="AO6" s="15">
        <f t="shared" si="22"/>
        <v>0.33821871476888388</v>
      </c>
      <c r="AP6" s="15">
        <f t="shared" ref="AP6:AV6" si="24">AI6/AI24-1</f>
        <v>22.529411764705884</v>
      </c>
      <c r="AQ6" s="15">
        <f t="shared" si="24"/>
        <v>5.2030075187969906</v>
      </c>
      <c r="AR6" s="15">
        <f t="shared" si="24"/>
        <v>-0.48453608247422686</v>
      </c>
      <c r="AS6" s="15">
        <f t="shared" si="24"/>
        <v>16.678571428571427</v>
      </c>
      <c r="AT6" s="15">
        <f t="shared" si="24"/>
        <v>23.638888888888882</v>
      </c>
      <c r="AU6" s="15">
        <f t="shared" si="24"/>
        <v>17.749999999999996</v>
      </c>
      <c r="AV6" s="15">
        <f t="shared" si="24"/>
        <v>-0.23900789177001136</v>
      </c>
    </row>
    <row r="7" spans="1:49">
      <c r="A7" s="6" t="s">
        <v>505</v>
      </c>
      <c r="B7" s="6" t="s">
        <v>214</v>
      </c>
      <c r="C7" s="6">
        <v>0.15</v>
      </c>
      <c r="D7" s="6">
        <v>9.75</v>
      </c>
      <c r="E7" s="6">
        <v>0.28000000000000003</v>
      </c>
      <c r="F7" s="6">
        <v>0.23</v>
      </c>
      <c r="G7" s="6">
        <v>0.1</v>
      </c>
      <c r="H7" s="6">
        <v>3.83</v>
      </c>
      <c r="I7" s="6">
        <v>0.04</v>
      </c>
      <c r="J7" s="6">
        <f t="shared" si="1"/>
        <v>2.5799823460180464</v>
      </c>
      <c r="K7" s="6">
        <f t="shared" si="2"/>
        <v>0.16885005111104495</v>
      </c>
      <c r="L7" s="6">
        <f t="shared" si="3"/>
        <v>0.13784852127313249</v>
      </c>
      <c r="M7" s="6">
        <f t="shared" si="4"/>
        <v>7.1469076669032461E-2</v>
      </c>
      <c r="N7" s="6">
        <f t="shared" si="5"/>
        <v>1.5896654883227175</v>
      </c>
      <c r="O7" s="6">
        <f t="shared" si="6"/>
        <v>1.4837158452311995E-2</v>
      </c>
      <c r="P7" s="6">
        <f t="shared" si="7"/>
        <v>60.620540163491931</v>
      </c>
      <c r="Q7" s="6">
        <f t="shared" si="8"/>
        <v>96.763057242496117</v>
      </c>
      <c r="R7" s="6">
        <v>130</v>
      </c>
      <c r="T7" s="6">
        <v>170</v>
      </c>
      <c r="U7" s="6">
        <v>2</v>
      </c>
      <c r="V7" s="6">
        <f t="shared" si="9"/>
        <v>1.2999999999999999E-2</v>
      </c>
      <c r="W7" s="6" t="s">
        <v>53</v>
      </c>
      <c r="X7" s="6">
        <f t="shared" si="10"/>
        <v>2.0000000000000001E-4</v>
      </c>
      <c r="Y7" s="6">
        <f>(J7/J24-1)*100</f>
        <v>-28.308823529411764</v>
      </c>
      <c r="Z7" s="6">
        <f>(K7/K24-1)*100</f>
        <v>-78.94736842105263</v>
      </c>
      <c r="AA7" s="52">
        <f>(L7/L24-1)*100</f>
        <v>-54</v>
      </c>
      <c r="AB7" s="6">
        <f t="shared" si="11"/>
        <v>607.28744939271257</v>
      </c>
      <c r="AC7" s="6">
        <f t="shared" si="12"/>
        <v>1.0931174089068827</v>
      </c>
      <c r="AD7" s="6">
        <f t="shared" si="13"/>
        <v>9.1093117408906882E-2</v>
      </c>
      <c r="AE7" s="6">
        <f>J24*(100-AC7)/100</f>
        <v>3.5594061019404291</v>
      </c>
      <c r="AF7" s="6">
        <f>L24*(100-AD7)/100</f>
        <v>0.29939771903870155</v>
      </c>
      <c r="AG7" s="6">
        <f t="shared" si="14"/>
        <v>11.888554506590358</v>
      </c>
      <c r="AH7" s="6">
        <f>AG7/AI24-1</f>
        <v>-1.0029378988957616E-2</v>
      </c>
      <c r="AI7" s="6">
        <f t="shared" si="15"/>
        <v>18.716068349446275</v>
      </c>
      <c r="AJ7" s="6">
        <f t="shared" si="16"/>
        <v>1.2248956285609054</v>
      </c>
      <c r="AK7" s="6">
        <f t="shared" si="17"/>
        <v>0.51846095996506136</v>
      </c>
      <c r="AL7" s="6">
        <f t="shared" si="18"/>
        <v>9.4306416056809589E-2</v>
      </c>
      <c r="AM7" s="6" t="s">
        <v>53</v>
      </c>
      <c r="AN7" s="6">
        <f t="shared" si="19"/>
        <v>1.4508679393355321E-3</v>
      </c>
      <c r="AO7" s="6" t="s">
        <v>53</v>
      </c>
      <c r="AP7" s="6">
        <f>AI7/AI24-1</f>
        <v>0.55850383631713552</v>
      </c>
      <c r="AQ7" s="6">
        <f>AJ7/AJ24-1</f>
        <v>-0.54233409610983985</v>
      </c>
      <c r="AR7" s="6">
        <f>AK7/AK24-1</f>
        <v>-0.77588525324966384</v>
      </c>
      <c r="AS7" s="6">
        <f>AL7/AL24-1</f>
        <v>1.0186335403726705</v>
      </c>
      <c r="AT7" s="6" t="s">
        <v>53</v>
      </c>
      <c r="AU7" s="6">
        <f>AN7/AN24-1</f>
        <v>8.6956521739130377E-2</v>
      </c>
      <c r="AV7" s="6" t="s">
        <v>53</v>
      </c>
    </row>
    <row r="8" spans="1:49">
      <c r="A8" s="6" t="s">
        <v>506</v>
      </c>
      <c r="B8" s="6" t="s">
        <v>214</v>
      </c>
      <c r="C8" s="6">
        <v>0.57999999999999996</v>
      </c>
      <c r="D8" s="6">
        <v>16.899999999999999</v>
      </c>
      <c r="E8" s="6">
        <v>0.51</v>
      </c>
      <c r="F8" s="6">
        <v>0.42</v>
      </c>
      <c r="G8" s="6">
        <v>0.05</v>
      </c>
      <c r="H8" s="6">
        <v>5.1100000000000003</v>
      </c>
      <c r="I8" s="6">
        <v>0.1</v>
      </c>
      <c r="J8" s="6">
        <f t="shared" si="1"/>
        <v>4.4719693997646139</v>
      </c>
      <c r="K8" s="6">
        <f t="shared" si="2"/>
        <v>0.30754830738083189</v>
      </c>
      <c r="L8" s="6">
        <f t="shared" si="3"/>
        <v>0.25172338667267669</v>
      </c>
      <c r="M8" s="6">
        <f t="shared" si="4"/>
        <v>3.573453833451623E-2</v>
      </c>
      <c r="N8" s="6">
        <f t="shared" si="5"/>
        <v>2.1209375053078561</v>
      </c>
      <c r="O8" s="6">
        <f t="shared" si="6"/>
        <v>3.7092896130779991E-2</v>
      </c>
      <c r="P8" s="6">
        <f t="shared" si="7"/>
        <v>67.088923319958198</v>
      </c>
      <c r="Q8" s="6">
        <f t="shared" si="8"/>
        <v>98.397564575015011</v>
      </c>
      <c r="R8" s="6">
        <v>210</v>
      </c>
      <c r="S8" s="6">
        <v>18.899999999999999</v>
      </c>
      <c r="T8" s="6">
        <v>220</v>
      </c>
      <c r="U8" s="6">
        <v>5</v>
      </c>
      <c r="V8" s="6">
        <f t="shared" si="9"/>
        <v>2.1000000000000001E-2</v>
      </c>
      <c r="W8" s="6">
        <f t="shared" si="20"/>
        <v>1.8899999999999998E-3</v>
      </c>
      <c r="X8" s="6">
        <f t="shared" si="10"/>
        <v>5.0000000000000001E-4</v>
      </c>
      <c r="Y8" s="6">
        <f>(J8/J24-1)*100</f>
        <v>24.264705882352942</v>
      </c>
      <c r="Z8" s="6">
        <f>(K8/K24-1)*100</f>
        <v>-61.654135338345874</v>
      </c>
      <c r="AA8" s="52">
        <f>(L8/L24-1)*100</f>
        <v>-16.000000000000004</v>
      </c>
      <c r="AB8" s="6">
        <f t="shared" si="11"/>
        <v>474.26257952573746</v>
      </c>
      <c r="AC8" s="6">
        <f t="shared" si="12"/>
        <v>0.8536726431463274</v>
      </c>
      <c r="AD8" s="6">
        <f t="shared" si="13"/>
        <v>7.1139386928860612E-2</v>
      </c>
      <c r="AE8" s="6">
        <f>J24*(100-AC8)/100</f>
        <v>3.5680231075319346</v>
      </c>
      <c r="AF8" s="6">
        <f>L24*(100-AD8)/100</f>
        <v>0.29945751452219188</v>
      </c>
      <c r="AG8" s="6">
        <f t="shared" si="14"/>
        <v>11.91495599375757</v>
      </c>
      <c r="AH8" s="6">
        <f>AG8/AI24-1</f>
        <v>-7.8309034188577265E-3</v>
      </c>
      <c r="AI8" s="6">
        <f t="shared" si="15"/>
        <v>17.765410909474404</v>
      </c>
      <c r="AJ8" s="6">
        <f t="shared" si="16"/>
        <v>1.2217708948145767</v>
      </c>
      <c r="AK8" s="6">
        <f t="shared" si="17"/>
        <v>0.14195954856186208</v>
      </c>
      <c r="AL8" s="6">
        <f t="shared" si="18"/>
        <v>8.3424906511793115E-2</v>
      </c>
      <c r="AM8" s="6">
        <f t="shared" si="21"/>
        <v>7.5082415860613788E-3</v>
      </c>
      <c r="AN8" s="6">
        <f t="shared" si="19"/>
        <v>1.986307297899836E-3</v>
      </c>
      <c r="AO8" s="6">
        <f t="shared" si="22"/>
        <v>0.26455026455026459</v>
      </c>
      <c r="AP8" s="6">
        <f t="shared" ref="AP8:AV8" si="25">AI8/AI24-1</f>
        <v>0.47934173669467817</v>
      </c>
      <c r="AQ8" s="6">
        <f t="shared" si="25"/>
        <v>-0.5435016111707841</v>
      </c>
      <c r="AR8" s="6">
        <f t="shared" si="25"/>
        <v>-0.93863524791359843</v>
      </c>
      <c r="AS8" s="6">
        <f t="shared" si="25"/>
        <v>0.78571428571428581</v>
      </c>
      <c r="AT8" s="6">
        <f t="shared" si="25"/>
        <v>1.5</v>
      </c>
      <c r="AU8" s="6">
        <f t="shared" si="25"/>
        <v>0.48809523809523836</v>
      </c>
      <c r="AV8" s="6">
        <f t="shared" si="25"/>
        <v>-0.40476190476190466</v>
      </c>
    </row>
    <row r="9" spans="1:49">
      <c r="A9" s="6" t="s">
        <v>507</v>
      </c>
      <c r="B9" s="6" t="s">
        <v>214</v>
      </c>
      <c r="C9" s="6">
        <v>0.75</v>
      </c>
      <c r="D9" s="6">
        <v>15</v>
      </c>
      <c r="E9" s="6">
        <v>0.61</v>
      </c>
      <c r="F9" s="6">
        <v>0.4</v>
      </c>
      <c r="G9" s="6">
        <v>0.09</v>
      </c>
      <c r="H9" s="6">
        <v>5.2</v>
      </c>
      <c r="I9" s="6">
        <v>0.03</v>
      </c>
      <c r="J9" s="6">
        <f t="shared" si="1"/>
        <v>3.9692036092585328</v>
      </c>
      <c r="K9" s="6">
        <f t="shared" si="2"/>
        <v>0.36785189706334787</v>
      </c>
      <c r="L9" s="6">
        <f t="shared" si="3"/>
        <v>0.23973655873588259</v>
      </c>
      <c r="M9" s="6">
        <f t="shared" si="4"/>
        <v>6.4322169002129212E-2</v>
      </c>
      <c r="N9" s="6">
        <f t="shared" si="5"/>
        <v>2.1582925690021235</v>
      </c>
      <c r="O9" s="6">
        <f t="shared" si="6"/>
        <v>1.1127868839233996E-2</v>
      </c>
      <c r="P9" s="6">
        <f t="shared" si="7"/>
        <v>63.989005723683547</v>
      </c>
      <c r="Q9" s="6">
        <f t="shared" si="8"/>
        <v>98.134573577258905</v>
      </c>
      <c r="R9" s="6">
        <v>220</v>
      </c>
      <c r="T9" s="6">
        <v>240</v>
      </c>
      <c r="U9" s="6">
        <v>9</v>
      </c>
      <c r="V9" s="6">
        <f t="shared" si="9"/>
        <v>2.1999999999999999E-2</v>
      </c>
      <c r="W9" s="6" t="s">
        <v>53</v>
      </c>
      <c r="X9" s="6">
        <f t="shared" si="10"/>
        <v>8.9999999999999998E-4</v>
      </c>
      <c r="Y9" s="6">
        <f>(J9/J24-1)*100</f>
        <v>10.294117647058831</v>
      </c>
      <c r="Z9" s="6">
        <f>(K9/K24-1)*100</f>
        <v>-54.135338345864668</v>
      </c>
      <c r="AA9" s="52">
        <f>(L9/L24-1)*100</f>
        <v>-19.999999999999996</v>
      </c>
      <c r="AB9" s="6">
        <f t="shared" si="11"/>
        <v>416.42567958357438</v>
      </c>
      <c r="AC9" s="6">
        <f t="shared" si="12"/>
        <v>0.74956622325043387</v>
      </c>
      <c r="AD9" s="6">
        <f t="shared" si="13"/>
        <v>6.2463851937536154E-2</v>
      </c>
      <c r="AE9" s="6">
        <f>J24*(100-AC9)/100</f>
        <v>3.5717696317021539</v>
      </c>
      <c r="AF9" s="6">
        <f>L24*(100-AD9)/100</f>
        <v>0.29948351255849209</v>
      </c>
      <c r="AG9" s="6">
        <f t="shared" si="14"/>
        <v>11.926431612840631</v>
      </c>
      <c r="AH9" s="6">
        <f>AG9/AI24-1</f>
        <v>-6.8753183017733477E-3</v>
      </c>
      <c r="AI9" s="6">
        <f t="shared" si="15"/>
        <v>16.55652200143324</v>
      </c>
      <c r="AJ9" s="6">
        <f t="shared" si="16"/>
        <v>1.5344005061347767</v>
      </c>
      <c r="AK9" s="6">
        <f t="shared" si="17"/>
        <v>0.26830354678191926</v>
      </c>
      <c r="AL9" s="6">
        <f t="shared" si="18"/>
        <v>9.17673971629724E-2</v>
      </c>
      <c r="AM9" s="6" t="s">
        <v>53</v>
      </c>
      <c r="AN9" s="6">
        <f t="shared" si="19"/>
        <v>3.7541207930306894E-3</v>
      </c>
      <c r="AO9" s="6" t="s">
        <v>53</v>
      </c>
      <c r="AP9" s="6">
        <f>AI9/AI24-1</f>
        <v>0.37867647058823506</v>
      </c>
      <c r="AQ9" s="6">
        <f>AJ9/AJ24-1</f>
        <v>-0.42669172932330846</v>
      </c>
      <c r="AR9" s="6">
        <f>AK9/AK24-1</f>
        <v>-0.884020618556701</v>
      </c>
      <c r="AS9" s="6">
        <f>AL9/AL24-1</f>
        <v>0.96428571428571397</v>
      </c>
      <c r="AT9" s="6" t="s">
        <v>53</v>
      </c>
      <c r="AU9" s="6">
        <f>AN9/AN24-1</f>
        <v>1.8125</v>
      </c>
      <c r="AV9" s="6" t="s">
        <v>53</v>
      </c>
    </row>
    <row r="10" spans="1:49">
      <c r="A10" s="6" t="s">
        <v>508</v>
      </c>
      <c r="B10" s="6" t="s">
        <v>214</v>
      </c>
      <c r="C10" s="6">
        <v>0.88</v>
      </c>
      <c r="D10" s="6">
        <v>18.399999999999999</v>
      </c>
      <c r="E10" s="6">
        <v>0.52</v>
      </c>
      <c r="F10" s="6">
        <v>0.34</v>
      </c>
      <c r="G10" s="6">
        <v>0.01</v>
      </c>
      <c r="H10" s="6">
        <v>5.89</v>
      </c>
      <c r="I10" s="6">
        <v>0.1</v>
      </c>
      <c r="J10" s="6">
        <f t="shared" si="1"/>
        <v>4.8688897606904664</v>
      </c>
      <c r="K10" s="6">
        <f t="shared" si="2"/>
        <v>0.31357866634908349</v>
      </c>
      <c r="L10" s="6">
        <f t="shared" si="3"/>
        <v>0.20377607492550021</v>
      </c>
      <c r="M10" s="6">
        <f t="shared" si="4"/>
        <v>7.1469076669032454E-3</v>
      </c>
      <c r="N10" s="6">
        <f t="shared" si="5"/>
        <v>2.4446813906581739</v>
      </c>
      <c r="O10" s="6">
        <f t="shared" si="6"/>
        <v>3.7092896130779991E-2</v>
      </c>
      <c r="P10" s="6">
        <f t="shared" si="7"/>
        <v>66.173074986181675</v>
      </c>
      <c r="Q10" s="6">
        <f t="shared" si="8"/>
        <v>99.099559594002045</v>
      </c>
      <c r="R10" s="6">
        <v>130</v>
      </c>
      <c r="S10" s="6">
        <v>10.5</v>
      </c>
      <c r="T10" s="6">
        <v>200</v>
      </c>
      <c r="U10" s="6">
        <v>3</v>
      </c>
      <c r="V10" s="6">
        <f t="shared" si="9"/>
        <v>1.2999999999999999E-2</v>
      </c>
      <c r="W10" s="6">
        <f t="shared" si="20"/>
        <v>1.0499999999999999E-3</v>
      </c>
      <c r="X10" s="6">
        <f t="shared" si="10"/>
        <v>2.9999999999999997E-4</v>
      </c>
      <c r="Y10" s="6">
        <f>(J10/J24-1)*100</f>
        <v>35.294117647058812</v>
      </c>
      <c r="Z10" s="6">
        <f>(K10/K24-1)*100</f>
        <v>-60.902255639097746</v>
      </c>
      <c r="AA10" s="52">
        <f>(L10/L24-1)*100</f>
        <v>-31.999999999999996</v>
      </c>
      <c r="AB10" s="6">
        <f t="shared" si="11"/>
        <v>468.47888953152108</v>
      </c>
      <c r="AC10" s="6">
        <f t="shared" si="12"/>
        <v>0.84326200115673788</v>
      </c>
      <c r="AD10" s="6">
        <f t="shared" si="13"/>
        <v>7.0271833429728162E-2</v>
      </c>
      <c r="AE10" s="6">
        <f>J24*(100-AC10)/100</f>
        <v>3.5683977599489567</v>
      </c>
      <c r="AF10" s="6">
        <f>L24*(100-AD10)/100</f>
        <v>0.29946011432582192</v>
      </c>
      <c r="AG10" s="6">
        <f t="shared" si="14"/>
        <v>11.916103645330306</v>
      </c>
      <c r="AH10" s="6">
        <f>AG10/AI24-1</f>
        <v>-7.7353374407116426E-3</v>
      </c>
      <c r="AI10" s="6">
        <f t="shared" si="15"/>
        <v>23.893333711872284</v>
      </c>
      <c r="AJ10" s="6">
        <f t="shared" si="16"/>
        <v>1.5388394661332383</v>
      </c>
      <c r="AK10" s="6">
        <f t="shared" si="17"/>
        <v>3.5072359056460035E-2</v>
      </c>
      <c r="AL10" s="6">
        <f t="shared" si="18"/>
        <v>6.3795516744312358E-2</v>
      </c>
      <c r="AM10" s="6">
        <f t="shared" si="21"/>
        <v>5.1527148139636908E-3</v>
      </c>
      <c r="AN10" s="6">
        <f t="shared" si="19"/>
        <v>1.4722042325610546E-3</v>
      </c>
      <c r="AO10" s="6">
        <f t="shared" si="22"/>
        <v>0.2857142857142857</v>
      </c>
      <c r="AP10" s="6">
        <f t="shared" ref="AP10:AV10" si="26">AI10/AI24-1</f>
        <v>0.98961937716262938</v>
      </c>
      <c r="AQ10" s="6">
        <f t="shared" si="26"/>
        <v>-0.42503317116320216</v>
      </c>
      <c r="AR10" s="6">
        <f t="shared" si="26"/>
        <v>-0.98483929654335967</v>
      </c>
      <c r="AS10" s="6">
        <f t="shared" si="26"/>
        <v>0.36554621848739455</v>
      </c>
      <c r="AT10" s="6">
        <f t="shared" si="26"/>
        <v>0.71568627450980382</v>
      </c>
      <c r="AU10" s="6">
        <f t="shared" si="26"/>
        <v>0.10294117647058809</v>
      </c>
      <c r="AV10" s="6">
        <f t="shared" si="26"/>
        <v>-0.35714285714285721</v>
      </c>
    </row>
    <row r="11" spans="1:49">
      <c r="A11" s="6" t="s">
        <v>509</v>
      </c>
      <c r="B11" s="6" t="s">
        <v>215</v>
      </c>
      <c r="C11" s="6">
        <v>1</v>
      </c>
      <c r="D11" s="6">
        <v>14.1</v>
      </c>
      <c r="E11" s="6">
        <v>0.5</v>
      </c>
      <c r="F11" s="6">
        <v>0.28999999999999998</v>
      </c>
      <c r="G11" s="6">
        <v>0.01</v>
      </c>
      <c r="H11" s="6">
        <v>5.6</v>
      </c>
      <c r="I11" s="6">
        <v>0.05</v>
      </c>
      <c r="J11" s="6">
        <f t="shared" si="1"/>
        <v>3.7310513927030211</v>
      </c>
      <c r="K11" s="6">
        <f t="shared" si="2"/>
        <v>0.30151794841258023</v>
      </c>
      <c r="L11" s="6">
        <f t="shared" si="3"/>
        <v>0.17380900508351488</v>
      </c>
      <c r="M11" s="6">
        <f t="shared" si="4"/>
        <v>7.1469076669032454E-3</v>
      </c>
      <c r="N11" s="6">
        <f t="shared" si="5"/>
        <v>2.3243150743099785</v>
      </c>
      <c r="O11" s="6">
        <f t="shared" si="6"/>
        <v>1.8546448065389996E-2</v>
      </c>
      <c r="P11" s="6">
        <f t="shared" si="7"/>
        <v>61.355281833399879</v>
      </c>
      <c r="Q11" s="6">
        <f t="shared" si="8"/>
        <v>99.316073956235812</v>
      </c>
      <c r="R11" s="6">
        <v>150</v>
      </c>
      <c r="T11" s="6">
        <v>220</v>
      </c>
      <c r="U11" s="6">
        <v>6</v>
      </c>
      <c r="V11" s="6">
        <f t="shared" si="9"/>
        <v>1.4999999999999999E-2</v>
      </c>
      <c r="W11" s="6" t="s">
        <v>53</v>
      </c>
      <c r="X11" s="6">
        <f t="shared" si="10"/>
        <v>5.9999999999999995E-4</v>
      </c>
      <c r="Y11" s="6">
        <f>(J11/J24-1)*100</f>
        <v>3.6764705882353033</v>
      </c>
      <c r="Z11" s="6">
        <f>(K11/K24-1)*100</f>
        <v>-62.406015037593995</v>
      </c>
      <c r="AA11" s="52">
        <f>(L11/L24-1)*100</f>
        <v>-41.999999999999993</v>
      </c>
      <c r="AB11" s="6">
        <f t="shared" si="11"/>
        <v>480.0462695199538</v>
      </c>
      <c r="AC11" s="6">
        <f t="shared" si="12"/>
        <v>0.86408328513591681</v>
      </c>
      <c r="AD11" s="6">
        <f t="shared" si="13"/>
        <v>7.2006940427993063E-2</v>
      </c>
      <c r="AE11" s="6">
        <f>J24*(100-AC11)/100</f>
        <v>3.5676484551149121</v>
      </c>
      <c r="AF11" s="6">
        <f>L24*(100-AD11)/100</f>
        <v>0.29945491471856189</v>
      </c>
      <c r="AG11" s="6">
        <f t="shared" si="14"/>
        <v>11.913808322257498</v>
      </c>
      <c r="AH11" s="6">
        <f>AG11/AI24-1</f>
        <v>-7.9264710563710095E-3</v>
      </c>
      <c r="AI11" s="6">
        <f t="shared" si="15"/>
        <v>21.466387146685861</v>
      </c>
      <c r="AJ11" s="6">
        <f t="shared" si="16"/>
        <v>1.7347659764101488</v>
      </c>
      <c r="AK11" s="6">
        <f t="shared" si="17"/>
        <v>4.1119317514470385E-2</v>
      </c>
      <c r="AL11" s="6">
        <f t="shared" si="18"/>
        <v>8.6301627425992858E-2</v>
      </c>
      <c r="AM11" s="6" t="s">
        <v>53</v>
      </c>
      <c r="AN11" s="6">
        <f t="shared" si="19"/>
        <v>3.4520650970397142E-3</v>
      </c>
      <c r="AO11" s="6" t="s">
        <v>53</v>
      </c>
      <c r="AP11" s="6">
        <f>AI11/AI24-1</f>
        <v>0.78752535496957399</v>
      </c>
      <c r="AQ11" s="6">
        <f>AJ11/AJ24-1</f>
        <v>-0.35182784547575863</v>
      </c>
      <c r="AR11" s="6">
        <f>AK11/AK24-1</f>
        <v>-0.98222538215428368</v>
      </c>
      <c r="AS11" s="6">
        <f>AL11/AL24-1</f>
        <v>0.8472906403940883</v>
      </c>
      <c r="AT11" s="6" t="s">
        <v>53</v>
      </c>
      <c r="AU11" s="6">
        <f>AN11/AN24-1</f>
        <v>1.5862068965517238</v>
      </c>
      <c r="AV11" s="6" t="s">
        <v>53</v>
      </c>
    </row>
    <row r="12" spans="1:49">
      <c r="A12" s="6" t="s">
        <v>510</v>
      </c>
      <c r="B12" s="6" t="s">
        <v>215</v>
      </c>
      <c r="C12" s="6">
        <v>1.19</v>
      </c>
      <c r="D12" s="6">
        <v>16</v>
      </c>
      <c r="E12" s="6">
        <v>0.48</v>
      </c>
      <c r="F12" s="6">
        <v>0.28000000000000003</v>
      </c>
      <c r="G12" s="6">
        <v>0.01</v>
      </c>
      <c r="H12" s="6">
        <v>5.87</v>
      </c>
      <c r="I12" s="6">
        <v>0.1</v>
      </c>
      <c r="J12" s="6">
        <f t="shared" si="1"/>
        <v>4.2338171832091023</v>
      </c>
      <c r="K12" s="6">
        <f t="shared" si="2"/>
        <v>0.28945723047607702</v>
      </c>
      <c r="L12" s="6">
        <f t="shared" si="3"/>
        <v>0.16781559111511782</v>
      </c>
      <c r="M12" s="6">
        <f t="shared" si="4"/>
        <v>7.1469076669032454E-3</v>
      </c>
      <c r="N12" s="6">
        <f t="shared" si="5"/>
        <v>2.4363802653927813</v>
      </c>
      <c r="O12" s="6">
        <f t="shared" si="6"/>
        <v>3.7092896130779991E-2</v>
      </c>
      <c r="P12" s="6">
        <f t="shared" si="7"/>
        <v>63.055428534923685</v>
      </c>
      <c r="Q12" s="6">
        <f t="shared" si="8"/>
        <v>98.965890264387625</v>
      </c>
      <c r="R12" s="6">
        <v>79</v>
      </c>
      <c r="S12" s="6">
        <v>11.6</v>
      </c>
      <c r="T12" s="6">
        <v>190</v>
      </c>
      <c r="U12" s="6">
        <v>2</v>
      </c>
      <c r="V12" s="6">
        <f t="shared" si="9"/>
        <v>7.9000000000000008E-3</v>
      </c>
      <c r="W12" s="6">
        <f t="shared" si="20"/>
        <v>1.16E-3</v>
      </c>
      <c r="X12" s="6">
        <f t="shared" si="10"/>
        <v>2.0000000000000001E-4</v>
      </c>
      <c r="Y12" s="6">
        <f>(J12/J24-1)*100</f>
        <v>17.647058823529438</v>
      </c>
      <c r="Z12" s="6">
        <f>(K12/K24-1)*100</f>
        <v>-63.909774436090231</v>
      </c>
      <c r="AA12" s="52">
        <f>(L12/L24-1)*100</f>
        <v>-43.999999999999993</v>
      </c>
      <c r="AB12" s="6">
        <f t="shared" si="11"/>
        <v>491.6136495083864</v>
      </c>
      <c r="AC12" s="6">
        <f t="shared" si="12"/>
        <v>0.88490456911509552</v>
      </c>
      <c r="AD12" s="6">
        <f t="shared" si="13"/>
        <v>7.3742047426257951E-2</v>
      </c>
      <c r="AE12" s="6">
        <f>J24*(100-AC12)/100</f>
        <v>3.5668991502808689</v>
      </c>
      <c r="AF12" s="6">
        <f>L24*(100-AD12)/100</f>
        <v>0.29944971511130186</v>
      </c>
      <c r="AG12" s="6">
        <f t="shared" si="14"/>
        <v>11.911512919473292</v>
      </c>
      <c r="AH12" s="6">
        <f>AG12/AI24-1</f>
        <v>-8.1176113096702585E-3</v>
      </c>
      <c r="AI12" s="6">
        <f t="shared" si="15"/>
        <v>25.228985906945894</v>
      </c>
      <c r="AJ12" s="6">
        <f t="shared" si="16"/>
        <v>1.7248530279735195</v>
      </c>
      <c r="AK12" s="6">
        <f t="shared" si="17"/>
        <v>4.2587864568558613E-2</v>
      </c>
      <c r="AL12" s="6">
        <f t="shared" si="18"/>
        <v>4.7075482960226109E-2</v>
      </c>
      <c r="AM12" s="6">
        <f t="shared" si="21"/>
        <v>6.9123493966914279E-3</v>
      </c>
      <c r="AN12" s="6">
        <f t="shared" si="19"/>
        <v>1.1917843787399014E-3</v>
      </c>
      <c r="AO12" s="6">
        <f t="shared" si="22"/>
        <v>0.17241379310344829</v>
      </c>
      <c r="AP12" s="6">
        <f t="shared" ref="AP12:AV12" si="27">AI12/AI24-1</f>
        <v>1.1008403361344539</v>
      </c>
      <c r="AQ12" s="6">
        <f t="shared" si="27"/>
        <v>-0.35553168635875421</v>
      </c>
      <c r="AR12" s="6">
        <f t="shared" si="27"/>
        <v>-0.98159057437407948</v>
      </c>
      <c r="AS12" s="6">
        <f t="shared" si="27"/>
        <v>7.6530612244898322E-3</v>
      </c>
      <c r="AT12" s="6">
        <f t="shared" si="27"/>
        <v>1.3015873015873014</v>
      </c>
      <c r="AU12" s="6">
        <f t="shared" si="27"/>
        <v>-0.10714285714285721</v>
      </c>
      <c r="AV12" s="6">
        <f t="shared" si="27"/>
        <v>-0.61206896551724133</v>
      </c>
    </row>
    <row r="13" spans="1:49">
      <c r="A13" s="6" t="s">
        <v>511</v>
      </c>
      <c r="B13" s="6" t="s">
        <v>215</v>
      </c>
      <c r="C13" s="6">
        <v>1.25</v>
      </c>
      <c r="D13" s="6">
        <v>13.1</v>
      </c>
      <c r="E13" s="6">
        <v>0.44</v>
      </c>
      <c r="F13" s="6">
        <v>0.25</v>
      </c>
      <c r="G13" s="6">
        <v>7.0000000000000007E-2</v>
      </c>
      <c r="H13" s="6">
        <v>5.88</v>
      </c>
      <c r="I13" s="6">
        <v>0.05</v>
      </c>
      <c r="J13" s="6">
        <f t="shared" si="1"/>
        <v>3.466437818752452</v>
      </c>
      <c r="K13" s="6">
        <f t="shared" si="2"/>
        <v>0.26533579460307061</v>
      </c>
      <c r="L13" s="6">
        <f t="shared" si="3"/>
        <v>0.14983534920992661</v>
      </c>
      <c r="M13" s="6">
        <f t="shared" si="4"/>
        <v>5.0028353668322721E-2</v>
      </c>
      <c r="N13" s="6">
        <f t="shared" si="5"/>
        <v>2.4405308280254778</v>
      </c>
      <c r="O13" s="6">
        <f t="shared" si="6"/>
        <v>1.8546448065389996E-2</v>
      </c>
      <c r="P13" s="6">
        <f t="shared" si="7"/>
        <v>58.010419447554263</v>
      </c>
      <c r="Q13" s="6">
        <f t="shared" si="8"/>
        <v>98.060125688482501</v>
      </c>
      <c r="R13" s="6">
        <v>110</v>
      </c>
      <c r="T13" s="6">
        <v>210</v>
      </c>
      <c r="U13" s="6">
        <v>4</v>
      </c>
      <c r="V13" s="6">
        <f t="shared" si="9"/>
        <v>1.0999999999999999E-2</v>
      </c>
      <c r="W13" s="6" t="s">
        <v>53</v>
      </c>
      <c r="X13" s="6">
        <f t="shared" si="10"/>
        <v>4.0000000000000002E-4</v>
      </c>
      <c r="Y13" s="6">
        <f>(J13/J24-1)*100</f>
        <v>-3.6764705882352922</v>
      </c>
      <c r="Z13" s="6">
        <f>(K13/K24-1)*100</f>
        <v>-66.917293233082702</v>
      </c>
      <c r="AA13" s="52">
        <f>(L13/L24-1)*100</f>
        <v>-50</v>
      </c>
      <c r="AB13" s="6">
        <f t="shared" si="11"/>
        <v>514.7484094852515</v>
      </c>
      <c r="AC13" s="6">
        <f t="shared" si="12"/>
        <v>0.92654713707345271</v>
      </c>
      <c r="AD13" s="6">
        <f t="shared" si="13"/>
        <v>7.7212261422787712E-2</v>
      </c>
      <c r="AE13" s="6">
        <f>J24*(100-AC13)/100</f>
        <v>3.5654005406127807</v>
      </c>
      <c r="AF13" s="6">
        <f>L24*(100-AD13)/100</f>
        <v>0.2994393158967818</v>
      </c>
      <c r="AG13" s="6">
        <f t="shared" si="14"/>
        <v>11.906921874754055</v>
      </c>
      <c r="AH13" s="6">
        <f>AG13/AI24-1</f>
        <v>-8.4999117305728511E-3</v>
      </c>
      <c r="AI13" s="6">
        <f t="shared" si="15"/>
        <v>23.134980076669386</v>
      </c>
      <c r="AJ13" s="6">
        <f t="shared" si="16"/>
        <v>1.7708491087194802</v>
      </c>
      <c r="AK13" s="6">
        <f t="shared" si="17"/>
        <v>0.33388885821749958</v>
      </c>
      <c r="AL13" s="6">
        <f t="shared" si="18"/>
        <v>7.341391773037792E-2</v>
      </c>
      <c r="AM13" s="6" t="s">
        <v>53</v>
      </c>
      <c r="AN13" s="6">
        <f t="shared" si="19"/>
        <v>2.6695970083773792E-3</v>
      </c>
      <c r="AO13" s="6" t="s">
        <v>53</v>
      </c>
      <c r="AP13" s="6">
        <f>AI13/AI24-1</f>
        <v>0.92647058823529416</v>
      </c>
      <c r="AQ13" s="6">
        <f>AJ13/AJ24-1</f>
        <v>-0.33834586466165428</v>
      </c>
      <c r="AR13" s="6">
        <f>AK13/AK24-1</f>
        <v>-0.85567010309278346</v>
      </c>
      <c r="AS13" s="6">
        <f>AL13/AL24-1</f>
        <v>0.57142857142857117</v>
      </c>
      <c r="AT13" s="6" t="s">
        <v>53</v>
      </c>
      <c r="AU13" s="6">
        <f>AN13/AN24-1</f>
        <v>1</v>
      </c>
      <c r="AV13" s="6" t="s">
        <v>53</v>
      </c>
    </row>
    <row r="14" spans="1:49">
      <c r="A14" s="6" t="s">
        <v>512</v>
      </c>
      <c r="B14" s="6" t="s">
        <v>215</v>
      </c>
      <c r="C14" s="6">
        <v>1.28</v>
      </c>
      <c r="D14" s="6">
        <v>16.600000000000001</v>
      </c>
      <c r="E14" s="6">
        <v>0.38</v>
      </c>
      <c r="F14" s="6">
        <v>0.3</v>
      </c>
      <c r="G14" s="6">
        <v>0.01</v>
      </c>
      <c r="H14" s="6">
        <v>6.46</v>
      </c>
      <c r="I14" s="6">
        <v>0.1</v>
      </c>
      <c r="J14" s="6">
        <f t="shared" si="1"/>
        <v>4.392585327579444</v>
      </c>
      <c r="K14" s="6">
        <f t="shared" si="2"/>
        <v>0.22915364079356101</v>
      </c>
      <c r="L14" s="6">
        <f t="shared" si="3"/>
        <v>0.17980241905191194</v>
      </c>
      <c r="M14" s="6">
        <f t="shared" si="4"/>
        <v>7.1469076669032454E-3</v>
      </c>
      <c r="N14" s="6">
        <f t="shared" si="5"/>
        <v>2.6812634607218682</v>
      </c>
      <c r="O14" s="6">
        <f t="shared" si="6"/>
        <v>3.7092896130779991E-2</v>
      </c>
      <c r="P14" s="6">
        <f t="shared" si="7"/>
        <v>61.710180629883823</v>
      </c>
      <c r="Q14" s="6">
        <f t="shared" si="8"/>
        <v>99.00289503219723</v>
      </c>
      <c r="R14" s="6">
        <v>120</v>
      </c>
      <c r="S14" s="6">
        <v>12.9</v>
      </c>
      <c r="T14" s="6">
        <v>210</v>
      </c>
      <c r="U14" s="6">
        <v>3</v>
      </c>
      <c r="V14" s="6">
        <f t="shared" si="9"/>
        <v>1.2E-2</v>
      </c>
      <c r="W14" s="6">
        <f t="shared" si="20"/>
        <v>1.2900000000000001E-3</v>
      </c>
      <c r="X14" s="6">
        <f t="shared" si="10"/>
        <v>2.9999999999999997E-4</v>
      </c>
      <c r="Y14" s="6">
        <f>(J14/J24-1)*100</f>
        <v>22.058823529411796</v>
      </c>
      <c r="Z14" s="6">
        <f>(K14/K24-1)*100</f>
        <v>-71.428571428571431</v>
      </c>
      <c r="AA14" s="52">
        <f>(L14/L24-1)*100</f>
        <v>-40</v>
      </c>
      <c r="AB14" s="6">
        <f t="shared" si="11"/>
        <v>549.45054945054949</v>
      </c>
      <c r="AC14" s="6">
        <f t="shared" si="12"/>
        <v>0.98901098901098905</v>
      </c>
      <c r="AD14" s="6">
        <f t="shared" si="13"/>
        <v>8.2417582417582416E-2</v>
      </c>
      <c r="AE14" s="6">
        <f>J24*(100-AC14)/100</f>
        <v>3.5631526261106488</v>
      </c>
      <c r="AF14" s="6">
        <f>L24*(100-AD14)/100</f>
        <v>0.29942371707500171</v>
      </c>
      <c r="AG14" s="6">
        <f t="shared" si="14"/>
        <v>11.900034709735856</v>
      </c>
      <c r="AH14" s="6">
        <f>AG14/AI24-1</f>
        <v>-9.0734121528732725E-3</v>
      </c>
      <c r="AI14" s="6">
        <f t="shared" si="15"/>
        <v>24.430068019892612</v>
      </c>
      <c r="AJ14" s="6">
        <f t="shared" si="16"/>
        <v>1.2744747373359897</v>
      </c>
      <c r="AK14" s="6">
        <f t="shared" si="17"/>
        <v>3.9748673597321371E-2</v>
      </c>
      <c r="AL14" s="6">
        <f t="shared" si="18"/>
        <v>6.6739925209434475E-2</v>
      </c>
      <c r="AM14" s="6">
        <f t="shared" si="21"/>
        <v>7.1745419600142074E-3</v>
      </c>
      <c r="AN14" s="6">
        <f t="shared" si="19"/>
        <v>1.6684981302358618E-3</v>
      </c>
      <c r="AO14" s="6">
        <f t="shared" si="22"/>
        <v>0.23255813953488369</v>
      </c>
      <c r="AP14" s="6">
        <f t="shared" ref="AP14:AV14" si="28">AI14/AI24-1</f>
        <v>1.0343137254901964</v>
      </c>
      <c r="AQ14" s="6">
        <f t="shared" si="28"/>
        <v>-0.52380952380952384</v>
      </c>
      <c r="AR14" s="6">
        <f t="shared" si="28"/>
        <v>-0.98281786941580751</v>
      </c>
      <c r="AS14" s="6">
        <f t="shared" si="28"/>
        <v>0.42857142857142838</v>
      </c>
      <c r="AT14" s="6">
        <f t="shared" si="28"/>
        <v>1.3888888888888893</v>
      </c>
      <c r="AU14" s="6">
        <f t="shared" si="28"/>
        <v>0.24999999999999978</v>
      </c>
      <c r="AV14" s="6">
        <f t="shared" si="28"/>
        <v>-0.4767441860465117</v>
      </c>
    </row>
    <row r="15" spans="1:49">
      <c r="A15" s="6" t="s">
        <v>513</v>
      </c>
      <c r="B15" s="6" t="s">
        <v>215</v>
      </c>
      <c r="C15" s="6">
        <v>2.99</v>
      </c>
      <c r="D15" s="6">
        <v>16.600000000000001</v>
      </c>
      <c r="E15" s="6">
        <v>0.68</v>
      </c>
      <c r="F15" s="6">
        <v>0.3</v>
      </c>
      <c r="G15" s="6">
        <v>0.23</v>
      </c>
      <c r="H15" s="6">
        <v>6.37</v>
      </c>
      <c r="I15" s="6">
        <v>0.1</v>
      </c>
      <c r="J15" s="3">
        <f t="shared" si="1"/>
        <v>4.392585327579444</v>
      </c>
      <c r="K15" s="3">
        <f t="shared" si="2"/>
        <v>0.41006440984110915</v>
      </c>
      <c r="L15" s="6">
        <f t="shared" si="3"/>
        <v>0.17980241905191194</v>
      </c>
      <c r="M15" s="6">
        <f t="shared" si="4"/>
        <v>0.16437887633877463</v>
      </c>
      <c r="N15" s="6">
        <f t="shared" si="5"/>
        <v>2.6439083970276007</v>
      </c>
      <c r="O15" s="6">
        <f t="shared" si="6"/>
        <v>3.7092896130779991E-2</v>
      </c>
      <c r="P15" s="6">
        <f t="shared" si="7"/>
        <v>60.688121950202735</v>
      </c>
      <c r="Q15" s="6">
        <f t="shared" si="8"/>
        <v>95.61451309633469</v>
      </c>
      <c r="R15" s="6">
        <v>95</v>
      </c>
      <c r="S15" s="6">
        <v>4.09</v>
      </c>
      <c r="T15" s="6">
        <v>91</v>
      </c>
      <c r="U15" s="6">
        <v>6</v>
      </c>
      <c r="V15" s="6">
        <f t="shared" si="9"/>
        <v>9.4999999999999998E-3</v>
      </c>
      <c r="W15" s="6">
        <f t="shared" si="20"/>
        <v>4.0899999999999997E-4</v>
      </c>
      <c r="X15" s="6">
        <f t="shared" si="10"/>
        <v>5.9999999999999995E-4</v>
      </c>
      <c r="Y15" s="6">
        <f>(J15/J24-1)*100</f>
        <v>22.058823529411796</v>
      </c>
      <c r="Z15" s="6">
        <f>(K15/K24-1)*100</f>
        <v>-48.872180451127825</v>
      </c>
      <c r="AA15" s="52">
        <f>(L15/L24-1)*100</f>
        <v>-40</v>
      </c>
      <c r="AB15" s="6">
        <f t="shared" si="11"/>
        <v>375.93984962406017</v>
      </c>
      <c r="AC15" s="6">
        <f t="shared" si="12"/>
        <v>0.67669172932330834</v>
      </c>
      <c r="AD15" s="6">
        <f t="shared" si="13"/>
        <v>5.6390977443609019E-2</v>
      </c>
      <c r="AE15" s="6">
        <f>J24*(100-AC15)/100</f>
        <v>3.5743921986213083</v>
      </c>
      <c r="AF15" s="6">
        <f>L24*(100-AD15)/100</f>
        <v>0.29950171118390218</v>
      </c>
      <c r="AG15" s="6">
        <f t="shared" si="14"/>
        <v>11.934463360800414</v>
      </c>
      <c r="AH15" s="6">
        <f>AG15/AI24-1</f>
        <v>-6.2065074290013067E-3</v>
      </c>
      <c r="AI15" s="3">
        <f t="shared" si="15"/>
        <v>24.430068019892612</v>
      </c>
      <c r="AJ15" s="3">
        <f t="shared" si="16"/>
        <v>2.2806390036538762</v>
      </c>
      <c r="AK15" s="6">
        <f t="shared" si="17"/>
        <v>0.91421949273839143</v>
      </c>
      <c r="AL15" s="6">
        <f t="shared" si="18"/>
        <v>5.2835774124135627E-2</v>
      </c>
      <c r="AM15" s="6">
        <f t="shared" si="21"/>
        <v>2.2747191175548917E-3</v>
      </c>
      <c r="AN15" s="6">
        <f t="shared" si="19"/>
        <v>3.3369962604717237E-3</v>
      </c>
      <c r="AO15" s="6">
        <f t="shared" si="22"/>
        <v>1.4669926650366749</v>
      </c>
      <c r="AP15" s="6">
        <f t="shared" ref="AP15:AV15" si="29">AI15/AI24-1</f>
        <v>1.0343137254901964</v>
      </c>
      <c r="AQ15" s="6">
        <f t="shared" si="29"/>
        <v>-0.14786967418546371</v>
      </c>
      <c r="AR15" s="6">
        <f t="shared" si="29"/>
        <v>-0.60481099656357395</v>
      </c>
      <c r="AS15" s="6">
        <f t="shared" si="29"/>
        <v>0.13095238095238071</v>
      </c>
      <c r="AT15" s="6">
        <f t="shared" si="29"/>
        <v>-0.24259259259259258</v>
      </c>
      <c r="AU15" s="6">
        <f t="shared" si="29"/>
        <v>1.4999999999999996</v>
      </c>
      <c r="AV15" s="6">
        <f t="shared" si="29"/>
        <v>2.3007334963325183</v>
      </c>
    </row>
    <row r="16" spans="1:49">
      <c r="A16" s="6" t="s">
        <v>514</v>
      </c>
      <c r="B16" s="6" t="s">
        <v>215</v>
      </c>
      <c r="C16" s="6">
        <v>3.3</v>
      </c>
      <c r="D16" s="6">
        <v>14</v>
      </c>
      <c r="E16" s="6">
        <v>0.54</v>
      </c>
      <c r="F16" s="6">
        <v>0.4</v>
      </c>
      <c r="G16" s="6">
        <v>0.24</v>
      </c>
      <c r="H16" s="6">
        <v>6.27</v>
      </c>
      <c r="I16" s="6">
        <v>0.05</v>
      </c>
      <c r="J16" s="3">
        <f t="shared" si="1"/>
        <v>3.7045900353079646</v>
      </c>
      <c r="K16" s="3">
        <f t="shared" si="2"/>
        <v>0.3256393842855867</v>
      </c>
      <c r="L16" s="6">
        <f t="shared" si="3"/>
        <v>0.23973655873588259</v>
      </c>
      <c r="M16" s="6">
        <f t="shared" si="4"/>
        <v>0.17152578400567786</v>
      </c>
      <c r="N16" s="6">
        <f t="shared" si="5"/>
        <v>2.6024027707006367</v>
      </c>
      <c r="O16" s="6">
        <f t="shared" si="6"/>
        <v>1.8546448065389996E-2</v>
      </c>
      <c r="P16" s="6">
        <f t="shared" si="7"/>
        <v>57.019438986606289</v>
      </c>
      <c r="Q16" s="6">
        <f t="shared" si="8"/>
        <v>95.119673568024695</v>
      </c>
      <c r="R16" s="6">
        <v>150</v>
      </c>
      <c r="T16" s="6">
        <v>230</v>
      </c>
      <c r="U16" s="6">
        <v>2</v>
      </c>
      <c r="V16" s="6">
        <f t="shared" si="9"/>
        <v>1.4999999999999999E-2</v>
      </c>
      <c r="W16" s="6" t="s">
        <v>53</v>
      </c>
      <c r="X16" s="6">
        <f t="shared" si="10"/>
        <v>2.0000000000000001E-4</v>
      </c>
      <c r="Y16" s="6">
        <f>(J16/J24-1)*100</f>
        <v>2.941176470588247</v>
      </c>
      <c r="Z16" s="6">
        <f>(K16/K24-1)*100</f>
        <v>-59.398496240601503</v>
      </c>
      <c r="AA16" s="52">
        <f>(L16/L24-1)*100</f>
        <v>-19.999999999999996</v>
      </c>
      <c r="AB16" s="6">
        <f t="shared" si="11"/>
        <v>456.91150954308847</v>
      </c>
      <c r="AC16" s="6">
        <f t="shared" si="12"/>
        <v>0.82244071717755918</v>
      </c>
      <c r="AD16" s="6">
        <f t="shared" si="13"/>
        <v>6.853672643146326E-2</v>
      </c>
      <c r="AE16" s="6">
        <f>J24*(100-AC16)/100</f>
        <v>3.5691470647830004</v>
      </c>
      <c r="AF16" s="6">
        <f>L24*(100-AD16)/100</f>
        <v>0.29946531393308196</v>
      </c>
      <c r="AG16" s="6">
        <f t="shared" si="14"/>
        <v>11.918398888695858</v>
      </c>
      <c r="AH16" s="6">
        <f>AG16/AI24-1</f>
        <v>-7.5442104623471007E-3</v>
      </c>
      <c r="AI16" s="3">
        <f t="shared" si="15"/>
        <v>15.452753868004361</v>
      </c>
      <c r="AJ16" s="3">
        <f t="shared" si="16"/>
        <v>1.3583217595291468</v>
      </c>
      <c r="AK16" s="6">
        <f t="shared" si="17"/>
        <v>0.71547612475178457</v>
      </c>
      <c r="AL16" s="6">
        <f t="shared" si="18"/>
        <v>6.2568679883844819E-2</v>
      </c>
      <c r="AM16" s="6" t="s">
        <v>53</v>
      </c>
      <c r="AN16" s="6">
        <f t="shared" si="19"/>
        <v>8.3424906511793103E-4</v>
      </c>
      <c r="AO16" s="6" t="s">
        <v>53</v>
      </c>
      <c r="AP16" s="6">
        <f>AI16/AI24-1</f>
        <v>0.28676470588235303</v>
      </c>
      <c r="AQ16" s="6">
        <f>AJ16/AJ24-1</f>
        <v>-0.49248120300751885</v>
      </c>
      <c r="AR16" s="6">
        <f>AK16/AK24-1</f>
        <v>-0.69072164948453607</v>
      </c>
      <c r="AS16" s="6">
        <f>AL16/AL24-1</f>
        <v>0.33928571428571397</v>
      </c>
      <c r="AT16" s="6" t="s">
        <v>53</v>
      </c>
      <c r="AU16" s="6">
        <f>AN16/AN24-1</f>
        <v>-0.375</v>
      </c>
      <c r="AV16" s="6" t="s">
        <v>53</v>
      </c>
    </row>
    <row r="17" spans="1:49">
      <c r="A17" s="6" t="s">
        <v>515</v>
      </c>
      <c r="B17" s="6" t="s">
        <v>215</v>
      </c>
      <c r="C17" s="6">
        <v>3.35</v>
      </c>
      <c r="D17" s="6">
        <v>15.7</v>
      </c>
      <c r="E17" s="6">
        <v>0.56999999999999995</v>
      </c>
      <c r="F17" s="6">
        <v>0.19</v>
      </c>
      <c r="G17" s="6">
        <v>0.16</v>
      </c>
      <c r="H17" s="6">
        <v>6.13</v>
      </c>
      <c r="I17" s="6">
        <v>0.1</v>
      </c>
      <c r="J17" s="3">
        <f t="shared" si="1"/>
        <v>4.1544331110239314</v>
      </c>
      <c r="K17" s="3">
        <f t="shared" si="2"/>
        <v>0.34373046119034145</v>
      </c>
      <c r="L17" s="6">
        <f t="shared" si="3"/>
        <v>0.11387486539954424</v>
      </c>
      <c r="M17" s="6">
        <f t="shared" si="4"/>
        <v>0.11435052267045193</v>
      </c>
      <c r="N17" s="6">
        <f t="shared" si="5"/>
        <v>2.5442948938428875</v>
      </c>
      <c r="O17" s="6">
        <f t="shared" si="6"/>
        <v>3.7092896130779991E-2</v>
      </c>
      <c r="P17" s="6">
        <f t="shared" si="7"/>
        <v>60.647140838985948</v>
      </c>
      <c r="Q17" s="6">
        <f t="shared" si="8"/>
        <v>96.482866664841865</v>
      </c>
      <c r="R17" s="6">
        <v>110</v>
      </c>
      <c r="S17" s="6">
        <v>10.7</v>
      </c>
      <c r="T17" s="6">
        <v>190</v>
      </c>
      <c r="U17" s="6">
        <v>5</v>
      </c>
      <c r="V17" s="6">
        <f t="shared" si="9"/>
        <v>1.0999999999999999E-2</v>
      </c>
      <c r="W17" s="6">
        <f t="shared" si="20"/>
        <v>1.07E-3</v>
      </c>
      <c r="X17" s="6">
        <f t="shared" si="10"/>
        <v>5.0000000000000001E-4</v>
      </c>
      <c r="Y17" s="6">
        <f>(J17/J24-1)*100</f>
        <v>15.441176470588246</v>
      </c>
      <c r="Z17" s="6">
        <f>(K17/K24-1)*100</f>
        <v>-57.142857142857153</v>
      </c>
      <c r="AA17" s="52">
        <f>(L17/L24-1)*100</f>
        <v>-61.999999999999986</v>
      </c>
      <c r="AB17" s="6">
        <f t="shared" si="11"/>
        <v>439.56043956043965</v>
      </c>
      <c r="AC17" s="6">
        <f t="shared" si="12"/>
        <v>0.7912087912087914</v>
      </c>
      <c r="AD17" s="6">
        <f t="shared" si="13"/>
        <v>6.5934065934065936E-2</v>
      </c>
      <c r="AE17" s="6">
        <f>J24*(100-AC17)/100</f>
        <v>3.5702710220340661</v>
      </c>
      <c r="AF17" s="6">
        <f>L24*(100-AD17)/100</f>
        <v>0.29947311334397198</v>
      </c>
      <c r="AG17" s="6">
        <f t="shared" si="14"/>
        <v>11.921841604302175</v>
      </c>
      <c r="AH17" s="6">
        <f>AG17/AI24-1</f>
        <v>-7.2575324389707596E-3</v>
      </c>
      <c r="AI17" s="3">
        <f t="shared" si="15"/>
        <v>36.482441462807287</v>
      </c>
      <c r="AJ17" s="3">
        <f>K17/L17</f>
        <v>3.018492798953659</v>
      </c>
      <c r="AK17" s="6">
        <f t="shared" si="17"/>
        <v>1.0041770171954871</v>
      </c>
      <c r="AL17" s="6">
        <f t="shared" si="18"/>
        <v>9.659726017154989E-2</v>
      </c>
      <c r="AM17" s="6">
        <f t="shared" si="21"/>
        <v>9.396278943959854E-3</v>
      </c>
      <c r="AN17" s="6">
        <f t="shared" si="19"/>
        <v>4.3907845532522678E-3</v>
      </c>
      <c r="AO17" s="6">
        <f t="shared" si="22"/>
        <v>0.46728971962616822</v>
      </c>
      <c r="AP17" s="6">
        <f t="shared" ref="AP17:AV17" si="30">AI17/AI24-1</f>
        <v>2.0379256965944275</v>
      </c>
      <c r="AQ17" s="6">
        <f t="shared" si="30"/>
        <v>0.12781954887218006</v>
      </c>
      <c r="AR17" s="6">
        <f t="shared" si="30"/>
        <v>-0.5659251220835595</v>
      </c>
      <c r="AS17" s="6">
        <f t="shared" si="30"/>
        <v>1.0676691729323302</v>
      </c>
      <c r="AT17" s="6">
        <f t="shared" si="30"/>
        <v>2.128654970760234</v>
      </c>
      <c r="AU17" s="6">
        <f t="shared" si="30"/>
        <v>2.2894736842105257</v>
      </c>
      <c r="AV17" s="6">
        <f t="shared" si="30"/>
        <v>5.1401869158878455E-2</v>
      </c>
    </row>
    <row r="18" spans="1:49">
      <c r="A18" s="6" t="s">
        <v>516</v>
      </c>
      <c r="B18" s="6" t="s">
        <v>215</v>
      </c>
      <c r="C18" s="6">
        <v>3.78</v>
      </c>
      <c r="D18" s="6">
        <v>14.7</v>
      </c>
      <c r="E18" s="6">
        <v>0.63</v>
      </c>
      <c r="F18" s="6">
        <v>0.25</v>
      </c>
      <c r="G18" s="6">
        <v>0.12</v>
      </c>
      <c r="H18" s="6">
        <v>4.6399999999999997</v>
      </c>
      <c r="I18" s="6">
        <v>0.1</v>
      </c>
      <c r="J18" s="6">
        <f t="shared" si="1"/>
        <v>3.8898195370733624</v>
      </c>
      <c r="K18" s="3">
        <f t="shared" si="2"/>
        <v>0.37991261499985113</v>
      </c>
      <c r="L18" s="6">
        <f t="shared" si="3"/>
        <v>0.14983534920992661</v>
      </c>
      <c r="M18" s="6">
        <f t="shared" si="4"/>
        <v>8.5762892002838931E-2</v>
      </c>
      <c r="N18" s="6">
        <f t="shared" si="5"/>
        <v>1.9258610615711251</v>
      </c>
      <c r="O18" s="6">
        <f t="shared" si="6"/>
        <v>3.7092896130779991E-2</v>
      </c>
      <c r="P18" s="6">
        <f t="shared" si="7"/>
        <v>65.501316885653452</v>
      </c>
      <c r="Q18" s="6">
        <f t="shared" si="8"/>
        <v>96.938307284373138</v>
      </c>
      <c r="R18" s="6">
        <v>140</v>
      </c>
      <c r="S18" s="6">
        <v>9.6300000000000008</v>
      </c>
      <c r="T18" s="6">
        <v>160</v>
      </c>
      <c r="U18" s="6">
        <v>5</v>
      </c>
      <c r="V18" s="6">
        <f t="shared" si="9"/>
        <v>1.4E-2</v>
      </c>
      <c r="W18" s="6">
        <f t="shared" si="20"/>
        <v>9.630000000000001E-4</v>
      </c>
      <c r="X18" s="6">
        <f t="shared" si="10"/>
        <v>5.0000000000000001E-4</v>
      </c>
      <c r="Y18" s="6">
        <f>(J18/J24-1)*100</f>
        <v>8.0882352941176627</v>
      </c>
      <c r="Z18" s="6">
        <f>(K18/K24-1)*100</f>
        <v>-52.631578947368432</v>
      </c>
      <c r="AA18" s="52">
        <f>(L18/L24-1)*100</f>
        <v>-50</v>
      </c>
      <c r="AB18" s="6">
        <f t="shared" si="11"/>
        <v>404.85829959514177</v>
      </c>
      <c r="AC18" s="6">
        <f t="shared" si="12"/>
        <v>0.72874493927125517</v>
      </c>
      <c r="AD18" s="6">
        <f t="shared" si="13"/>
        <v>6.0728744939271259E-2</v>
      </c>
      <c r="AE18" s="6">
        <f>J24*(100-AC18)/100</f>
        <v>3.5725189365361985</v>
      </c>
      <c r="AF18" s="6">
        <f>L24*(100-AD18)/100</f>
        <v>0.29948871216575212</v>
      </c>
      <c r="AG18" s="6">
        <f t="shared" si="14"/>
        <v>11.92872649757493</v>
      </c>
      <c r="AH18" s="6">
        <f>AG18/AI24-1</f>
        <v>-6.6842211869556634E-3</v>
      </c>
      <c r="AI18" s="6">
        <f t="shared" si="15"/>
        <v>25.960626498247326</v>
      </c>
      <c r="AJ18" s="6">
        <f t="shared" ref="AJ18:AJ23" si="31">K18/L18</f>
        <v>2.5355339511210739</v>
      </c>
      <c r="AK18" s="6">
        <f t="shared" si="17"/>
        <v>0.5723808998014277</v>
      </c>
      <c r="AL18" s="6">
        <f t="shared" si="18"/>
        <v>9.3435895293208282E-2</v>
      </c>
      <c r="AM18" s="6">
        <f t="shared" si="21"/>
        <v>6.4270547976685412E-3</v>
      </c>
      <c r="AN18" s="6">
        <f t="shared" si="19"/>
        <v>3.3369962604717241E-3</v>
      </c>
      <c r="AO18" s="6">
        <f t="shared" si="22"/>
        <v>0.51921079958463134</v>
      </c>
      <c r="AP18" s="6">
        <f t="shared" ref="AP18:AV18" si="32">AI18/AI24-1</f>
        <v>1.1617647058823528</v>
      </c>
      <c r="AQ18" s="6">
        <f t="shared" si="32"/>
        <v>-5.2631578947368585E-2</v>
      </c>
      <c r="AR18" s="6">
        <f t="shared" si="32"/>
        <v>-0.75257731958762886</v>
      </c>
      <c r="AS18" s="6">
        <f t="shared" si="32"/>
        <v>1</v>
      </c>
      <c r="AT18" s="6">
        <f t="shared" si="32"/>
        <v>1.1400000000000006</v>
      </c>
      <c r="AU18" s="6">
        <f t="shared" si="32"/>
        <v>1.5</v>
      </c>
      <c r="AV18" s="6">
        <f t="shared" si="32"/>
        <v>0.16822429906542036</v>
      </c>
    </row>
    <row r="19" spans="1:49">
      <c r="A19" s="6" t="s">
        <v>517</v>
      </c>
      <c r="B19" s="6" t="s">
        <v>215</v>
      </c>
      <c r="C19" s="6">
        <v>4.09</v>
      </c>
      <c r="D19" s="6">
        <v>16.100000000000001</v>
      </c>
      <c r="E19" s="6">
        <v>0.73</v>
      </c>
      <c r="F19" s="6">
        <v>0.25</v>
      </c>
      <c r="G19" s="6">
        <v>0.39</v>
      </c>
      <c r="H19" s="6">
        <v>6.64</v>
      </c>
      <c r="I19" s="6">
        <v>0.1</v>
      </c>
      <c r="J19" s="3">
        <f t="shared" si="1"/>
        <v>4.2602785406041592</v>
      </c>
      <c r="K19" s="3">
        <f t="shared" si="2"/>
        <v>0.44021620468236711</v>
      </c>
      <c r="L19" s="6">
        <f t="shared" si="3"/>
        <v>0.14983534920992661</v>
      </c>
      <c r="M19" s="6">
        <f t="shared" si="4"/>
        <v>0.27872939900922655</v>
      </c>
      <c r="N19" s="6">
        <f t="shared" si="5"/>
        <v>2.755973588110403</v>
      </c>
      <c r="O19" s="6">
        <f t="shared" si="6"/>
        <v>3.7092896130779991E-2</v>
      </c>
      <c r="P19" s="6">
        <f t="shared" si="7"/>
        <v>58.104682172122224</v>
      </c>
      <c r="Q19" s="6">
        <f t="shared" si="8"/>
        <v>93.098441086063886</v>
      </c>
      <c r="R19" s="6">
        <v>120</v>
      </c>
      <c r="S19" s="6">
        <v>8.98</v>
      </c>
      <c r="T19" s="6">
        <v>230</v>
      </c>
      <c r="U19" s="6">
        <v>5</v>
      </c>
      <c r="V19" s="6">
        <f t="shared" si="9"/>
        <v>1.2E-2</v>
      </c>
      <c r="W19" s="6">
        <f t="shared" si="20"/>
        <v>8.9800000000000004E-4</v>
      </c>
      <c r="X19" s="6">
        <f t="shared" si="10"/>
        <v>5.0000000000000001E-4</v>
      </c>
      <c r="Y19" s="6">
        <f>(J19/J24-1)*100</f>
        <v>18.382352941176492</v>
      </c>
      <c r="Z19" s="6">
        <f>(K19/K24-1)*100</f>
        <v>-45.112781954887225</v>
      </c>
      <c r="AA19" s="52">
        <f>(L19/L24-1)*100</f>
        <v>-50</v>
      </c>
      <c r="AB19" s="6">
        <f t="shared" si="11"/>
        <v>347.02139965297863</v>
      </c>
      <c r="AC19" s="6">
        <f t="shared" si="12"/>
        <v>0.62463851937536152</v>
      </c>
      <c r="AD19" s="6">
        <f t="shared" si="13"/>
        <v>5.2053209947946787E-2</v>
      </c>
      <c r="AE19" s="6">
        <f>J24*(100-AC19)/100</f>
        <v>3.5762654607064177</v>
      </c>
      <c r="AF19" s="6">
        <f>L24*(100-AD19)/100</f>
        <v>0.29951471020205228</v>
      </c>
      <c r="AG19" s="6">
        <f t="shared" si="14"/>
        <v>11.940199726063113</v>
      </c>
      <c r="AH19" s="6">
        <f>AG19/AI24-1</f>
        <v>-5.7288351368557366E-3</v>
      </c>
      <c r="AI19" s="6">
        <f t="shared" si="15"/>
        <v>28.433067117128026</v>
      </c>
      <c r="AJ19" s="6">
        <f t="shared" si="31"/>
        <v>2.9379996576482283</v>
      </c>
      <c r="AK19" s="6">
        <f t="shared" si="17"/>
        <v>1.8602379243546401</v>
      </c>
      <c r="AL19" s="6">
        <f t="shared" si="18"/>
        <v>8.0087910251321379E-2</v>
      </c>
      <c r="AM19" s="6">
        <f t="shared" si="21"/>
        <v>5.9932452838072168E-3</v>
      </c>
      <c r="AN19" s="6">
        <f t="shared" si="19"/>
        <v>3.3369962604717241E-3</v>
      </c>
      <c r="AO19" s="6">
        <f t="shared" si="22"/>
        <v>0.55679287305122493</v>
      </c>
      <c r="AP19" s="6">
        <f t="shared" ref="AP19:AV19" si="33">AI19/AI24-1</f>
        <v>1.3676470588235294</v>
      </c>
      <c r="AQ19" s="6">
        <f t="shared" si="33"/>
        <v>9.7744360902255467E-2</v>
      </c>
      <c r="AR19" s="6">
        <f t="shared" si="33"/>
        <v>-0.1958762886597939</v>
      </c>
      <c r="AS19" s="6">
        <f t="shared" si="33"/>
        <v>0.71428571428571419</v>
      </c>
      <c r="AT19" s="6">
        <f t="shared" si="33"/>
        <v>0.99555555555555575</v>
      </c>
      <c r="AU19" s="6">
        <f t="shared" si="33"/>
        <v>1.5</v>
      </c>
      <c r="AV19" s="6">
        <f t="shared" si="33"/>
        <v>0.25278396436525608</v>
      </c>
    </row>
    <row r="20" spans="1:49">
      <c r="A20" s="6" t="s">
        <v>518</v>
      </c>
      <c r="B20" s="6" t="s">
        <v>215</v>
      </c>
      <c r="C20" s="6">
        <v>4.2</v>
      </c>
      <c r="D20" s="6">
        <v>10.199999999999999</v>
      </c>
      <c r="E20" s="6">
        <v>0.8</v>
      </c>
      <c r="F20" s="6">
        <v>0.47</v>
      </c>
      <c r="G20" s="6">
        <v>0.14000000000000001</v>
      </c>
      <c r="H20" s="6">
        <v>5.78</v>
      </c>
      <c r="I20" s="6">
        <v>0.05</v>
      </c>
      <c r="J20" s="3">
        <f t="shared" si="1"/>
        <v>2.6990584542958023</v>
      </c>
      <c r="K20" s="3">
        <f t="shared" si="2"/>
        <v>0.4824287174601285</v>
      </c>
      <c r="L20" s="6">
        <f t="shared" si="3"/>
        <v>0.28169045651466207</v>
      </c>
      <c r="M20" s="6">
        <f t="shared" si="4"/>
        <v>0.10005670733664544</v>
      </c>
      <c r="N20" s="6">
        <f t="shared" si="5"/>
        <v>2.3990252016985139</v>
      </c>
      <c r="O20" s="6">
        <f t="shared" si="6"/>
        <v>1.8546448065389996E-2</v>
      </c>
      <c r="P20" s="6">
        <f t="shared" si="7"/>
        <v>51.738939903377954</v>
      </c>
      <c r="Q20" s="6">
        <f t="shared" si="8"/>
        <v>95.790723946629114</v>
      </c>
      <c r="R20" s="6">
        <v>170</v>
      </c>
      <c r="T20" s="6">
        <v>240</v>
      </c>
      <c r="U20" s="6">
        <v>8</v>
      </c>
      <c r="V20" s="6">
        <f t="shared" si="9"/>
        <v>1.7000000000000001E-2</v>
      </c>
      <c r="W20" s="6" t="s">
        <v>53</v>
      </c>
      <c r="X20" s="6">
        <f t="shared" si="10"/>
        <v>8.0000000000000004E-4</v>
      </c>
      <c r="Y20" s="6">
        <f>(J20/J24-1)*100</f>
        <v>-25</v>
      </c>
      <c r="Z20" s="6">
        <f>(K20/K24-1)*100</f>
        <v>-39.849624060150369</v>
      </c>
      <c r="AA20" s="52">
        <f>(L20/L24-1)*100</f>
        <v>-5.9999999999999831</v>
      </c>
      <c r="AB20" s="6">
        <f t="shared" si="11"/>
        <v>306.53556969346437</v>
      </c>
      <c r="AC20" s="6">
        <f t="shared" si="12"/>
        <v>0.55176402544823588</v>
      </c>
      <c r="AD20" s="6">
        <f t="shared" si="13"/>
        <v>4.5980335454019652E-2</v>
      </c>
      <c r="AE20" s="6">
        <f>J24*(100-AC20)/100</f>
        <v>3.5788880276255721</v>
      </c>
      <c r="AF20" s="6">
        <f>L24*(100-AD20)/100</f>
        <v>0.29953290882746236</v>
      </c>
      <c r="AG20" s="6">
        <f t="shared" si="14"/>
        <v>11.948229800976865</v>
      </c>
      <c r="AH20" s="6">
        <f>AG20/AI24-1</f>
        <v>-5.0601635801307276E-3</v>
      </c>
      <c r="AI20" s="6">
        <f t="shared" si="15"/>
        <v>9.5816467752975356</v>
      </c>
      <c r="AJ20" s="6">
        <f t="shared" si="31"/>
        <v>1.712620027775126</v>
      </c>
      <c r="AK20" s="6">
        <f t="shared" si="17"/>
        <v>0.35520091299733991</v>
      </c>
      <c r="AL20" s="6">
        <f t="shared" si="18"/>
        <v>6.0349932370233304E-2</v>
      </c>
      <c r="AM20" s="6" t="s">
        <v>53</v>
      </c>
      <c r="AN20" s="6">
        <f t="shared" si="19"/>
        <v>2.8399968174227437E-3</v>
      </c>
      <c r="AO20" s="6" t="s">
        <v>53</v>
      </c>
      <c r="AP20" s="6">
        <f>AI20/AI24-1</f>
        <v>-0.20212765957446821</v>
      </c>
      <c r="AQ20" s="6">
        <f>AJ20/AJ24-1</f>
        <v>-0.36010238361862112</v>
      </c>
      <c r="AR20" s="6">
        <f>AK20/AK24-1</f>
        <v>-0.84645755648168453</v>
      </c>
      <c r="AS20" s="6">
        <f>AL20/AL24-1</f>
        <v>0.29179331306990863</v>
      </c>
      <c r="AT20" s="6" t="s">
        <v>53</v>
      </c>
      <c r="AU20" s="6">
        <f>AN20/AN24-1</f>
        <v>1.1276595744680851</v>
      </c>
      <c r="AV20" s="6" t="s">
        <v>53</v>
      </c>
    </row>
    <row r="21" spans="1:49">
      <c r="A21" s="6" t="s">
        <v>519</v>
      </c>
      <c r="B21" s="6" t="s">
        <v>215</v>
      </c>
      <c r="C21" s="6">
        <v>10.199999999999999</v>
      </c>
      <c r="D21" s="6">
        <v>15.1</v>
      </c>
      <c r="E21" s="6">
        <v>0.92</v>
      </c>
      <c r="F21" s="6">
        <v>0.28000000000000003</v>
      </c>
      <c r="G21" s="6">
        <v>0.94</v>
      </c>
      <c r="H21" s="6">
        <v>6.63</v>
      </c>
      <c r="I21" s="6">
        <v>0.2</v>
      </c>
      <c r="J21" s="3">
        <f t="shared" si="1"/>
        <v>3.9956649666535902</v>
      </c>
      <c r="K21" s="3">
        <f t="shared" si="2"/>
        <v>0.55479302507914774</v>
      </c>
      <c r="L21" s="6">
        <f t="shared" si="3"/>
        <v>0.16781559111511782</v>
      </c>
      <c r="M21" s="6">
        <f t="shared" si="4"/>
        <v>0.67180932068890509</v>
      </c>
      <c r="N21" s="6">
        <f t="shared" si="5"/>
        <v>2.7518230254777065</v>
      </c>
      <c r="O21" s="6">
        <f t="shared" si="6"/>
        <v>7.4185792261559982E-2</v>
      </c>
      <c r="P21" s="6">
        <f t="shared" si="7"/>
        <v>53.321865287771175</v>
      </c>
      <c r="Q21" s="6">
        <f t="shared" si="8"/>
        <v>84.267216535421525</v>
      </c>
      <c r="R21" s="6">
        <v>130</v>
      </c>
      <c r="S21" s="6">
        <v>10.199999999999999</v>
      </c>
      <c r="T21" s="6">
        <v>230</v>
      </c>
      <c r="U21" s="6">
        <v>5</v>
      </c>
      <c r="V21" s="6">
        <f t="shared" si="9"/>
        <v>1.2999999999999999E-2</v>
      </c>
      <c r="W21" s="6">
        <f t="shared" si="20"/>
        <v>1.0199999999999999E-3</v>
      </c>
      <c r="X21" s="6">
        <f t="shared" si="10"/>
        <v>5.0000000000000001E-4</v>
      </c>
      <c r="Y21" s="6">
        <f>(J21/J24-1)*100</f>
        <v>11.029411764705888</v>
      </c>
      <c r="Z21" s="6">
        <f>(K21/K24-1)*100</f>
        <v>-30.827067669172926</v>
      </c>
      <c r="AA21" s="52">
        <f>(L21/L24-1)*100</f>
        <v>-43.999999999999993</v>
      </c>
      <c r="AB21" s="6">
        <f t="shared" si="11"/>
        <v>237.13128976286865</v>
      </c>
      <c r="AC21" s="6">
        <f t="shared" si="12"/>
        <v>0.42683632157316354</v>
      </c>
      <c r="AD21" s="6">
        <f t="shared" si="13"/>
        <v>3.5569693464430292E-2</v>
      </c>
      <c r="AE21" s="6">
        <f>J24*(100-AC21)/100</f>
        <v>3.5833838566298355</v>
      </c>
      <c r="AF21" s="6">
        <f>L24*(100-AD21)/100</f>
        <v>0.29956410647102255</v>
      </c>
      <c r="AG21" s="6">
        <f t="shared" si="14"/>
        <v>11.961993373783796</v>
      </c>
      <c r="AH21" s="6">
        <f>AG21/AI24-1</f>
        <v>-3.9140584996977257E-3</v>
      </c>
      <c r="AI21" s="6">
        <f t="shared" si="15"/>
        <v>23.809855449680189</v>
      </c>
      <c r="AJ21" s="6">
        <f t="shared" si="31"/>
        <v>3.3059683036159129</v>
      </c>
      <c r="AK21" s="6">
        <f t="shared" si="17"/>
        <v>4.0032592694445093</v>
      </c>
      <c r="AL21" s="6">
        <f t="shared" si="18"/>
        <v>7.7465984618093592E-2</v>
      </c>
      <c r="AM21" s="6">
        <f t="shared" si="21"/>
        <v>6.0781003315734964E-3</v>
      </c>
      <c r="AN21" s="6">
        <f t="shared" si="19"/>
        <v>2.9794609468497533E-3</v>
      </c>
      <c r="AO21" s="6">
        <f t="shared" si="22"/>
        <v>0.49019607843137264</v>
      </c>
      <c r="AP21" s="6">
        <f t="shared" ref="AP21:AV21" si="34">AI21/AI24-1</f>
        <v>0.98266806722689082</v>
      </c>
      <c r="AQ21" s="6">
        <f t="shared" si="34"/>
        <v>0.23523093447905463</v>
      </c>
      <c r="AR21" s="6">
        <f t="shared" si="34"/>
        <v>0.73048600883652415</v>
      </c>
      <c r="AS21" s="6">
        <f t="shared" si="34"/>
        <v>0.65816326530612224</v>
      </c>
      <c r="AT21" s="6">
        <f t="shared" si="34"/>
        <v>1.0238095238095237</v>
      </c>
      <c r="AU21" s="6">
        <f t="shared" si="34"/>
        <v>1.2321428571428568</v>
      </c>
      <c r="AV21" s="6">
        <f t="shared" si="34"/>
        <v>0.10294117647058831</v>
      </c>
    </row>
    <row r="22" spans="1:49">
      <c r="A22" s="6" t="s">
        <v>520</v>
      </c>
      <c r="B22" s="6" t="s">
        <v>215</v>
      </c>
      <c r="C22" s="6">
        <v>10.4</v>
      </c>
      <c r="D22" s="6">
        <v>13.7</v>
      </c>
      <c r="E22" s="6">
        <v>0.27</v>
      </c>
      <c r="F22" s="6">
        <v>0.42</v>
      </c>
      <c r="G22" s="6">
        <v>0.88</v>
      </c>
      <c r="H22" s="6">
        <v>6.42</v>
      </c>
      <c r="I22" s="6">
        <v>0.14000000000000001</v>
      </c>
      <c r="J22" s="6">
        <f t="shared" si="1"/>
        <v>3.6252059631227933</v>
      </c>
      <c r="K22" s="3">
        <f t="shared" si="2"/>
        <v>0.16281969214279335</v>
      </c>
      <c r="L22" s="6">
        <f t="shared" si="3"/>
        <v>0.25172338667267669</v>
      </c>
      <c r="M22" s="6">
        <f t="shared" si="4"/>
        <v>0.62892787468748568</v>
      </c>
      <c r="N22" s="6">
        <f t="shared" si="5"/>
        <v>2.6646612101910829</v>
      </c>
      <c r="O22" s="6">
        <f t="shared" si="6"/>
        <v>5.1930054583091988E-2</v>
      </c>
      <c r="P22" s="6">
        <f t="shared" si="7"/>
        <v>52.006153015254007</v>
      </c>
      <c r="Q22" s="6">
        <f t="shared" si="8"/>
        <v>84.188392316395749</v>
      </c>
      <c r="R22" s="6">
        <v>120</v>
      </c>
      <c r="T22" s="6">
        <v>230</v>
      </c>
      <c r="U22" s="6">
        <v>3</v>
      </c>
      <c r="V22" s="6">
        <f t="shared" si="9"/>
        <v>1.2E-2</v>
      </c>
      <c r="W22" s="6" t="s">
        <v>53</v>
      </c>
      <c r="X22" s="6">
        <f t="shared" si="10"/>
        <v>2.9999999999999997E-4</v>
      </c>
      <c r="Y22" s="6">
        <f>(J22/J24-1)*100</f>
        <v>0.73529411764705621</v>
      </c>
      <c r="Z22" s="6">
        <f>(K22/K24-1)*100</f>
        <v>-79.699248120300751</v>
      </c>
      <c r="AA22" s="52">
        <f>(L22/L24-1)*100</f>
        <v>-16.000000000000004</v>
      </c>
      <c r="AB22" s="6">
        <f t="shared" si="11"/>
        <v>613.07113938692885</v>
      </c>
      <c r="AC22" s="6">
        <f t="shared" si="12"/>
        <v>1.103528050896472</v>
      </c>
      <c r="AD22" s="6">
        <f t="shared" si="13"/>
        <v>9.1960670908039319E-2</v>
      </c>
      <c r="AE22" s="6">
        <f>J24*(100-AC22)/100</f>
        <v>3.559031449523407</v>
      </c>
      <c r="AF22" s="6">
        <f>L24*(100-AD22)/100</f>
        <v>0.29939511923507151</v>
      </c>
      <c r="AG22" s="6">
        <f t="shared" si="14"/>
        <v>11.887406376618372</v>
      </c>
      <c r="AH22" s="6">
        <f>AG22/AI24-1</f>
        <v>-1.0124984803839276E-2</v>
      </c>
      <c r="AI22" s="6">
        <f t="shared" si="15"/>
        <v>14.401546121881616</v>
      </c>
      <c r="AJ22" s="6">
        <f t="shared" si="31"/>
        <v>0.64681988549006997</v>
      </c>
      <c r="AK22" s="6">
        <f t="shared" si="17"/>
        <v>2.4984880546887727</v>
      </c>
      <c r="AL22" s="6">
        <f t="shared" si="18"/>
        <v>4.7671375149596067E-2</v>
      </c>
      <c r="AM22" s="6" t="s">
        <v>53</v>
      </c>
      <c r="AN22" s="6">
        <f t="shared" si="19"/>
        <v>1.1917843787399014E-3</v>
      </c>
      <c r="AO22" s="6" t="s">
        <v>53</v>
      </c>
      <c r="AP22" s="6">
        <f>AI22/AI24-1</f>
        <v>0.19922969187675088</v>
      </c>
      <c r="AQ22" s="6">
        <f>AJ22/AJ24-1</f>
        <v>-0.7583243823845327</v>
      </c>
      <c r="AR22" s="6">
        <f>AK22/AK24-1</f>
        <v>8.001963672066803E-2</v>
      </c>
      <c r="AS22" s="6">
        <f>AL22/AL24-1</f>
        <v>2.0408163265306145E-2</v>
      </c>
      <c r="AT22" s="6" t="s">
        <v>53</v>
      </c>
      <c r="AU22" s="6">
        <f>AN22/AN24-1</f>
        <v>-0.10714285714285721</v>
      </c>
      <c r="AV22" s="6" t="s">
        <v>53</v>
      </c>
    </row>
    <row r="23" spans="1:49" s="3" customFormat="1">
      <c r="A23" s="3" t="s">
        <v>521</v>
      </c>
      <c r="B23" s="3" t="s">
        <v>215</v>
      </c>
      <c r="C23" s="3">
        <v>12</v>
      </c>
      <c r="D23" s="3">
        <v>15.6</v>
      </c>
      <c r="E23" s="3">
        <v>0.7</v>
      </c>
      <c r="F23" s="3">
        <v>0.22</v>
      </c>
      <c r="G23" s="3">
        <v>0.31</v>
      </c>
      <c r="H23" s="3">
        <v>7.22</v>
      </c>
      <c r="I23" s="53">
        <v>0.1</v>
      </c>
      <c r="J23" s="3">
        <f t="shared" si="1"/>
        <v>4.1279717536288745</v>
      </c>
      <c r="K23" s="3">
        <f t="shared" si="2"/>
        <v>0.4221251277776123</v>
      </c>
      <c r="L23" s="3">
        <f t="shared" si="3"/>
        <v>0.13185510730473543</v>
      </c>
      <c r="M23" s="3">
        <f t="shared" si="4"/>
        <v>0.22155413767400062</v>
      </c>
      <c r="N23" s="3">
        <f t="shared" si="5"/>
        <v>2.9967062208067943</v>
      </c>
      <c r="O23" s="3">
        <f t="shared" si="6"/>
        <v>3.7092896130779991E-2</v>
      </c>
      <c r="P23" s="6">
        <f>100*(J23/(J23+M23+N23+O23))</f>
        <v>55.909387017660606</v>
      </c>
      <c r="Q23" s="6">
        <f>100*(J23/(J23+M23+O23))</f>
        <v>94.103726666522149</v>
      </c>
      <c r="R23" s="3">
        <v>91</v>
      </c>
      <c r="S23" s="3">
        <v>10.199999999999999</v>
      </c>
      <c r="T23" s="3">
        <v>270</v>
      </c>
      <c r="U23" s="3">
        <v>3</v>
      </c>
      <c r="V23" s="3">
        <f t="shared" si="9"/>
        <v>9.1000000000000004E-3</v>
      </c>
      <c r="W23" s="3">
        <f t="shared" si="20"/>
        <v>1.0199999999999999E-3</v>
      </c>
      <c r="X23" s="3">
        <f t="shared" si="10"/>
        <v>2.9999999999999997E-4</v>
      </c>
      <c r="Y23" s="3">
        <f>(J23/J24-1)*100</f>
        <v>14.705882352941192</v>
      </c>
      <c r="Z23" s="3">
        <f>(K23/K24-1)*100</f>
        <v>-47.368421052631589</v>
      </c>
      <c r="AA23" s="54">
        <f>(L23/L24-1)*100</f>
        <v>-55.999999999999993</v>
      </c>
      <c r="AB23" s="3">
        <f t="shared" si="11"/>
        <v>364.37246963562762</v>
      </c>
      <c r="AC23" s="6">
        <f t="shared" si="12"/>
        <v>0.65587044534412975</v>
      </c>
      <c r="AD23" s="6">
        <f t="shared" si="13"/>
        <v>5.4655870445344139E-2</v>
      </c>
      <c r="AE23" s="3">
        <f>J24*(100-AC23)/100</f>
        <v>3.575141503455352</v>
      </c>
      <c r="AF23" s="3">
        <f>L24*(100-AD23)/100</f>
        <v>0.29950691079116221</v>
      </c>
      <c r="AG23" s="3">
        <f t="shared" si="14"/>
        <v>11.936757966657398</v>
      </c>
      <c r="AH23" s="6">
        <f>AG23/AI24-1</f>
        <v>-6.0154335365483202E-3</v>
      </c>
      <c r="AI23" s="3">
        <f t="shared" si="15"/>
        <v>31.306877966346494</v>
      </c>
      <c r="AJ23" s="3">
        <f t="shared" si="31"/>
        <v>3.2014317564660018</v>
      </c>
      <c r="AK23" s="3">
        <f t="shared" si="17"/>
        <v>1.6802848384322215</v>
      </c>
      <c r="AL23" s="6">
        <f t="shared" si="18"/>
        <v>6.901514993248338E-2</v>
      </c>
      <c r="AM23" s="6">
        <f t="shared" si="21"/>
        <v>7.7357640583662676E-3</v>
      </c>
      <c r="AN23" s="6">
        <f t="shared" si="19"/>
        <v>2.2752247230489022E-3</v>
      </c>
      <c r="AO23" s="6">
        <f t="shared" si="22"/>
        <v>0.29411764705882354</v>
      </c>
      <c r="AP23" s="6">
        <f t="shared" ref="AP23:AV23" si="35">AI23/AI24-1</f>
        <v>1.606951871657754</v>
      </c>
      <c r="AQ23" s="6">
        <f t="shared" si="35"/>
        <v>0.19617224880382733</v>
      </c>
      <c r="AR23" s="6">
        <f t="shared" si="35"/>
        <v>-0.27366447985004694</v>
      </c>
      <c r="AS23" s="6">
        <f t="shared" si="35"/>
        <v>0.47727272727272707</v>
      </c>
      <c r="AT23" s="6">
        <f t="shared" si="35"/>
        <v>1.5757575757575752</v>
      </c>
      <c r="AU23" s="6">
        <f t="shared" si="35"/>
        <v>0.70454545454545414</v>
      </c>
      <c r="AV23" s="6">
        <f t="shared" si="35"/>
        <v>-0.33823529411764708</v>
      </c>
      <c r="AW23" s="6"/>
    </row>
    <row r="24" spans="1:49" s="2" customFormat="1">
      <c r="A24" s="2" t="s">
        <v>522</v>
      </c>
      <c r="B24" s="2" t="s">
        <v>42</v>
      </c>
      <c r="C24" s="2">
        <v>18.7</v>
      </c>
      <c r="D24" s="2">
        <v>13.6</v>
      </c>
      <c r="E24" s="2">
        <v>1.33</v>
      </c>
      <c r="F24" s="2">
        <v>0.5</v>
      </c>
      <c r="G24" s="2">
        <v>0.97</v>
      </c>
      <c r="H24" s="2">
        <v>4.21</v>
      </c>
      <c r="I24" s="2">
        <v>2.7</v>
      </c>
      <c r="J24" s="2">
        <f t="shared" si="1"/>
        <v>3.5987446057277364</v>
      </c>
      <c r="K24" s="2">
        <f t="shared" si="2"/>
        <v>0.80203774277746354</v>
      </c>
      <c r="L24" s="2">
        <f t="shared" si="3"/>
        <v>0.29967069841985322</v>
      </c>
      <c r="M24" s="2">
        <f t="shared" si="4"/>
        <v>0.69325004368961485</v>
      </c>
      <c r="N24" s="2">
        <f t="shared" si="5"/>
        <v>1.7473868683651805</v>
      </c>
      <c r="O24" s="2">
        <f t="shared" si="6"/>
        <v>1.0015081955310599</v>
      </c>
      <c r="R24" s="2">
        <v>140</v>
      </c>
      <c r="S24" s="2">
        <v>9</v>
      </c>
      <c r="T24" s="2">
        <v>160</v>
      </c>
      <c r="U24" s="2">
        <v>4</v>
      </c>
      <c r="V24" s="2">
        <f t="shared" si="9"/>
        <v>1.4E-2</v>
      </c>
      <c r="W24" s="2">
        <f t="shared" si="20"/>
        <v>8.9999999999999998E-4</v>
      </c>
      <c r="X24" s="2">
        <f t="shared" si="10"/>
        <v>4.0000000000000002E-4</v>
      </c>
      <c r="AG24" s="55"/>
      <c r="AI24" s="2">
        <f t="shared" si="15"/>
        <v>12.008997291706246</v>
      </c>
      <c r="AJ24" s="2">
        <f>K24/L24</f>
        <v>2.6763969484055785</v>
      </c>
      <c r="AK24" s="2">
        <f>M24/L24</f>
        <v>2.3133728033641039</v>
      </c>
      <c r="AL24" s="2">
        <f t="shared" si="18"/>
        <v>4.6717947646604141E-2</v>
      </c>
      <c r="AM24" s="2">
        <f t="shared" si="21"/>
        <v>3.0032966344245514E-3</v>
      </c>
      <c r="AN24" s="2">
        <f t="shared" si="19"/>
        <v>1.3347985041886896E-3</v>
      </c>
      <c r="AO24" s="2">
        <f t="shared" si="22"/>
        <v>0.44444444444444448</v>
      </c>
    </row>
    <row r="25" spans="1:49">
      <c r="C25" s="3"/>
      <c r="D25" s="3"/>
      <c r="E25" s="3"/>
      <c r="F25" s="3"/>
      <c r="G25" s="3"/>
      <c r="H25" s="3"/>
      <c r="I25" s="3"/>
      <c r="J25" s="3"/>
      <c r="K25" s="3"/>
      <c r="L25" s="3"/>
      <c r="M25" s="3"/>
      <c r="N25" s="3"/>
      <c r="O25" s="3"/>
      <c r="P25" s="3"/>
      <c r="Q25" s="3"/>
      <c r="R25" s="3"/>
      <c r="U25" s="3"/>
      <c r="V25" s="3"/>
      <c r="W25" s="3"/>
      <c r="X25" s="3"/>
      <c r="Y25" s="3"/>
      <c r="Z25" s="3"/>
      <c r="AA25" s="3"/>
      <c r="AB25" s="3"/>
      <c r="AC25" s="3"/>
      <c r="AD25" s="3"/>
      <c r="AE25" s="3"/>
      <c r="AF25" s="3"/>
      <c r="AG25" s="66"/>
      <c r="AH25" s="3"/>
      <c r="AI25" s="3"/>
      <c r="AJ25" s="3"/>
      <c r="AK25" s="3"/>
      <c r="AL25" s="3"/>
      <c r="AM25" s="3"/>
      <c r="AN25" s="3"/>
      <c r="AO25" s="67" t="s">
        <v>97</v>
      </c>
      <c r="AP25" s="3">
        <f>_xlfn.VAR.P(AP5,AP7:AP23)</f>
        <v>0.28065523549030641</v>
      </c>
      <c r="AQ25" s="3"/>
    </row>
    <row r="26" spans="1:49">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66"/>
      <c r="AH26" s="3"/>
      <c r="AI26" s="3"/>
      <c r="AJ26" s="3"/>
      <c r="AK26" s="3"/>
      <c r="AL26" s="3"/>
      <c r="AM26" s="3"/>
      <c r="AN26" s="3"/>
      <c r="AO26" s="67" t="s">
        <v>98</v>
      </c>
      <c r="AP26" s="3">
        <f>AVERAGE(AP5,AP7:AP23)</f>
        <v>0.89433757490419508</v>
      </c>
      <c r="AQ26" s="3"/>
    </row>
    <row r="27" spans="1:49">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row>
    <row r="28" spans="1:49">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row>
    <row r="29" spans="1:49">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row>
    <row r="30" spans="1:49">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row>
    <row r="31" spans="1:49">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row>
    <row r="32" spans="1:49">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row>
    <row r="33" spans="3:4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row>
    <row r="34" spans="3:4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row>
    <row r="35" spans="3:4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row>
    <row r="36" spans="3:4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row>
    <row r="37" spans="3:4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row>
    <row r="38" spans="3:4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row>
    <row r="39" spans="3:4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row>
    <row r="40" spans="3:4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row>
    <row r="41" spans="3:4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row>
    <row r="42" spans="3:4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row>
    <row r="43" spans="3:4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row>
    <row r="44" spans="3:4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row>
    <row r="45" spans="3:4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row>
    <row r="46" spans="3:4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row>
    <row r="47" spans="3:4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row>
    <row r="48" spans="3:4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row>
    <row r="49" spans="3:4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row>
    <row r="50" spans="3:4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row>
    <row r="51" spans="3:4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row>
    <row r="52" spans="3:4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row>
    <row r="53" spans="3:4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row>
    <row r="54" spans="3:4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row>
    <row r="55" spans="3:4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row>
    <row r="56" spans="3:4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row>
    <row r="57" spans="3:4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row>
    <row r="58" spans="3:4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row>
    <row r="59" spans="3:4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row>
    <row r="60" spans="3:4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row>
    <row r="61" spans="3:4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row>
    <row r="62" spans="3:4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row>
    <row r="63" spans="3:4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row>
    <row r="64" spans="3:4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row>
    <row r="65" spans="3:4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row>
  </sheetData>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10"/>
  <sheetViews>
    <sheetView topLeftCell="C1" zoomScale="60" zoomScaleNormal="60" workbookViewId="0">
      <selection activeCell="R30" sqref="R30"/>
    </sheetView>
  </sheetViews>
  <sheetFormatPr defaultRowHeight="14.5"/>
  <cols>
    <col min="1" max="1" width="10.1796875" style="6" customWidth="1"/>
    <col min="2" max="2" width="11.81640625" style="6" customWidth="1"/>
    <col min="3" max="3" width="9.90625" customWidth="1"/>
    <col min="4" max="9" width="9.90625" style="6" customWidth="1"/>
    <col min="13" max="24" width="8.7265625" style="6"/>
    <col min="25" max="25" width="12.26953125" customWidth="1"/>
    <col min="26" max="26" width="12.81640625" customWidth="1"/>
    <col min="27" max="27" width="11.90625" customWidth="1"/>
    <col min="28" max="28" width="15.90625" customWidth="1"/>
    <col min="29" max="30" width="20" customWidth="1"/>
    <col min="31" max="31" width="11.81640625" customWidth="1"/>
    <col min="32" max="32" width="12.54296875" customWidth="1"/>
    <col min="33" max="33" width="14.36328125" customWidth="1"/>
    <col min="34" max="34" width="16.54296875" customWidth="1"/>
    <col min="37" max="41" width="8.7265625" style="6"/>
    <col min="43" max="43" width="11.08984375" customWidth="1"/>
  </cols>
  <sheetData>
    <row r="1" spans="1:48" s="6" customFormat="1">
      <c r="A1" s="107" t="s">
        <v>172</v>
      </c>
      <c r="B1" s="107"/>
      <c r="C1" s="107"/>
      <c r="D1" s="107"/>
      <c r="E1" s="107"/>
      <c r="F1" s="107"/>
      <c r="G1" s="107"/>
      <c r="H1" s="107"/>
      <c r="I1" s="107"/>
      <c r="J1" s="107"/>
      <c r="K1" s="107"/>
      <c r="L1" s="107"/>
      <c r="M1" s="107"/>
      <c r="N1" s="107"/>
      <c r="O1" s="107"/>
      <c r="P1" s="107"/>
      <c r="Q1" s="107"/>
      <c r="R1" s="107"/>
      <c r="S1" s="107"/>
      <c r="T1" s="107"/>
      <c r="U1" s="107"/>
      <c r="V1" s="107"/>
      <c r="W1" s="107"/>
    </row>
    <row r="2" spans="1:48">
      <c r="A2" s="1" t="s">
        <v>197</v>
      </c>
      <c r="B2" s="1" t="s">
        <v>196</v>
      </c>
      <c r="C2" s="1" t="s">
        <v>20</v>
      </c>
      <c r="D2" s="1" t="s">
        <v>1</v>
      </c>
      <c r="E2" s="1" t="s">
        <v>2</v>
      </c>
      <c r="F2" s="1" t="s">
        <v>3</v>
      </c>
      <c r="G2" s="1" t="s">
        <v>48</v>
      </c>
      <c r="H2" s="1" t="s">
        <v>49</v>
      </c>
      <c r="I2" s="1" t="s">
        <v>50</v>
      </c>
      <c r="J2" s="1" t="s">
        <v>4</v>
      </c>
      <c r="K2" s="1" t="s">
        <v>5</v>
      </c>
      <c r="L2" s="1" t="s">
        <v>6</v>
      </c>
      <c r="M2" s="1" t="s">
        <v>45</v>
      </c>
      <c r="N2" s="1" t="s">
        <v>46</v>
      </c>
      <c r="O2" s="1" t="s">
        <v>47</v>
      </c>
      <c r="P2" s="1" t="s">
        <v>51</v>
      </c>
      <c r="Q2" s="1" t="s">
        <v>52</v>
      </c>
      <c r="R2" s="1" t="s">
        <v>110</v>
      </c>
      <c r="S2" s="1" t="s">
        <v>109</v>
      </c>
      <c r="T2" s="1" t="s">
        <v>378</v>
      </c>
      <c r="U2" s="1" t="s">
        <v>108</v>
      </c>
      <c r="V2" s="1" t="s">
        <v>120</v>
      </c>
      <c r="W2" s="1" t="s">
        <v>121</v>
      </c>
      <c r="X2" s="1" t="s">
        <v>122</v>
      </c>
      <c r="Y2" s="1" t="s">
        <v>7</v>
      </c>
      <c r="Z2" s="1" t="s">
        <v>8</v>
      </c>
      <c r="AA2" s="1" t="s">
        <v>9</v>
      </c>
      <c r="AB2" s="1" t="s">
        <v>10</v>
      </c>
      <c r="AC2" s="1" t="s">
        <v>11</v>
      </c>
      <c r="AD2" s="1" t="s">
        <v>12</v>
      </c>
      <c r="AE2" s="1" t="s">
        <v>13</v>
      </c>
      <c r="AF2" s="1" t="s">
        <v>14</v>
      </c>
      <c r="AG2" s="1" t="s">
        <v>15</v>
      </c>
      <c r="AH2" s="1" t="s">
        <v>460</v>
      </c>
      <c r="AI2" s="1" t="s">
        <v>16</v>
      </c>
      <c r="AJ2" s="1" t="s">
        <v>17</v>
      </c>
      <c r="AK2" s="1" t="s">
        <v>107</v>
      </c>
      <c r="AL2" s="1" t="s">
        <v>134</v>
      </c>
      <c r="AM2" s="1" t="s">
        <v>136</v>
      </c>
      <c r="AN2" s="1" t="s">
        <v>135</v>
      </c>
      <c r="AO2" s="1" t="s">
        <v>106</v>
      </c>
      <c r="AP2" s="1" t="s">
        <v>459</v>
      </c>
      <c r="AQ2" s="1" t="s">
        <v>461</v>
      </c>
      <c r="AR2" s="1" t="s">
        <v>462</v>
      </c>
      <c r="AS2" s="1" t="s">
        <v>465</v>
      </c>
      <c r="AT2" s="1" t="s">
        <v>464</v>
      </c>
      <c r="AU2" s="1" t="s">
        <v>463</v>
      </c>
      <c r="AV2" s="1" t="s">
        <v>466</v>
      </c>
    </row>
    <row r="3" spans="1:48">
      <c r="A3" s="6" t="s">
        <v>125</v>
      </c>
      <c r="B3" s="6" t="s">
        <v>216</v>
      </c>
      <c r="C3" s="6">
        <v>0.3</v>
      </c>
      <c r="D3" s="6">
        <v>12.27</v>
      </c>
      <c r="E3" s="6">
        <v>0.56999999999999995</v>
      </c>
      <c r="F3" s="6">
        <v>0.32</v>
      </c>
      <c r="G3" s="6">
        <v>3.93</v>
      </c>
      <c r="H3" s="6">
        <v>2.41</v>
      </c>
      <c r="I3" s="6">
        <v>1.8</v>
      </c>
      <c r="J3" s="6">
        <f t="shared" ref="J3:J8" si="0">D3*26.98/101.96</f>
        <v>3.24680855237348</v>
      </c>
      <c r="K3" s="6">
        <f t="shared" ref="K3:K8" si="1">E3*24.305/40.3044</f>
        <v>0.34373046119034145</v>
      </c>
      <c r="L3" s="6">
        <f t="shared" ref="L3:L8" si="2">F3*47.867/79.866</f>
        <v>0.19178924698870609</v>
      </c>
      <c r="M3" s="6">
        <f t="shared" ref="M3:M8" si="3">G3*40.078/56.0774</f>
        <v>2.8087347130929756</v>
      </c>
      <c r="N3" s="6">
        <f t="shared" ref="N3:N8" si="4">H3*39.0983/94.2</f>
        <v>1.0002855944798301</v>
      </c>
      <c r="O3" s="6">
        <f t="shared" ref="O3:O8" si="5">I3*22.989769/61.9789</f>
        <v>0.66767213035403983</v>
      </c>
      <c r="P3" s="6">
        <f>100*(J3/(J3+M3+N3+O3))</f>
        <v>42.038041510592578</v>
      </c>
      <c r="Q3" s="6">
        <f>100*(J3/(J3+M3+O3))</f>
        <v>48.292496390817206</v>
      </c>
      <c r="R3" s="6">
        <v>55</v>
      </c>
      <c r="S3" s="6">
        <v>2</v>
      </c>
      <c r="T3" s="6">
        <v>50</v>
      </c>
      <c r="U3" s="6">
        <v>35</v>
      </c>
      <c r="V3" s="6">
        <f t="shared" ref="V3:W8" si="6">R3/10000</f>
        <v>5.4999999999999997E-3</v>
      </c>
      <c r="W3" s="6">
        <f t="shared" si="6"/>
        <v>2.0000000000000001E-4</v>
      </c>
      <c r="X3" s="6">
        <f t="shared" ref="X3:X8" si="7">U3/10000</f>
        <v>3.5000000000000001E-3</v>
      </c>
      <c r="Y3" s="6">
        <f>(J3/AVERAGE(J6:J8)-1)*100</f>
        <v>-22.194039315155344</v>
      </c>
      <c r="Z3" s="6">
        <f>(K3/AVERAGE(K6:K8)-1)*100</f>
        <v>-77.963917525773198</v>
      </c>
      <c r="AA3" s="6">
        <f>(L3/AVERAGE(L6:L8)-1)*100</f>
        <v>24.675324675324696</v>
      </c>
      <c r="AB3" s="6">
        <f>Z3/-0.13</f>
        <v>599.7224425059477</v>
      </c>
      <c r="AC3" s="6">
        <f>AB3*0.0018</f>
        <v>1.0795003965107057</v>
      </c>
      <c r="AD3" s="6">
        <f>AB3*0.00015</f>
        <v>8.9958366375892149E-2</v>
      </c>
      <c r="AE3" s="5">
        <f>AVERAGE(J6:J8)*(100-AC3)/100</f>
        <v>4.1279089839735938</v>
      </c>
      <c r="AF3" s="6">
        <f>AVERAGE(L6:L8)*(100-AD3)/100</f>
        <v>0.15369257470492437</v>
      </c>
      <c r="AG3" s="6">
        <f>AE3/AF3</f>
        <v>26.858220001186133</v>
      </c>
      <c r="AH3" s="6">
        <f>AG3/AVERAGE(AI6:AI8)-1</f>
        <v>-1.0952401369423881E-2</v>
      </c>
      <c r="AI3" s="6">
        <f t="shared" ref="AI3:AI8" si="8">J3/L3</f>
        <v>16.929043746465489</v>
      </c>
      <c r="AJ3" s="6">
        <f t="shared" ref="AJ3:AJ8" si="9">K3/L3</f>
        <v>1.792230099378735</v>
      </c>
      <c r="AK3" s="6">
        <f t="shared" ref="AK3:AK8" si="10">M3/L3</f>
        <v>14.644901928513093</v>
      </c>
      <c r="AL3" s="6">
        <f t="shared" ref="AL3:AL8" si="11">V3/L3</f>
        <v>2.8677311613428874E-2</v>
      </c>
      <c r="AM3" s="6">
        <f t="shared" ref="AM3:AM8" si="12">W3/L3</f>
        <v>1.0428113313974137E-3</v>
      </c>
      <c r="AN3" s="6">
        <f t="shared" ref="AN3:AN8" si="13">X3/L3</f>
        <v>1.824919829945474E-2</v>
      </c>
      <c r="AO3" s="6">
        <f t="shared" ref="AO3:AO8" si="14">X3/W3</f>
        <v>17.5</v>
      </c>
      <c r="AP3" s="6">
        <f t="shared" ref="AP3:AV3" si="15">AI3/AVERAGE(AI6:AI8)-1</f>
        <v>-0.37659196835031439</v>
      </c>
      <c r="AQ3" s="6">
        <f t="shared" si="15"/>
        <v>-0.82438990993184036</v>
      </c>
      <c r="AR3" s="6">
        <f t="shared" si="15"/>
        <v>-0.17258770835412707</v>
      </c>
      <c r="AS3" s="6">
        <f t="shared" si="15"/>
        <v>-0.55543891301571091</v>
      </c>
      <c r="AT3" s="6">
        <f t="shared" si="15"/>
        <v>-0.70008886255924174</v>
      </c>
      <c r="AU3" s="6">
        <f t="shared" si="15"/>
        <v>-0.57772283126787416</v>
      </c>
      <c r="AV3" s="6">
        <f t="shared" si="15"/>
        <v>0.39627659574468077</v>
      </c>
    </row>
    <row r="4" spans="1:48">
      <c r="A4" s="6" t="s">
        <v>124</v>
      </c>
      <c r="B4" s="6" t="s">
        <v>216</v>
      </c>
      <c r="C4">
        <v>18</v>
      </c>
      <c r="D4" s="6">
        <v>16.420000000000002</v>
      </c>
      <c r="E4" s="6">
        <v>0.75</v>
      </c>
      <c r="F4" s="6">
        <v>0.35</v>
      </c>
      <c r="G4" s="6">
        <v>0.86</v>
      </c>
      <c r="H4" s="6">
        <v>3.44</v>
      </c>
      <c r="I4" s="6">
        <v>2.33</v>
      </c>
      <c r="J4" s="6">
        <f t="shared" si="0"/>
        <v>4.3449548842683416</v>
      </c>
      <c r="K4" s="6">
        <f t="shared" si="1"/>
        <v>0.45227692261887031</v>
      </c>
      <c r="L4" s="6">
        <f t="shared" si="2"/>
        <v>0.20976948889389724</v>
      </c>
      <c r="M4" s="6">
        <f t="shared" si="3"/>
        <v>0.6146340593536791</v>
      </c>
      <c r="N4" s="6">
        <f t="shared" si="4"/>
        <v>1.4277935456475583</v>
      </c>
      <c r="O4" s="6">
        <f t="shared" si="5"/>
        <v>0.86426447984717381</v>
      </c>
      <c r="P4" s="6">
        <f>100*(J4/(J4+M4+N4+O4))</f>
        <v>59.916801007724111</v>
      </c>
      <c r="Q4" s="6">
        <f>100*(J4/(J4+M4+O4))</f>
        <v>74.606185429716874</v>
      </c>
      <c r="R4" s="6">
        <v>95</v>
      </c>
      <c r="S4" s="6">
        <v>6</v>
      </c>
      <c r="T4" s="6">
        <v>73</v>
      </c>
      <c r="U4" s="6">
        <v>49</v>
      </c>
      <c r="V4" s="6">
        <f t="shared" si="6"/>
        <v>9.4999999999999998E-3</v>
      </c>
      <c r="W4" s="6">
        <f t="shared" si="6"/>
        <v>5.9999999999999995E-4</v>
      </c>
      <c r="X4" s="6">
        <f t="shared" si="7"/>
        <v>4.8999999999999998E-3</v>
      </c>
      <c r="Y4">
        <f>(J4/AVERAGE(J6:J8)-1)*100</f>
        <v>4.1217501585288918</v>
      </c>
      <c r="Z4">
        <f>(K4/AVERAGE(K6:K8)-1)*100</f>
        <v>-71.005154639175259</v>
      </c>
      <c r="AA4">
        <f>(L4/AVERAGE(L6:L8)-1)*100</f>
        <v>36.363636363636353</v>
      </c>
      <c r="AB4" s="6">
        <f>Z4/-0.13</f>
        <v>546.19349722442507</v>
      </c>
      <c r="AC4" s="6">
        <f>AB4*0.0018</f>
        <v>0.98314829500396506</v>
      </c>
      <c r="AD4" s="6">
        <f>AB4*0.00015</f>
        <v>8.1929024583663759E-2</v>
      </c>
      <c r="AE4" s="5">
        <f>AVERAGE(J6:J8)*(100-AC4)/100</f>
        <v>4.1319297148335128</v>
      </c>
      <c r="AF4" s="6">
        <f>AVERAGE(L6:L8)*(100-AD4)/100</f>
        <v>0.15370492631836638</v>
      </c>
      <c r="AG4" s="6">
        <f>AE4/AF4</f>
        <v>26.882220458406891</v>
      </c>
      <c r="AH4" s="6">
        <f>AG4/AVERAGE(AI6:AI8)-1</f>
        <v>-1.006859020922124E-2</v>
      </c>
      <c r="AI4" s="6">
        <f t="shared" si="8"/>
        <v>20.712997429602584</v>
      </c>
      <c r="AJ4" s="6">
        <f t="shared" si="9"/>
        <v>2.1560662849668994</v>
      </c>
      <c r="AK4" s="6">
        <f t="shared" si="10"/>
        <v>2.9300450823168327</v>
      </c>
      <c r="AL4" s="6">
        <f t="shared" si="11"/>
        <v>4.5287806392116256E-2</v>
      </c>
      <c r="AM4" s="6">
        <f t="shared" si="12"/>
        <v>2.8602825089757635E-3</v>
      </c>
      <c r="AN4" s="6">
        <f t="shared" si="13"/>
        <v>2.3358973823302071E-2</v>
      </c>
      <c r="AO4" s="6">
        <f t="shared" si="14"/>
        <v>8.1666666666666679</v>
      </c>
      <c r="AP4" s="6">
        <f t="shared" ref="AP4:AV4" si="16">AI4/AVERAGE(AI6:AI8)-1</f>
        <v>-0.23724876900684388</v>
      </c>
      <c r="AQ4" s="6">
        <f t="shared" si="16"/>
        <v>-0.7887397412713868</v>
      </c>
      <c r="AR4" s="6">
        <f t="shared" si="16"/>
        <v>-0.83445738810545678</v>
      </c>
      <c r="AS4" s="6">
        <f t="shared" si="16"/>
        <v>-0.29793989380143426</v>
      </c>
      <c r="AT4" s="6">
        <f t="shared" si="16"/>
        <v>-0.17738659444820581</v>
      </c>
      <c r="AU4" s="6">
        <f t="shared" si="16"/>
        <v>-0.45948522402287884</v>
      </c>
      <c r="AV4" s="6">
        <f t="shared" si="16"/>
        <v>-0.34840425531914887</v>
      </c>
    </row>
    <row r="5" spans="1:48">
      <c r="A5" s="6" t="s">
        <v>123</v>
      </c>
      <c r="B5" s="6" t="s">
        <v>216</v>
      </c>
      <c r="C5">
        <v>46</v>
      </c>
      <c r="D5" s="6">
        <v>14.64</v>
      </c>
      <c r="E5" s="6">
        <v>0.93</v>
      </c>
      <c r="F5" s="6">
        <v>0.44</v>
      </c>
      <c r="G5" s="6">
        <v>2.09</v>
      </c>
      <c r="H5" s="6">
        <v>2.88</v>
      </c>
      <c r="I5" s="6">
        <v>2.31</v>
      </c>
      <c r="J5" s="6">
        <f t="shared" si="0"/>
        <v>3.8739427226363286</v>
      </c>
      <c r="K5" s="6">
        <f t="shared" si="1"/>
        <v>0.56082338404739929</v>
      </c>
      <c r="L5" s="6">
        <f t="shared" si="2"/>
        <v>0.26371021460947086</v>
      </c>
      <c r="M5" s="6">
        <f t="shared" si="3"/>
        <v>1.4937037023827782</v>
      </c>
      <c r="N5" s="6">
        <f t="shared" si="4"/>
        <v>1.1953620382165604</v>
      </c>
      <c r="O5" s="6">
        <f t="shared" si="5"/>
        <v>0.85684590062101773</v>
      </c>
      <c r="P5" s="6">
        <f>100*(J5/(J5+M5+N5+O5))</f>
        <v>52.210495417631556</v>
      </c>
      <c r="Q5" s="6">
        <f>100*(J5/(J5+M5+O5))</f>
        <v>62.2370872991306</v>
      </c>
      <c r="R5" s="6">
        <v>104</v>
      </c>
      <c r="S5" s="6">
        <v>12</v>
      </c>
      <c r="T5" s="6">
        <v>67</v>
      </c>
      <c r="U5" s="6">
        <v>45</v>
      </c>
      <c r="V5" s="6">
        <f t="shared" si="6"/>
        <v>1.04E-2</v>
      </c>
      <c r="W5" s="6">
        <f t="shared" si="6"/>
        <v>1.1999999999999999E-3</v>
      </c>
      <c r="X5" s="6">
        <f t="shared" si="7"/>
        <v>4.4999999999999997E-3</v>
      </c>
      <c r="Y5">
        <f>(J5/AVERAGE(J6:J8)-1)*100</f>
        <v>-7.1655041217501436</v>
      </c>
      <c r="Z5">
        <f>(K5/AVERAGE(K6:K8)-1)*100</f>
        <v>-64.046391752577307</v>
      </c>
      <c r="AA5">
        <f>(L5/AVERAGE(L6:L8)-1)*100</f>
        <v>71.428571428571459</v>
      </c>
      <c r="AB5" s="6">
        <f>Z5/-0.13</f>
        <v>492.66455194290234</v>
      </c>
      <c r="AC5" s="6">
        <f>AB5*0.0018</f>
        <v>0.88679619349722416</v>
      </c>
      <c r="AD5" s="6">
        <f>AB5*0.00015</f>
        <v>7.3899682791435342E-2</v>
      </c>
      <c r="AE5" s="5">
        <f>AVERAGE(J6:J8)*(100-AC5)/100</f>
        <v>4.1359504456934335</v>
      </c>
      <c r="AF5" s="6">
        <f>AVERAGE(L6:L8)*(100-AD5)/100</f>
        <v>0.15371727793180839</v>
      </c>
      <c r="AG5" s="6">
        <f>AE5/AF5</f>
        <v>26.906217058619863</v>
      </c>
      <c r="AH5" s="6">
        <f>AG5/AVERAGE(AI6:AI8)-1</f>
        <v>-9.1849210824179739E-3</v>
      </c>
      <c r="AI5" s="6">
        <f t="shared" si="8"/>
        <v>14.690150430362587</v>
      </c>
      <c r="AJ5" s="6">
        <f t="shared" si="9"/>
        <v>2.1266653810809872</v>
      </c>
      <c r="AK5" s="6">
        <f t="shared" si="10"/>
        <v>5.6641859876182945</v>
      </c>
      <c r="AL5" s="6">
        <f t="shared" si="11"/>
        <v>3.9437228532847646E-2</v>
      </c>
      <c r="AM5" s="6">
        <f t="shared" si="12"/>
        <v>4.5504494460978043E-3</v>
      </c>
      <c r="AN5" s="6">
        <f t="shared" si="13"/>
        <v>1.7064185422866768E-2</v>
      </c>
      <c r="AO5" s="6">
        <f t="shared" si="14"/>
        <v>3.75</v>
      </c>
      <c r="AP5" s="6">
        <f t="shared" ref="AP5:AV5" si="17">AI5/AVERAGE(AI6:AI8)-1</f>
        <v>-0.45903868513883683</v>
      </c>
      <c r="AQ5" s="6">
        <f t="shared" si="17"/>
        <v>-0.79162056298132244</v>
      </c>
      <c r="AR5" s="6">
        <f t="shared" si="17"/>
        <v>-0.67998303223874634</v>
      </c>
      <c r="AS5" s="6">
        <f t="shared" si="17"/>
        <v>-0.38863665393234947</v>
      </c>
      <c r="AT5" s="6">
        <f t="shared" si="17"/>
        <v>0.30870314519603581</v>
      </c>
      <c r="AU5" s="6">
        <f t="shared" si="17"/>
        <v>-0.60514342664009013</v>
      </c>
      <c r="AV5" s="6">
        <f t="shared" si="17"/>
        <v>-0.70079787234042556</v>
      </c>
    </row>
    <row r="6" spans="1:48" s="2" customFormat="1">
      <c r="A6" s="2" t="s">
        <v>126</v>
      </c>
      <c r="B6" s="2" t="s">
        <v>42</v>
      </c>
      <c r="C6" s="2">
        <v>49</v>
      </c>
      <c r="D6" s="2">
        <v>15.93</v>
      </c>
      <c r="E6" s="2">
        <v>2.06</v>
      </c>
      <c r="F6" s="2">
        <v>0.27</v>
      </c>
      <c r="G6" s="2">
        <v>4.29</v>
      </c>
      <c r="H6" s="2">
        <v>2.72</v>
      </c>
      <c r="I6" s="2">
        <v>3.55</v>
      </c>
      <c r="J6" s="2">
        <f t="shared" si="0"/>
        <v>4.2152942330325622</v>
      </c>
      <c r="K6" s="2">
        <f t="shared" si="1"/>
        <v>1.2422539474598306</v>
      </c>
      <c r="L6" s="2">
        <f t="shared" si="2"/>
        <v>0.16182217714672076</v>
      </c>
      <c r="M6" s="2">
        <f t="shared" si="3"/>
        <v>3.0660233891014923</v>
      </c>
      <c r="N6" s="2">
        <f t="shared" si="4"/>
        <v>1.1289530360934183</v>
      </c>
      <c r="O6" s="2">
        <f t="shared" si="5"/>
        <v>1.3167978126426896</v>
      </c>
      <c r="R6" s="2">
        <v>95</v>
      </c>
      <c r="S6" s="2">
        <v>5</v>
      </c>
      <c r="T6" s="2">
        <v>82</v>
      </c>
      <c r="U6" s="2">
        <v>64</v>
      </c>
      <c r="V6" s="2">
        <f t="shared" si="6"/>
        <v>9.4999999999999998E-3</v>
      </c>
      <c r="W6" s="2">
        <f t="shared" si="6"/>
        <v>5.0000000000000001E-4</v>
      </c>
      <c r="X6" s="2">
        <f t="shared" si="7"/>
        <v>6.4000000000000003E-3</v>
      </c>
      <c r="AI6" s="2">
        <f t="shared" si="8"/>
        <v>26.048927948921634</v>
      </c>
      <c r="AJ6" s="2">
        <f t="shared" si="9"/>
        <v>7.676660698573504</v>
      </c>
      <c r="AK6" s="2">
        <f t="shared" si="10"/>
        <v>18.946867748056519</v>
      </c>
      <c r="AL6" s="2">
        <f t="shared" si="11"/>
        <v>5.8706415693484025E-2</v>
      </c>
      <c r="AM6" s="2">
        <f t="shared" si="12"/>
        <v>3.0898113522886332E-3</v>
      </c>
      <c r="AN6" s="2">
        <f t="shared" si="13"/>
        <v>3.9549585309294505E-2</v>
      </c>
      <c r="AO6" s="2">
        <f t="shared" si="14"/>
        <v>12.8</v>
      </c>
    </row>
    <row r="7" spans="1:48" s="2" customFormat="1">
      <c r="A7" s="2" t="s">
        <v>127</v>
      </c>
      <c r="B7" s="2" t="s">
        <v>42</v>
      </c>
      <c r="C7" s="2">
        <v>52</v>
      </c>
      <c r="D7" s="2">
        <v>15.79</v>
      </c>
      <c r="E7" s="2">
        <v>3.05</v>
      </c>
      <c r="F7" s="2">
        <v>0.25</v>
      </c>
      <c r="G7" s="2">
        <v>3.73</v>
      </c>
      <c r="H7" s="2">
        <v>2.16</v>
      </c>
      <c r="I7" s="2">
        <v>4.4000000000000004</v>
      </c>
      <c r="J7" s="2">
        <f t="shared" si="0"/>
        <v>4.1782483326794821</v>
      </c>
      <c r="K7" s="2">
        <f t="shared" si="1"/>
        <v>1.8392594853167392</v>
      </c>
      <c r="L7" s="2">
        <f t="shared" si="2"/>
        <v>0.14983534920992661</v>
      </c>
      <c r="M7" s="2">
        <f t="shared" si="3"/>
        <v>2.6657965597549107</v>
      </c>
      <c r="N7" s="2">
        <f t="shared" si="4"/>
        <v>0.89652152866242041</v>
      </c>
      <c r="O7" s="2">
        <f t="shared" si="5"/>
        <v>1.6320874297543198</v>
      </c>
      <c r="R7" s="2">
        <v>106</v>
      </c>
      <c r="S7" s="2">
        <v>5</v>
      </c>
      <c r="T7" s="2">
        <v>68</v>
      </c>
      <c r="U7" s="2">
        <v>69</v>
      </c>
      <c r="V7" s="2">
        <f t="shared" si="6"/>
        <v>1.06E-2</v>
      </c>
      <c r="W7" s="2">
        <f t="shared" si="6"/>
        <v>5.0000000000000001E-4</v>
      </c>
      <c r="X7" s="2">
        <f t="shared" si="7"/>
        <v>6.8999999999999999E-3</v>
      </c>
      <c r="AI7" s="2">
        <f t="shared" si="8"/>
        <v>27.885598122947297</v>
      </c>
      <c r="AJ7" s="2">
        <f t="shared" si="9"/>
        <v>12.275204049078214</v>
      </c>
      <c r="AK7" s="2">
        <f t="shared" si="10"/>
        <v>17.791506302161046</v>
      </c>
      <c r="AL7" s="2">
        <f t="shared" si="11"/>
        <v>7.0744320722000556E-2</v>
      </c>
      <c r="AM7" s="2">
        <f t="shared" si="12"/>
        <v>3.3369962604717241E-3</v>
      </c>
      <c r="AN7" s="2">
        <f t="shared" si="13"/>
        <v>4.605054839450979E-2</v>
      </c>
      <c r="AO7" s="2">
        <f t="shared" si="14"/>
        <v>13.799999999999999</v>
      </c>
    </row>
    <row r="8" spans="1:48" s="2" customFormat="1">
      <c r="A8" s="2" t="s">
        <v>128</v>
      </c>
      <c r="B8" s="2" t="s">
        <v>42</v>
      </c>
      <c r="C8" s="2">
        <v>55</v>
      </c>
      <c r="D8" s="2">
        <v>15.59</v>
      </c>
      <c r="E8" s="2">
        <v>2.65</v>
      </c>
      <c r="F8" s="2">
        <v>0.25</v>
      </c>
      <c r="G8" s="2">
        <v>3.43</v>
      </c>
      <c r="H8" s="2">
        <v>2.2599999999999998</v>
      </c>
      <c r="I8" s="2">
        <v>4.3</v>
      </c>
      <c r="J8" s="2">
        <f t="shared" si="0"/>
        <v>4.1253256178893682</v>
      </c>
      <c r="K8" s="2">
        <f t="shared" si="1"/>
        <v>1.5980451265866753</v>
      </c>
      <c r="L8" s="2">
        <f t="shared" si="2"/>
        <v>0.14983534920992661</v>
      </c>
      <c r="M8" s="2">
        <f t="shared" si="3"/>
        <v>2.4513893297478133</v>
      </c>
      <c r="N8" s="2">
        <f t="shared" si="4"/>
        <v>0.93802715498938416</v>
      </c>
      <c r="O8" s="2">
        <f t="shared" si="5"/>
        <v>1.5949945336235394</v>
      </c>
      <c r="R8" s="2">
        <v>96</v>
      </c>
      <c r="S8" s="2">
        <v>6</v>
      </c>
      <c r="T8" s="2">
        <v>69</v>
      </c>
      <c r="U8" s="2">
        <v>66</v>
      </c>
      <c r="V8" s="2">
        <f t="shared" si="6"/>
        <v>9.5999999999999992E-3</v>
      </c>
      <c r="W8" s="2">
        <f t="shared" si="6"/>
        <v>5.9999999999999995E-4</v>
      </c>
      <c r="X8" s="2">
        <f t="shared" si="7"/>
        <v>6.6E-3</v>
      </c>
      <c r="AI8" s="2">
        <f t="shared" si="8"/>
        <v>27.532392320250054</v>
      </c>
      <c r="AJ8" s="2">
        <f t="shared" si="9"/>
        <v>10.665341222969596</v>
      </c>
      <c r="AK8" s="2">
        <f t="shared" si="10"/>
        <v>16.360554052657477</v>
      </c>
      <c r="AL8" s="2">
        <f t="shared" si="11"/>
        <v>6.4070328201057097E-2</v>
      </c>
      <c r="AM8" s="2">
        <f t="shared" si="12"/>
        <v>4.0043955125660686E-3</v>
      </c>
      <c r="AN8" s="2">
        <f t="shared" si="13"/>
        <v>4.4048350638226756E-2</v>
      </c>
      <c r="AO8" s="2">
        <f t="shared" si="14"/>
        <v>11.000000000000002</v>
      </c>
    </row>
    <row r="9" spans="1:48">
      <c r="AG9" s="39"/>
      <c r="AH9" s="6"/>
      <c r="AJ9" s="39"/>
      <c r="AK9" s="39"/>
      <c r="AL9" s="39"/>
      <c r="AM9" s="39"/>
      <c r="AN9" s="39"/>
      <c r="AO9" s="39" t="s">
        <v>97</v>
      </c>
      <c r="AP9" s="6">
        <f>_xlfn.VAR.P(AP3:AP5)</f>
        <v>8.3783061344797384E-3</v>
      </c>
    </row>
    <row r="10" spans="1:48">
      <c r="AO10" s="39" t="s">
        <v>98</v>
      </c>
      <c r="AP10">
        <f>AVERAGE(AP3:AP5)</f>
        <v>-0.35762647416533166</v>
      </c>
    </row>
  </sheetData>
  <mergeCells count="1">
    <mergeCell ref="A1:W1"/>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9"/>
  <sheetViews>
    <sheetView zoomScale="90" zoomScaleNormal="90" workbookViewId="0">
      <selection activeCell="G26" sqref="G26"/>
    </sheetView>
  </sheetViews>
  <sheetFormatPr defaultRowHeight="14.5"/>
  <cols>
    <col min="1" max="1" width="11.81640625" style="6" customWidth="1"/>
    <col min="3" max="3" width="7.26953125" customWidth="1"/>
    <col min="6" max="8" width="8.7265625" style="6"/>
    <col min="12" max="19" width="8.7265625" style="6"/>
    <col min="20" max="20" width="13.26953125" customWidth="1"/>
    <col min="21" max="22" width="12.54296875" customWidth="1"/>
    <col min="23" max="23" width="17.90625" customWidth="1"/>
    <col min="24" max="25" width="20" customWidth="1"/>
    <col min="26" max="27" width="11.90625" customWidth="1"/>
    <col min="28" max="28" width="13.81640625" customWidth="1"/>
    <col min="29" max="29" width="18.36328125" customWidth="1"/>
    <col min="32" max="33" width="8.7265625" style="6"/>
    <col min="35" max="35" width="11" customWidth="1"/>
    <col min="36" max="36" width="10.26953125" customWidth="1"/>
    <col min="37" max="37" width="12.90625" customWidth="1"/>
  </cols>
  <sheetData>
    <row r="1" spans="1:37" s="6" customFormat="1">
      <c r="A1" s="81" t="s">
        <v>173</v>
      </c>
      <c r="B1" s="81"/>
      <c r="C1" s="81"/>
      <c r="D1" s="81"/>
      <c r="E1" s="81"/>
      <c r="F1" s="81"/>
      <c r="G1" s="81"/>
      <c r="H1" s="81"/>
      <c r="I1" s="81"/>
      <c r="J1" s="81"/>
      <c r="K1" s="81"/>
      <c r="L1" s="81"/>
      <c r="M1" s="81"/>
      <c r="N1" s="81"/>
      <c r="O1" s="81"/>
      <c r="P1" s="81"/>
      <c r="Q1" s="81"/>
      <c r="R1" s="87"/>
    </row>
    <row r="2" spans="1:37">
      <c r="A2" s="1" t="s">
        <v>196</v>
      </c>
      <c r="B2" s="1" t="s">
        <v>20</v>
      </c>
      <c r="C2" s="1" t="s">
        <v>1</v>
      </c>
      <c r="D2" s="1" t="s">
        <v>2</v>
      </c>
      <c r="E2" s="1" t="s">
        <v>3</v>
      </c>
      <c r="F2" s="1" t="s">
        <v>48</v>
      </c>
      <c r="G2" s="1" t="s">
        <v>49</v>
      </c>
      <c r="H2" s="1" t="s">
        <v>50</v>
      </c>
      <c r="I2" s="1" t="s">
        <v>4</v>
      </c>
      <c r="J2" s="1" t="s">
        <v>5</v>
      </c>
      <c r="K2" s="1" t="s">
        <v>6</v>
      </c>
      <c r="L2" s="1" t="s">
        <v>45</v>
      </c>
      <c r="M2" s="1" t="s">
        <v>46</v>
      </c>
      <c r="N2" s="1" t="s">
        <v>47</v>
      </c>
      <c r="O2" s="1" t="s">
        <v>51</v>
      </c>
      <c r="P2" s="1" t="s">
        <v>52</v>
      </c>
      <c r="Q2" s="1" t="s">
        <v>110</v>
      </c>
      <c r="R2" s="1" t="s">
        <v>378</v>
      </c>
      <c r="S2" s="1" t="s">
        <v>120</v>
      </c>
      <c r="T2" s="1" t="s">
        <v>7</v>
      </c>
      <c r="U2" s="1" t="s">
        <v>8</v>
      </c>
      <c r="V2" s="1" t="s">
        <v>9</v>
      </c>
      <c r="W2" s="1" t="s">
        <v>10</v>
      </c>
      <c r="X2" s="1" t="s">
        <v>11</v>
      </c>
      <c r="Y2" s="1" t="s">
        <v>12</v>
      </c>
      <c r="Z2" s="1" t="s">
        <v>13</v>
      </c>
      <c r="AA2" s="1" t="s">
        <v>14</v>
      </c>
      <c r="AB2" s="1" t="s">
        <v>15</v>
      </c>
      <c r="AC2" s="1" t="s">
        <v>460</v>
      </c>
      <c r="AD2" s="1" t="s">
        <v>16</v>
      </c>
      <c r="AE2" s="1" t="s">
        <v>17</v>
      </c>
      <c r="AF2" s="1" t="s">
        <v>107</v>
      </c>
      <c r="AG2" s="1" t="s">
        <v>134</v>
      </c>
      <c r="AH2" s="1" t="s">
        <v>459</v>
      </c>
      <c r="AI2" s="1" t="s">
        <v>461</v>
      </c>
      <c r="AJ2" s="1" t="s">
        <v>462</v>
      </c>
      <c r="AK2" s="1" t="s">
        <v>465</v>
      </c>
    </row>
    <row r="3" spans="1:37">
      <c r="A3" s="6" t="s">
        <v>215</v>
      </c>
      <c r="B3">
        <v>0</v>
      </c>
      <c r="C3">
        <v>17.7</v>
      </c>
      <c r="D3">
        <v>0.68</v>
      </c>
      <c r="E3">
        <v>0.26</v>
      </c>
      <c r="F3" s="6" t="s">
        <v>53</v>
      </c>
      <c r="G3" s="6">
        <v>7.26</v>
      </c>
      <c r="H3" s="6">
        <v>0.08</v>
      </c>
      <c r="I3">
        <f t="shared" ref="I3:I17" si="0">C3*26.98/101.96</f>
        <v>4.6836602589250687</v>
      </c>
      <c r="J3">
        <f t="shared" ref="J3:J17" si="1">D3*24.305/40.3044</f>
        <v>0.41006440984110915</v>
      </c>
      <c r="K3">
        <f t="shared" ref="K3:K17" si="2">E3*47.867/79.866</f>
        <v>0.1558287631783237</v>
      </c>
      <c r="L3" s="6">
        <v>0</v>
      </c>
      <c r="M3" s="6">
        <f>G3*39.0983/94.2</f>
        <v>3.0133084713375795</v>
      </c>
      <c r="N3" s="6">
        <f>H3*22.989769/61.9789</f>
        <v>2.9674316904623989E-2</v>
      </c>
      <c r="O3" s="6">
        <f>100*(I5/(I5+L5+M5+N5))</f>
        <v>56.169536572287392</v>
      </c>
      <c r="P3" s="6">
        <f>100*(I5/(I5+L5+N5))</f>
        <v>91.166815429433456</v>
      </c>
      <c r="Q3" s="6">
        <v>135</v>
      </c>
      <c r="R3" s="6">
        <v>333</v>
      </c>
      <c r="S3" s="6">
        <f>Q3/10000</f>
        <v>1.35E-2</v>
      </c>
      <c r="T3">
        <f>(I3/I17-1)*100</f>
        <v>25.531914893617014</v>
      </c>
      <c r="U3">
        <f>(J3/J17-1)*100</f>
        <v>100</v>
      </c>
      <c r="V3">
        <f>(K3/K17-1)*100</f>
        <v>116.6666666666667</v>
      </c>
      <c r="W3">
        <f>U3/-0.13</f>
        <v>-769.23076923076917</v>
      </c>
      <c r="X3">
        <f>W3*0.0018</f>
        <v>-1.3846153846153844</v>
      </c>
      <c r="Y3">
        <f>W3*0.00015</f>
        <v>-0.11538461538461536</v>
      </c>
      <c r="Z3">
        <f>I17*(100-X3)/100</f>
        <v>3.7827121042942942</v>
      </c>
      <c r="AA3">
        <f>K17*(100-Y3)/100</f>
        <v>7.2003953352634889E-2</v>
      </c>
      <c r="AB3">
        <f>Z3/AA3</f>
        <v>52.534783552351584</v>
      </c>
      <c r="AC3">
        <f>AB3/AD17-1</f>
        <v>1.2677679600461067E-2</v>
      </c>
      <c r="AD3">
        <f>I3/K3</f>
        <v>30.056455325678805</v>
      </c>
      <c r="AE3">
        <f>J3/K3</f>
        <v>2.631506542677549</v>
      </c>
      <c r="AF3" s="6">
        <f>L3/K3</f>
        <v>0</v>
      </c>
      <c r="AG3" s="6">
        <f>S3/K3</f>
        <v>8.6633556762246669E-2</v>
      </c>
      <c r="AH3">
        <f>AD3/AD17-1</f>
        <v>-0.42062193126022929</v>
      </c>
      <c r="AI3">
        <f>AE3/1.024036-1</f>
        <v>1.5697402656523298</v>
      </c>
      <c r="AJ3" s="6">
        <f>AF3/1.024036-1</f>
        <v>-1</v>
      </c>
      <c r="AK3" s="6">
        <f>AG3/1.024036-1</f>
        <v>-0.91539989144693479</v>
      </c>
    </row>
    <row r="4" spans="1:37">
      <c r="A4" s="6" t="s">
        <v>215</v>
      </c>
      <c r="B4">
        <v>0.4</v>
      </c>
      <c r="C4">
        <v>18</v>
      </c>
      <c r="D4">
        <v>0.66</v>
      </c>
      <c r="E4">
        <v>0.14000000000000001</v>
      </c>
      <c r="F4" s="6">
        <v>0.02</v>
      </c>
      <c r="G4" s="6">
        <v>8.86</v>
      </c>
      <c r="H4" s="6">
        <v>0.27</v>
      </c>
      <c r="I4">
        <f t="shared" si="0"/>
        <v>4.7630443311102395</v>
      </c>
      <c r="J4">
        <f t="shared" si="1"/>
        <v>0.39800369190460594</v>
      </c>
      <c r="K4" s="6">
        <f t="shared" si="2"/>
        <v>8.3907795557558909E-2</v>
      </c>
      <c r="L4" s="6">
        <f t="shared" ref="L4:L17" si="3">F4*40.078/56.0774</f>
        <v>1.4293815333806491E-2</v>
      </c>
      <c r="M4" s="6">
        <f t="shared" ref="M4:M17" si="4">G4*39.0983/94.2</f>
        <v>3.6773984925690018</v>
      </c>
      <c r="N4" s="6">
        <f t="shared" ref="N4:N17" si="5">H4*22.989769/61.9789</f>
        <v>0.10015081955310597</v>
      </c>
      <c r="O4" s="6">
        <f t="shared" ref="O4:O16" si="6">100*(I4/(I4+L4+M4+N4))</f>
        <v>55.67629444781209</v>
      </c>
      <c r="P4" s="6">
        <f t="shared" ref="P4:P16" si="7">100*(I4/(I4+L4+N4))</f>
        <v>97.653615709133348</v>
      </c>
      <c r="Q4" s="6">
        <v>96</v>
      </c>
      <c r="R4" s="6">
        <v>324</v>
      </c>
      <c r="S4" s="6">
        <f t="shared" ref="S4:S17" si="8">Q4/10000</f>
        <v>9.5999999999999992E-3</v>
      </c>
      <c r="T4">
        <f>(I4/I17-1)*100</f>
        <v>27.65957446808509</v>
      </c>
      <c r="U4">
        <f>(J4/J17-1)*100</f>
        <v>94.117647058823522</v>
      </c>
      <c r="V4">
        <f>(K4/K17-1)*100</f>
        <v>16.666666666666675</v>
      </c>
      <c r="W4">
        <f t="shared" ref="W4:W16" si="9">U4/-0.13</f>
        <v>-723.98190045248862</v>
      </c>
      <c r="X4">
        <f t="shared" ref="X4:X16" si="10">W4*0.0018</f>
        <v>-1.3031674208144794</v>
      </c>
      <c r="Y4">
        <f t="shared" ref="Y4:Y16" si="11">W4*0.00015</f>
        <v>-0.10859728506787328</v>
      </c>
      <c r="Z4">
        <f>I17*(100-X4)/100</f>
        <v>3.7796732389065717</v>
      </c>
      <c r="AA4">
        <f>K17*(100-Y4)/100</f>
        <v>7.1999071838995468E-2</v>
      </c>
      <c r="AB4">
        <f t="shared" ref="AB4:AB16" si="12">Z4/AA4</f>
        <v>52.496138385765413</v>
      </c>
      <c r="AC4">
        <f>AB4/AD17-1</f>
        <v>1.1932742722834844E-2</v>
      </c>
      <c r="AD4">
        <f t="shared" ref="AD4:AD17" si="13">I4/K4</f>
        <v>56.765218290628262</v>
      </c>
      <c r="AE4">
        <f t="shared" ref="AE4:AE16" si="14">J4/K4</f>
        <v>4.7433458269271789</v>
      </c>
      <c r="AF4" s="6">
        <f t="shared" ref="AF4:AF17" si="15">L4/K4</f>
        <v>0.17035145827423445</v>
      </c>
      <c r="AG4" s="6">
        <f t="shared" ref="AG4:AG17" si="16">S4/K4</f>
        <v>0.11441130035903052</v>
      </c>
      <c r="AH4">
        <f>AD4/AD17-1</f>
        <v>9.4224924012157985E-2</v>
      </c>
      <c r="AI4">
        <f t="shared" ref="AI4:AK16" si="17">AE4/1.024036-1</f>
        <v>3.6320108149783596</v>
      </c>
      <c r="AJ4" s="6">
        <f t="shared" si="17"/>
        <v>-0.83364700237664058</v>
      </c>
      <c r="AK4" s="6">
        <f t="shared" si="17"/>
        <v>-0.8882741423553171</v>
      </c>
    </row>
    <row r="5" spans="1:37">
      <c r="A5" s="6" t="s">
        <v>215</v>
      </c>
      <c r="B5">
        <v>1.4</v>
      </c>
      <c r="C5">
        <v>16.8</v>
      </c>
      <c r="D5">
        <v>0.71</v>
      </c>
      <c r="E5">
        <v>0.15</v>
      </c>
      <c r="F5" s="6">
        <v>0.12</v>
      </c>
      <c r="G5" s="6">
        <v>7.32</v>
      </c>
      <c r="H5" s="6">
        <v>0.93</v>
      </c>
      <c r="I5">
        <f t="shared" si="0"/>
        <v>4.445508042369557</v>
      </c>
      <c r="J5">
        <f t="shared" si="1"/>
        <v>0.4281554867458639</v>
      </c>
      <c r="K5" s="6">
        <f t="shared" si="2"/>
        <v>8.9901209525955969E-2</v>
      </c>
      <c r="L5" s="6">
        <f t="shared" si="3"/>
        <v>8.5762892002838931E-2</v>
      </c>
      <c r="M5" s="6">
        <f t="shared" si="4"/>
        <v>3.0382118471337582</v>
      </c>
      <c r="N5" s="6">
        <f t="shared" si="5"/>
        <v>0.34496393401625391</v>
      </c>
      <c r="O5" s="6">
        <f t="shared" si="6"/>
        <v>56.169536572287392</v>
      </c>
      <c r="P5" s="6">
        <f t="shared" si="7"/>
        <v>91.166815429433456</v>
      </c>
      <c r="Q5" s="6">
        <v>95</v>
      </c>
      <c r="R5" s="6">
        <v>293</v>
      </c>
      <c r="S5" s="6">
        <f t="shared" si="8"/>
        <v>9.4999999999999998E-3</v>
      </c>
      <c r="T5">
        <f>(I5/I17-1)*100</f>
        <v>19.14893617021276</v>
      </c>
      <c r="U5">
        <f>(J5/J17-1)*100</f>
        <v>108.82352941176467</v>
      </c>
      <c r="V5">
        <f>(K5/K17-1)*100</f>
        <v>25</v>
      </c>
      <c r="W5">
        <f t="shared" si="9"/>
        <v>-837.10407239818971</v>
      </c>
      <c r="X5">
        <f t="shared" si="10"/>
        <v>-1.5067873303167414</v>
      </c>
      <c r="Y5">
        <f t="shared" si="11"/>
        <v>-0.12556561085972845</v>
      </c>
      <c r="Z5">
        <f>I17*(100-X5)/100</f>
        <v>3.7872704023758761</v>
      </c>
      <c r="AA5">
        <f>K17*(100-Y5)/100</f>
        <v>7.2011275623094007E-2</v>
      </c>
      <c r="AB5">
        <f>Z5/AA5</f>
        <v>52.592741478409515</v>
      </c>
      <c r="AC5">
        <f>AB5/AD17-1</f>
        <v>1.3794895549705588E-2</v>
      </c>
      <c r="AD5">
        <f t="shared" si="13"/>
        <v>49.448812377613955</v>
      </c>
      <c r="AE5">
        <f t="shared" si="14"/>
        <v>4.7625108605713287</v>
      </c>
      <c r="AF5" s="6">
        <f t="shared" si="15"/>
        <v>0.9539681663357128</v>
      </c>
      <c r="AG5" s="6">
        <f t="shared" si="16"/>
        <v>0.10567154824827125</v>
      </c>
      <c r="AH5">
        <f>AD5/AD17-1</f>
        <v>-4.6808510638297829E-2</v>
      </c>
      <c r="AI5">
        <f t="shared" si="17"/>
        <v>3.6507260101903922</v>
      </c>
      <c r="AJ5" s="6">
        <f t="shared" si="17"/>
        <v>-6.8423213309187547E-2</v>
      </c>
      <c r="AK5" s="6">
        <f t="shared" si="17"/>
        <v>-0.8968087564809526</v>
      </c>
    </row>
    <row r="6" spans="1:37">
      <c r="A6" s="6" t="s">
        <v>215</v>
      </c>
      <c r="B6">
        <v>2.1</v>
      </c>
      <c r="C6">
        <v>15.4</v>
      </c>
      <c r="D6">
        <v>0.56999999999999995</v>
      </c>
      <c r="E6">
        <v>0.1</v>
      </c>
      <c r="F6" s="6">
        <v>0.24</v>
      </c>
      <c r="G6" s="6">
        <v>6.92</v>
      </c>
      <c r="H6" s="6">
        <v>1.87</v>
      </c>
      <c r="I6">
        <f t="shared" si="0"/>
        <v>4.0750490388387606</v>
      </c>
      <c r="J6">
        <f t="shared" si="1"/>
        <v>0.34373046119034145</v>
      </c>
      <c r="K6" s="6">
        <f t="shared" si="2"/>
        <v>5.9934139683970648E-2</v>
      </c>
      <c r="L6" s="6">
        <f t="shared" si="3"/>
        <v>0.17152578400567786</v>
      </c>
      <c r="M6" s="6">
        <f t="shared" si="4"/>
        <v>2.8721893418259028</v>
      </c>
      <c r="N6" s="6">
        <f t="shared" si="5"/>
        <v>0.69363715764558587</v>
      </c>
      <c r="O6" s="6">
        <f t="shared" si="6"/>
        <v>52.161286532970152</v>
      </c>
      <c r="P6" s="6">
        <f t="shared" si="7"/>
        <v>82.487331615161835</v>
      </c>
      <c r="Q6" s="6">
        <v>80</v>
      </c>
      <c r="R6" s="6">
        <v>246</v>
      </c>
      <c r="S6" s="6">
        <f t="shared" si="8"/>
        <v>8.0000000000000002E-3</v>
      </c>
      <c r="T6">
        <f>(I6/I17-1)*100</f>
        <v>9.219858156028371</v>
      </c>
      <c r="U6">
        <f>(J6/J17-1)*100</f>
        <v>67.647058823529392</v>
      </c>
      <c r="V6">
        <f>(K6/K17-1)*100</f>
        <v>-16.666666666666664</v>
      </c>
      <c r="W6">
        <f t="shared" si="9"/>
        <v>-520.36199095022607</v>
      </c>
      <c r="X6">
        <f t="shared" si="10"/>
        <v>-0.93665158371040691</v>
      </c>
      <c r="Y6">
        <f t="shared" si="11"/>
        <v>-7.8054298642533909E-2</v>
      </c>
      <c r="Z6">
        <f>I17*(100-X6)/100</f>
        <v>3.7659983446618228</v>
      </c>
      <c r="AA6">
        <f>K17*(100-Y6)/100</f>
        <v>7.1977105027618074E-2</v>
      </c>
      <c r="AB6">
        <f t="shared" si="12"/>
        <v>52.32217026812603</v>
      </c>
      <c r="AC6">
        <f>AB6/AD17-1</f>
        <v>8.5792763566900909E-3</v>
      </c>
      <c r="AD6">
        <f t="shared" si="13"/>
        <v>67.992117019219179</v>
      </c>
      <c r="AE6">
        <f t="shared" si="14"/>
        <v>5.7351363180119526</v>
      </c>
      <c r="AF6" s="6">
        <f t="shared" si="15"/>
        <v>2.8619044990071383</v>
      </c>
      <c r="AG6" s="6">
        <f t="shared" si="16"/>
        <v>0.13347985041886895</v>
      </c>
      <c r="AH6">
        <f>AD6/AD17-1</f>
        <v>0.31063829787234032</v>
      </c>
      <c r="AI6">
        <f t="shared" si="17"/>
        <v>4.600522167201107</v>
      </c>
      <c r="AJ6" s="6">
        <f t="shared" si="17"/>
        <v>1.7947303600724371</v>
      </c>
      <c r="AK6" s="6">
        <f t="shared" si="17"/>
        <v>-0.86965316608120324</v>
      </c>
    </row>
    <row r="7" spans="1:37">
      <c r="A7" s="6" t="s">
        <v>215</v>
      </c>
      <c r="B7">
        <v>2.5</v>
      </c>
      <c r="C7">
        <v>15.9</v>
      </c>
      <c r="D7">
        <v>0.52</v>
      </c>
      <c r="E7">
        <v>0.17</v>
      </c>
      <c r="F7" s="6">
        <v>0.51</v>
      </c>
      <c r="G7" s="6">
        <v>6.01</v>
      </c>
      <c r="H7" s="6">
        <v>3.04</v>
      </c>
      <c r="I7">
        <f t="shared" si="0"/>
        <v>4.2073558258140453</v>
      </c>
      <c r="J7">
        <f t="shared" si="1"/>
        <v>0.31357866634908349</v>
      </c>
      <c r="K7" s="6">
        <f t="shared" si="2"/>
        <v>0.1018880374627501</v>
      </c>
      <c r="L7" s="6">
        <f t="shared" si="3"/>
        <v>0.36449229101206554</v>
      </c>
      <c r="M7" s="6">
        <f t="shared" si="4"/>
        <v>2.4944881422505309</v>
      </c>
      <c r="N7" s="6">
        <f t="shared" si="5"/>
        <v>1.1276240423757116</v>
      </c>
      <c r="O7" s="6">
        <f t="shared" si="6"/>
        <v>51.347036976348356</v>
      </c>
      <c r="P7" s="6">
        <f t="shared" si="7"/>
        <v>73.820096112255783</v>
      </c>
      <c r="Q7" s="6">
        <v>105</v>
      </c>
      <c r="R7" s="6">
        <v>217</v>
      </c>
      <c r="S7" s="6">
        <f t="shared" si="8"/>
        <v>1.0500000000000001E-2</v>
      </c>
      <c r="T7">
        <f>(I7/I17-1)*100</f>
        <v>12.765957446808507</v>
      </c>
      <c r="U7">
        <f>(J7/J17-1)*100</f>
        <v>52.941176470588246</v>
      </c>
      <c r="V7">
        <f>(K7/K17-1)*100</f>
        <v>41.666666666666671</v>
      </c>
      <c r="W7">
        <f t="shared" si="9"/>
        <v>-407.23981900452497</v>
      </c>
      <c r="X7">
        <f t="shared" si="10"/>
        <v>-0.73303167420814497</v>
      </c>
      <c r="Y7">
        <f t="shared" si="11"/>
        <v>-6.1085972850678738E-2</v>
      </c>
      <c r="Z7">
        <f>I17*(100-X7)/100</f>
        <v>3.7584011811925184</v>
      </c>
      <c r="AA7">
        <f>K17*(100-Y7)/100</f>
        <v>7.196490124351955E-2</v>
      </c>
      <c r="AB7">
        <f t="shared" si="12"/>
        <v>52.225475422728564</v>
      </c>
      <c r="AC7">
        <f>AB7/AD17-1</f>
        <v>6.7153548737195479E-3</v>
      </c>
      <c r="AD7">
        <f t="shared" si="13"/>
        <v>41.293913697692325</v>
      </c>
      <c r="AE7">
        <f t="shared" si="14"/>
        <v>3.0776789322664766</v>
      </c>
      <c r="AF7" s="6">
        <f t="shared" si="15"/>
        <v>3.5773806237589234</v>
      </c>
      <c r="AG7" s="6">
        <f t="shared" si="16"/>
        <v>0.10305429627927383</v>
      </c>
      <c r="AH7">
        <f>AD7/AD17-1</f>
        <v>-0.20400500625782225</v>
      </c>
      <c r="AI7">
        <f t="shared" si="17"/>
        <v>2.0054401722854243</v>
      </c>
      <c r="AJ7" s="6">
        <f t="shared" si="17"/>
        <v>2.4934129500905473</v>
      </c>
      <c r="AK7" s="6">
        <f t="shared" si="17"/>
        <v>-0.89936457675387016</v>
      </c>
    </row>
    <row r="8" spans="1:37">
      <c r="A8" s="6" t="s">
        <v>215</v>
      </c>
      <c r="B8">
        <v>3.5</v>
      </c>
      <c r="C8">
        <v>14.2</v>
      </c>
      <c r="D8">
        <v>0.42</v>
      </c>
      <c r="E8">
        <v>0.15</v>
      </c>
      <c r="F8" s="6">
        <v>0.65</v>
      </c>
      <c r="G8" s="6">
        <v>4.24</v>
      </c>
      <c r="H8" s="6">
        <v>4.33</v>
      </c>
      <c r="I8">
        <f t="shared" si="0"/>
        <v>3.7575127500980776</v>
      </c>
      <c r="J8">
        <f t="shared" si="1"/>
        <v>0.2532750766665674</v>
      </c>
      <c r="K8" s="6">
        <f t="shared" si="2"/>
        <v>8.9901209525955969E-2</v>
      </c>
      <c r="L8" s="6">
        <f t="shared" si="3"/>
        <v>0.46454899834871094</v>
      </c>
      <c r="M8" s="6">
        <f t="shared" si="4"/>
        <v>1.7598385562632699</v>
      </c>
      <c r="N8" s="6">
        <f t="shared" si="5"/>
        <v>1.6061224024627736</v>
      </c>
      <c r="O8" s="6">
        <f t="shared" si="6"/>
        <v>49.5189971762494</v>
      </c>
      <c r="P8" s="6">
        <f t="shared" si="7"/>
        <v>64.471414299969751</v>
      </c>
      <c r="Q8" s="6">
        <v>69</v>
      </c>
      <c r="R8" s="6">
        <v>122</v>
      </c>
      <c r="S8" s="6">
        <f t="shared" si="8"/>
        <v>6.8999999999999999E-3</v>
      </c>
      <c r="T8">
        <f>(I8/I17-1)*100</f>
        <v>0.70921985815601829</v>
      </c>
      <c r="U8">
        <f>(J8/J17-1)*100</f>
        <v>23.529411764705866</v>
      </c>
      <c r="V8">
        <f>(K8/K17-1)*100</f>
        <v>25</v>
      </c>
      <c r="W8">
        <f t="shared" si="9"/>
        <v>-180.99547511312204</v>
      </c>
      <c r="X8">
        <f t="shared" si="10"/>
        <v>-0.32579185520361964</v>
      </c>
      <c r="Y8">
        <f t="shared" si="11"/>
        <v>-2.7149321266968302E-2</v>
      </c>
      <c r="Z8">
        <f>I17*(100-X8)/100</f>
        <v>3.7432068542539088</v>
      </c>
      <c r="AA8">
        <f>K17*(100-Y8)/100</f>
        <v>7.1940493675322459E-2</v>
      </c>
      <c r="AB8">
        <f t="shared" si="12"/>
        <v>52.031987313675195</v>
      </c>
      <c r="AC8">
        <f>AB8/AD17-1</f>
        <v>2.9856147652220777E-3</v>
      </c>
      <c r="AD8">
        <f t="shared" si="13"/>
        <v>41.79601998584036</v>
      </c>
      <c r="AE8">
        <f t="shared" si="14"/>
        <v>2.8172599456900822</v>
      </c>
      <c r="AF8" s="6">
        <f t="shared" si="15"/>
        <v>5.1673275676517783</v>
      </c>
      <c r="AG8" s="6">
        <f t="shared" si="16"/>
        <v>7.6750913990849656E-2</v>
      </c>
      <c r="AH8">
        <f>AD8/AD17-1</f>
        <v>-0.19432624113475194</v>
      </c>
      <c r="AI8">
        <f t="shared" si="17"/>
        <v>1.751133696168965</v>
      </c>
      <c r="AJ8" s="6">
        <f t="shared" si="17"/>
        <v>4.0460409279085683</v>
      </c>
      <c r="AK8" s="6">
        <f t="shared" si="17"/>
        <v>-0.92505057049669182</v>
      </c>
    </row>
    <row r="9" spans="1:37">
      <c r="A9" s="6" t="s">
        <v>215</v>
      </c>
      <c r="B9">
        <v>4.5</v>
      </c>
      <c r="C9">
        <v>14.2</v>
      </c>
      <c r="D9">
        <v>0.39</v>
      </c>
      <c r="E9">
        <v>0.14000000000000001</v>
      </c>
      <c r="F9" s="6">
        <v>0.3</v>
      </c>
      <c r="G9" s="6">
        <v>4.07</v>
      </c>
      <c r="H9" s="6">
        <v>5.46</v>
      </c>
      <c r="I9">
        <f t="shared" si="0"/>
        <v>3.7575127500980776</v>
      </c>
      <c r="J9">
        <f t="shared" si="1"/>
        <v>0.23518399976181262</v>
      </c>
      <c r="K9" s="6">
        <f t="shared" si="2"/>
        <v>8.3907795557558909E-2</v>
      </c>
      <c r="L9" s="6">
        <f t="shared" si="3"/>
        <v>0.21440723000709735</v>
      </c>
      <c r="M9" s="6">
        <f t="shared" si="4"/>
        <v>1.6892789915074311</v>
      </c>
      <c r="N9" s="6">
        <f t="shared" si="5"/>
        <v>2.0252721287405873</v>
      </c>
      <c r="O9" s="6">
        <f t="shared" si="6"/>
        <v>48.884757400901698</v>
      </c>
      <c r="P9" s="6">
        <f t="shared" si="7"/>
        <v>62.654533686786628</v>
      </c>
      <c r="Q9" s="6">
        <v>96</v>
      </c>
      <c r="R9" s="6">
        <v>121</v>
      </c>
      <c r="S9" s="6">
        <f t="shared" si="8"/>
        <v>9.5999999999999992E-3</v>
      </c>
      <c r="T9">
        <f>(I9/I17-1)*100</f>
        <v>0.70921985815601829</v>
      </c>
      <c r="U9">
        <f>(J9/J17-1)*100</f>
        <v>14.705882352941192</v>
      </c>
      <c r="V9">
        <f>(K9/K17-1)*100</f>
        <v>16.666666666666675</v>
      </c>
      <c r="W9">
        <f t="shared" si="9"/>
        <v>-113.12217194570147</v>
      </c>
      <c r="X9">
        <f t="shared" si="10"/>
        <v>-0.20361990950226264</v>
      </c>
      <c r="Y9">
        <f t="shared" si="11"/>
        <v>-1.696832579185522E-2</v>
      </c>
      <c r="Z9">
        <f>I17*(100-X9)/100</f>
        <v>3.7386485561723259</v>
      </c>
      <c r="AA9">
        <f>K17*(100-Y9)/100</f>
        <v>7.1933171404863314E-2</v>
      </c>
      <c r="AB9">
        <f t="shared" si="12"/>
        <v>51.973915276583519</v>
      </c>
      <c r="AC9">
        <f>AB9/AD17-1</f>
        <v>1.8661991743484929E-3</v>
      </c>
      <c r="AD9">
        <f t="shared" si="13"/>
        <v>44.78144998482896</v>
      </c>
      <c r="AE9">
        <f t="shared" si="14"/>
        <v>2.8028861704569694</v>
      </c>
      <c r="AF9" s="6">
        <f t="shared" si="15"/>
        <v>2.5552718741135165</v>
      </c>
      <c r="AG9" s="6">
        <f t="shared" si="16"/>
        <v>0.11441130035903052</v>
      </c>
      <c r="AH9">
        <f>AD9/AD17-1</f>
        <v>-0.13677811550151986</v>
      </c>
      <c r="AI9">
        <f t="shared" si="17"/>
        <v>1.7370972997599399</v>
      </c>
      <c r="AJ9" s="6">
        <f t="shared" si="17"/>
        <v>1.4952949643503906</v>
      </c>
      <c r="AK9" s="6">
        <f t="shared" si="17"/>
        <v>-0.8882741423553171</v>
      </c>
    </row>
    <row r="10" spans="1:37">
      <c r="A10" s="6" t="s">
        <v>215</v>
      </c>
      <c r="B10">
        <v>4.7</v>
      </c>
      <c r="C10">
        <v>14.2</v>
      </c>
      <c r="D10">
        <v>0.38</v>
      </c>
      <c r="E10">
        <v>0.14000000000000001</v>
      </c>
      <c r="F10" s="6">
        <v>0.66</v>
      </c>
      <c r="G10" s="6">
        <v>4.47</v>
      </c>
      <c r="H10" s="6">
        <v>4.5999999999999996</v>
      </c>
      <c r="I10">
        <f t="shared" si="0"/>
        <v>3.7575127500980776</v>
      </c>
      <c r="J10">
        <f t="shared" si="1"/>
        <v>0.22915364079356101</v>
      </c>
      <c r="K10" s="6">
        <f t="shared" si="2"/>
        <v>8.3907795557558909E-2</v>
      </c>
      <c r="L10" s="6">
        <f t="shared" si="3"/>
        <v>0.47169590601561423</v>
      </c>
      <c r="M10" s="6">
        <f t="shared" si="4"/>
        <v>1.8553014968152863</v>
      </c>
      <c r="N10" s="6">
        <f t="shared" si="5"/>
        <v>1.7062732220158794</v>
      </c>
      <c r="O10" s="6">
        <f t="shared" si="6"/>
        <v>48.23023012271436</v>
      </c>
      <c r="P10" s="6">
        <f t="shared" si="7"/>
        <v>63.305942588138599</v>
      </c>
      <c r="Q10" s="6">
        <v>104</v>
      </c>
      <c r="R10" s="6">
        <v>134</v>
      </c>
      <c r="S10" s="6">
        <f t="shared" si="8"/>
        <v>1.04E-2</v>
      </c>
      <c r="T10">
        <f>(I10/I17-1)*100</f>
        <v>0.70921985815601829</v>
      </c>
      <c r="U10">
        <f>(J10/J17-1)*100</f>
        <v>11.764705882352944</v>
      </c>
      <c r="V10">
        <f>(K10/K17-1)*100</f>
        <v>16.666666666666675</v>
      </c>
      <c r="W10">
        <f t="shared" si="9"/>
        <v>-90.497737556561106</v>
      </c>
      <c r="X10">
        <f t="shared" si="10"/>
        <v>-0.16289592760180999</v>
      </c>
      <c r="Y10">
        <f t="shared" si="11"/>
        <v>-1.3574660633484165E-2</v>
      </c>
      <c r="Z10">
        <f>I17*(100-X10)/100</f>
        <v>3.7371291234784652</v>
      </c>
      <c r="AA10">
        <f>K17*(100-Y10)/100</f>
        <v>7.1930730648043617E-2</v>
      </c>
      <c r="AB10">
        <f t="shared" si="12"/>
        <v>51.954555303548943</v>
      </c>
      <c r="AC10">
        <f>AB10/AD17-1</f>
        <v>1.4930099986427692E-3</v>
      </c>
      <c r="AD10">
        <f t="shared" si="13"/>
        <v>44.78144998482896</v>
      </c>
      <c r="AE10">
        <f t="shared" si="14"/>
        <v>2.7310172942914064</v>
      </c>
      <c r="AF10" s="6">
        <f t="shared" si="15"/>
        <v>5.6215981230497372</v>
      </c>
      <c r="AG10" s="6">
        <f t="shared" si="16"/>
        <v>0.12394557538894974</v>
      </c>
      <c r="AH10">
        <f>AD10/AD17-1</f>
        <v>-0.13677811550151986</v>
      </c>
      <c r="AI10">
        <f t="shared" si="17"/>
        <v>1.6669153177148135</v>
      </c>
      <c r="AJ10" s="6">
        <f t="shared" si="17"/>
        <v>4.4896489215708604</v>
      </c>
      <c r="AK10" s="6">
        <f t="shared" si="17"/>
        <v>-0.87896365421826017</v>
      </c>
    </row>
    <row r="11" spans="1:37">
      <c r="A11" s="6" t="s">
        <v>215</v>
      </c>
      <c r="B11">
        <v>6.2</v>
      </c>
      <c r="C11">
        <v>14.1</v>
      </c>
      <c r="D11">
        <v>0.4</v>
      </c>
      <c r="E11">
        <v>0.16</v>
      </c>
      <c r="F11" s="6">
        <v>0.24</v>
      </c>
      <c r="G11" s="6">
        <v>4.22</v>
      </c>
      <c r="H11" s="6">
        <v>5.05</v>
      </c>
      <c r="I11">
        <f t="shared" si="0"/>
        <v>3.7310513927030211</v>
      </c>
      <c r="J11">
        <f t="shared" si="1"/>
        <v>0.24121435873006425</v>
      </c>
      <c r="K11" s="6">
        <f t="shared" si="2"/>
        <v>9.5894623494353043E-2</v>
      </c>
      <c r="L11" s="6">
        <f t="shared" si="3"/>
        <v>0.17152578400567786</v>
      </c>
      <c r="M11" s="6">
        <f t="shared" si="4"/>
        <v>1.7515374309978766</v>
      </c>
      <c r="N11" s="6">
        <f t="shared" si="5"/>
        <v>1.8731912546043892</v>
      </c>
      <c r="O11" s="6">
        <f t="shared" si="6"/>
        <v>49.566889680732963</v>
      </c>
      <c r="P11" s="6">
        <f t="shared" si="7"/>
        <v>64.598354956117717</v>
      </c>
      <c r="Q11" s="6">
        <v>117</v>
      </c>
      <c r="R11" s="6">
        <v>110</v>
      </c>
      <c r="S11" s="6">
        <f t="shared" si="8"/>
        <v>1.17E-2</v>
      </c>
      <c r="T11">
        <f>(I11/I17-1)*100</f>
        <v>0</v>
      </c>
      <c r="U11">
        <f>(J11/J17-1)*100</f>
        <v>17.647058823529438</v>
      </c>
      <c r="V11">
        <f>(K11/K17-1)*100</f>
        <v>33.33333333333335</v>
      </c>
      <c r="W11">
        <f t="shared" si="9"/>
        <v>-135.74660633484183</v>
      </c>
      <c r="X11">
        <f t="shared" si="10"/>
        <v>-0.24434389140271529</v>
      </c>
      <c r="Y11">
        <f t="shared" si="11"/>
        <v>-2.0361990950226273E-2</v>
      </c>
      <c r="Z11">
        <f>I17*(100-X11)/100</f>
        <v>3.7401679888661867</v>
      </c>
      <c r="AA11">
        <f>K17*(100-Y11)/100</f>
        <v>7.1935612161683024E-2</v>
      </c>
      <c r="AB11">
        <f t="shared" si="12"/>
        <v>51.993273935860266</v>
      </c>
      <c r="AC11">
        <f>AB11/AD17-1</f>
        <v>2.239363025628327E-3</v>
      </c>
      <c r="AD11">
        <f t="shared" si="13"/>
        <v>38.907826703368116</v>
      </c>
      <c r="AE11">
        <f t="shared" si="14"/>
        <v>2.5154106657947164</v>
      </c>
      <c r="AF11" s="6">
        <f t="shared" si="15"/>
        <v>1.7886903118794613</v>
      </c>
      <c r="AG11" s="6">
        <f t="shared" si="16"/>
        <v>0.1220089257734974</v>
      </c>
      <c r="AH11">
        <f>AD11/AD17-1</f>
        <v>-0.25000000000000011</v>
      </c>
      <c r="AI11">
        <f t="shared" si="17"/>
        <v>1.4563693715794335</v>
      </c>
      <c r="AJ11" s="6">
        <f t="shared" si="17"/>
        <v>0.74670647504527321</v>
      </c>
      <c r="AK11" s="6">
        <f t="shared" si="17"/>
        <v>-0.88085484712109985</v>
      </c>
    </row>
    <row r="12" spans="1:37">
      <c r="A12" s="6" t="s">
        <v>215</v>
      </c>
      <c r="B12">
        <v>6.5</v>
      </c>
      <c r="C12">
        <v>13.9</v>
      </c>
      <c r="D12">
        <v>0.4</v>
      </c>
      <c r="E12">
        <v>0.15</v>
      </c>
      <c r="F12" s="6">
        <v>0.61</v>
      </c>
      <c r="G12" s="6">
        <v>3.51</v>
      </c>
      <c r="H12" s="6">
        <v>5.45</v>
      </c>
      <c r="I12">
        <f t="shared" si="0"/>
        <v>3.6781286779129072</v>
      </c>
      <c r="J12">
        <f t="shared" si="1"/>
        <v>0.24121435873006425</v>
      </c>
      <c r="K12" s="6">
        <f t="shared" si="2"/>
        <v>8.9901209525955969E-2</v>
      </c>
      <c r="L12" s="6">
        <f t="shared" si="3"/>
        <v>0.43596136768109794</v>
      </c>
      <c r="M12" s="6">
        <f t="shared" si="4"/>
        <v>1.4568474840764329</v>
      </c>
      <c r="N12" s="6">
        <f t="shared" si="5"/>
        <v>2.0215628391275096</v>
      </c>
      <c r="O12" s="6">
        <f t="shared" si="6"/>
        <v>48.44423443202588</v>
      </c>
      <c r="P12" s="6">
        <f t="shared" si="7"/>
        <v>59.946818162935415</v>
      </c>
      <c r="Q12" s="6">
        <v>89</v>
      </c>
      <c r="R12" s="6">
        <v>98</v>
      </c>
      <c r="S12" s="6">
        <f t="shared" si="8"/>
        <v>8.8999999999999999E-3</v>
      </c>
      <c r="T12">
        <f>(I12/I17-1)*100</f>
        <v>-1.4184397163120588</v>
      </c>
      <c r="U12">
        <f>(J12/J17-1)*100</f>
        <v>17.647058823529438</v>
      </c>
      <c r="V12">
        <f>(K12/K17-1)*100</f>
        <v>25</v>
      </c>
      <c r="W12">
        <f t="shared" si="9"/>
        <v>-135.74660633484183</v>
      </c>
      <c r="X12">
        <f t="shared" si="10"/>
        <v>-0.24434389140271529</v>
      </c>
      <c r="Y12">
        <f t="shared" si="11"/>
        <v>-2.0361990950226273E-2</v>
      </c>
      <c r="Z12">
        <f>I17*(100-X12)/100</f>
        <v>3.7401679888661867</v>
      </c>
      <c r="AA12">
        <f>K17*(100-Y12)/100</f>
        <v>7.1935612161683024E-2</v>
      </c>
      <c r="AB12">
        <f t="shared" si="12"/>
        <v>51.993273935860266</v>
      </c>
      <c r="AC12">
        <f>AB12/AD17-1</f>
        <v>2.239363025628327E-3</v>
      </c>
      <c r="AD12">
        <f t="shared" si="13"/>
        <v>40.913005479097258</v>
      </c>
      <c r="AE12">
        <f t="shared" si="14"/>
        <v>2.683104710181031</v>
      </c>
      <c r="AF12" s="6">
        <f t="shared" si="15"/>
        <v>4.8493381788732073</v>
      </c>
      <c r="AG12" s="6">
        <f t="shared" si="16"/>
        <v>9.899755572732781E-2</v>
      </c>
      <c r="AH12">
        <f>AD12/AD17-1</f>
        <v>-0.21134751773049654</v>
      </c>
      <c r="AI12">
        <f t="shared" si="17"/>
        <v>1.6201273296847289</v>
      </c>
      <c r="AJ12" s="6">
        <f t="shared" si="17"/>
        <v>3.7355153323449644</v>
      </c>
      <c r="AK12" s="6">
        <f t="shared" si="17"/>
        <v>-0.90332609817689236</v>
      </c>
    </row>
    <row r="13" spans="1:37">
      <c r="A13" s="6" t="s">
        <v>215</v>
      </c>
      <c r="B13">
        <v>8</v>
      </c>
      <c r="C13">
        <v>13.8</v>
      </c>
      <c r="D13">
        <v>0.41</v>
      </c>
      <c r="E13">
        <v>0.15</v>
      </c>
      <c r="F13" s="6">
        <v>0.52</v>
      </c>
      <c r="G13" s="6">
        <v>3.48</v>
      </c>
      <c r="H13" s="6">
        <v>5.57</v>
      </c>
      <c r="I13">
        <f t="shared" si="0"/>
        <v>3.6516673205178507</v>
      </c>
      <c r="J13">
        <f t="shared" si="1"/>
        <v>0.2472447176983158</v>
      </c>
      <c r="K13" s="6">
        <f t="shared" si="2"/>
        <v>8.9901209525955969E-2</v>
      </c>
      <c r="L13" s="6">
        <f t="shared" si="3"/>
        <v>0.37163919867896877</v>
      </c>
      <c r="M13" s="6">
        <f t="shared" si="4"/>
        <v>1.4443957961783438</v>
      </c>
      <c r="N13" s="6">
        <f t="shared" si="5"/>
        <v>2.0660743144844456</v>
      </c>
      <c r="O13" s="6">
        <f t="shared" si="6"/>
        <v>48.470607769876224</v>
      </c>
      <c r="P13" s="6">
        <f t="shared" si="7"/>
        <v>59.967793446583919</v>
      </c>
      <c r="Q13" s="6">
        <v>75</v>
      </c>
      <c r="R13" s="6">
        <v>81</v>
      </c>
      <c r="S13" s="6">
        <f t="shared" si="8"/>
        <v>7.4999999999999997E-3</v>
      </c>
      <c r="T13">
        <f>(I13/I17-1)*100</f>
        <v>-2.1276595744680771</v>
      </c>
      <c r="U13">
        <f>(J13/J17-1)*100</f>
        <v>20.588235294117641</v>
      </c>
      <c r="V13">
        <f>(K13/K17-1)*100</f>
        <v>25</v>
      </c>
      <c r="W13">
        <f t="shared" si="9"/>
        <v>-158.37104072398185</v>
      </c>
      <c r="X13">
        <f t="shared" si="10"/>
        <v>-0.2850678733031673</v>
      </c>
      <c r="Y13">
        <f t="shared" si="11"/>
        <v>-2.3755656108597277E-2</v>
      </c>
      <c r="Z13">
        <f>I17*(100-X13)/100</f>
        <v>3.741687421560048</v>
      </c>
      <c r="AA13">
        <f>K17*(100-Y13)/100</f>
        <v>7.1938052918502735E-2</v>
      </c>
      <c r="AB13">
        <f t="shared" si="12"/>
        <v>52.012631281512931</v>
      </c>
      <c r="AC13">
        <f>AB13/AD17-1</f>
        <v>2.6125015550606534E-3</v>
      </c>
      <c r="AD13">
        <f t="shared" si="13"/>
        <v>40.618667310182893</v>
      </c>
      <c r="AE13">
        <f t="shared" si="14"/>
        <v>2.7501823279355562</v>
      </c>
      <c r="AF13" s="6">
        <f t="shared" si="15"/>
        <v>4.1338620541214226</v>
      </c>
      <c r="AG13" s="6">
        <f t="shared" si="16"/>
        <v>8.3424906511793101E-2</v>
      </c>
      <c r="AH13">
        <f>AD13/AD17-1</f>
        <v>-0.21702127659574466</v>
      </c>
      <c r="AI13">
        <f t="shared" si="17"/>
        <v>1.6856305129268465</v>
      </c>
      <c r="AJ13" s="6">
        <f t="shared" si="17"/>
        <v>3.0368327423268546</v>
      </c>
      <c r="AK13" s="6">
        <f t="shared" si="17"/>
        <v>-0.91853322880075206</v>
      </c>
    </row>
    <row r="14" spans="1:37">
      <c r="A14" s="6" t="s">
        <v>215</v>
      </c>
      <c r="B14">
        <v>9</v>
      </c>
      <c r="C14">
        <v>14.1</v>
      </c>
      <c r="D14">
        <v>0.41</v>
      </c>
      <c r="E14">
        <v>0.16</v>
      </c>
      <c r="F14" s="6">
        <v>0.28999999999999998</v>
      </c>
      <c r="G14" s="6">
        <v>3.97</v>
      </c>
      <c r="H14" s="6">
        <v>5.39</v>
      </c>
      <c r="I14">
        <f t="shared" si="0"/>
        <v>3.7310513927030211</v>
      </c>
      <c r="J14">
        <f t="shared" si="1"/>
        <v>0.2472447176983158</v>
      </c>
      <c r="K14" s="6">
        <f t="shared" si="2"/>
        <v>9.5894623494353043E-2</v>
      </c>
      <c r="L14" s="6">
        <f t="shared" si="3"/>
        <v>0.20726032234019409</v>
      </c>
      <c r="M14" s="6">
        <f t="shared" si="4"/>
        <v>1.6477733651804671</v>
      </c>
      <c r="N14" s="6">
        <f t="shared" si="5"/>
        <v>1.9993071014490413</v>
      </c>
      <c r="O14" s="6">
        <f t="shared" si="6"/>
        <v>49.187323520565194</v>
      </c>
      <c r="P14" s="6">
        <f t="shared" si="7"/>
        <v>62.837502844401172</v>
      </c>
      <c r="Q14" s="6">
        <v>74</v>
      </c>
      <c r="R14" s="6">
        <v>79</v>
      </c>
      <c r="S14" s="6">
        <f t="shared" si="8"/>
        <v>7.4000000000000003E-3</v>
      </c>
      <c r="T14">
        <f>(I14/I17-1)*100</f>
        <v>0</v>
      </c>
      <c r="U14">
        <f>(J14/J17-1)*100</f>
        <v>20.588235294117641</v>
      </c>
      <c r="V14">
        <f>(K14/K17-1)*100</f>
        <v>33.33333333333335</v>
      </c>
      <c r="W14">
        <f t="shared" si="9"/>
        <v>-158.37104072398185</v>
      </c>
      <c r="X14">
        <f t="shared" si="10"/>
        <v>-0.2850678733031673</v>
      </c>
      <c r="Y14">
        <f t="shared" si="11"/>
        <v>-2.3755656108597277E-2</v>
      </c>
      <c r="Z14">
        <f>I17*(100-X14)/100</f>
        <v>3.741687421560048</v>
      </c>
      <c r="AA14">
        <f>K17*(100-Y14)/100</f>
        <v>7.1938052918502735E-2</v>
      </c>
      <c r="AB14">
        <f t="shared" si="12"/>
        <v>52.012631281512931</v>
      </c>
      <c r="AC14">
        <f>AB14/AD17-1</f>
        <v>2.6125015550606534E-3</v>
      </c>
      <c r="AD14">
        <f t="shared" si="13"/>
        <v>38.907826703368116</v>
      </c>
      <c r="AE14">
        <f t="shared" si="14"/>
        <v>2.578295932439584</v>
      </c>
      <c r="AF14" s="6">
        <f t="shared" si="15"/>
        <v>2.1613341268543493</v>
      </c>
      <c r="AG14" s="6">
        <f t="shared" si="16"/>
        <v>7.7168038523408616E-2</v>
      </c>
      <c r="AH14">
        <f>AD14/AD17-1</f>
        <v>-0.25000000000000011</v>
      </c>
      <c r="AI14">
        <f t="shared" si="17"/>
        <v>1.5177786058689189</v>
      </c>
      <c r="AJ14" s="6">
        <f t="shared" si="17"/>
        <v>1.1106036573463722</v>
      </c>
      <c r="AK14" s="6">
        <f t="shared" si="17"/>
        <v>-0.92464323664069559</v>
      </c>
    </row>
    <row r="15" spans="1:37">
      <c r="A15" s="6" t="s">
        <v>215</v>
      </c>
      <c r="B15">
        <v>9.9</v>
      </c>
      <c r="C15">
        <v>13.5</v>
      </c>
      <c r="D15">
        <v>0.43</v>
      </c>
      <c r="E15">
        <v>0.16</v>
      </c>
      <c r="F15" s="6">
        <v>0.31</v>
      </c>
      <c r="G15" s="6">
        <v>3.74</v>
      </c>
      <c r="H15" s="6">
        <v>5.33</v>
      </c>
      <c r="I15">
        <f t="shared" si="0"/>
        <v>3.5722832483326799</v>
      </c>
      <c r="J15">
        <f t="shared" si="1"/>
        <v>0.259305435634819</v>
      </c>
      <c r="K15" s="6">
        <f t="shared" si="2"/>
        <v>9.5894623494353043E-2</v>
      </c>
      <c r="L15" s="6">
        <f t="shared" si="3"/>
        <v>0.22155413767400062</v>
      </c>
      <c r="M15" s="6">
        <f t="shared" si="4"/>
        <v>1.55231042462845</v>
      </c>
      <c r="N15" s="6">
        <f t="shared" si="5"/>
        <v>1.9770513637705733</v>
      </c>
      <c r="O15" s="6">
        <f t="shared" si="6"/>
        <v>48.780364472642923</v>
      </c>
      <c r="P15" s="6">
        <f t="shared" si="7"/>
        <v>61.901786765003287</v>
      </c>
      <c r="Q15" s="6">
        <v>76</v>
      </c>
      <c r="R15" s="6">
        <v>74</v>
      </c>
      <c r="S15" s="6">
        <f t="shared" si="8"/>
        <v>7.6E-3</v>
      </c>
      <c r="T15">
        <f>(I15/I17-1)*100</f>
        <v>-4.2553191489361648</v>
      </c>
      <c r="U15">
        <f>(J15/J17-1)*100</f>
        <v>26.470588235294112</v>
      </c>
      <c r="V15">
        <f>(K15/K17-1)*100</f>
        <v>33.33333333333335</v>
      </c>
      <c r="W15">
        <f t="shared" si="9"/>
        <v>-203.6199095022624</v>
      </c>
      <c r="X15">
        <f t="shared" si="10"/>
        <v>-0.36651583710407232</v>
      </c>
      <c r="Y15">
        <f t="shared" si="11"/>
        <v>-3.0542986425339359E-2</v>
      </c>
      <c r="Z15">
        <f>I17*(100-X15)/100</f>
        <v>3.7447262869477695</v>
      </c>
      <c r="AA15">
        <f>K17*(100-Y15)/100</f>
        <v>7.1942934432142169E-2</v>
      </c>
      <c r="AB15">
        <f t="shared" si="12"/>
        <v>52.051342032480768</v>
      </c>
      <c r="AC15">
        <f>AB15/AD17-1</f>
        <v>3.3587026586900937E-3</v>
      </c>
      <c r="AD15">
        <f t="shared" si="13"/>
        <v>37.252174503224794</v>
      </c>
      <c r="AE15">
        <f t="shared" si="14"/>
        <v>2.7040664657293196</v>
      </c>
      <c r="AF15" s="6">
        <f t="shared" si="15"/>
        <v>2.3103916528443045</v>
      </c>
      <c r="AG15" s="6">
        <f t="shared" si="16"/>
        <v>7.9253661186203431E-2</v>
      </c>
      <c r="AH15">
        <f>AD15/AD17-1</f>
        <v>-0.28191489361702138</v>
      </c>
      <c r="AI15">
        <f t="shared" si="17"/>
        <v>1.6405970744478902</v>
      </c>
      <c r="AJ15" s="6">
        <f t="shared" si="17"/>
        <v>1.2561625302668116</v>
      </c>
      <c r="AK15" s="6">
        <f t="shared" si="17"/>
        <v>-0.92260656736071445</v>
      </c>
    </row>
    <row r="16" spans="1:37">
      <c r="A16" s="6" t="s">
        <v>215</v>
      </c>
      <c r="B16">
        <v>17</v>
      </c>
      <c r="C16">
        <v>14.2</v>
      </c>
      <c r="D16">
        <v>0.38</v>
      </c>
      <c r="E16">
        <v>0.13</v>
      </c>
      <c r="F16" s="6">
        <v>0.43</v>
      </c>
      <c r="G16" s="6">
        <v>4.41</v>
      </c>
      <c r="H16" s="6">
        <v>5.09</v>
      </c>
      <c r="I16">
        <f t="shared" si="0"/>
        <v>3.7575127500980776</v>
      </c>
      <c r="J16">
        <f t="shared" si="1"/>
        <v>0.22915364079356101</v>
      </c>
      <c r="K16" s="6">
        <f t="shared" si="2"/>
        <v>7.7914381589161849E-2</v>
      </c>
      <c r="L16" s="6">
        <f t="shared" si="3"/>
        <v>0.30731702967683955</v>
      </c>
      <c r="M16" s="6">
        <f t="shared" si="4"/>
        <v>1.8303981210191083</v>
      </c>
      <c r="N16" s="6">
        <f t="shared" si="5"/>
        <v>1.8880284130567013</v>
      </c>
      <c r="O16" s="6">
        <f t="shared" si="6"/>
        <v>48.27687279694721</v>
      </c>
      <c r="P16" s="6">
        <f t="shared" si="7"/>
        <v>63.121153375076908</v>
      </c>
      <c r="Q16" s="6">
        <v>95</v>
      </c>
      <c r="R16" s="6">
        <v>95</v>
      </c>
      <c r="S16" s="6">
        <f t="shared" si="8"/>
        <v>9.4999999999999998E-3</v>
      </c>
      <c r="T16">
        <f>(I16/I17-1)*100</f>
        <v>0.70921985815601829</v>
      </c>
      <c r="U16">
        <f>(J16/J17-1)*100</f>
        <v>11.764705882352944</v>
      </c>
      <c r="V16">
        <f>(K16/K17-1)*100</f>
        <v>8.3333333333333481</v>
      </c>
      <c r="W16">
        <f t="shared" si="9"/>
        <v>-90.497737556561106</v>
      </c>
      <c r="X16">
        <f t="shared" si="10"/>
        <v>-0.16289592760180999</v>
      </c>
      <c r="Y16">
        <f t="shared" si="11"/>
        <v>-1.3574660633484165E-2</v>
      </c>
      <c r="Z16">
        <f>I17*(100-X16)/100</f>
        <v>3.7371291234784652</v>
      </c>
      <c r="AA16">
        <f>K17*(100-Y16)/100</f>
        <v>7.1930730648043617E-2</v>
      </c>
      <c r="AB16">
        <f t="shared" si="12"/>
        <v>51.954555303548943</v>
      </c>
      <c r="AC16">
        <f>AB16/AD17-1</f>
        <v>1.4930099986427692E-3</v>
      </c>
      <c r="AD16">
        <f t="shared" si="13"/>
        <v>48.226176906738871</v>
      </c>
      <c r="AE16">
        <f t="shared" si="14"/>
        <v>2.9410955476984375</v>
      </c>
      <c r="AF16" s="6">
        <f t="shared" si="15"/>
        <v>3.9442914569649665</v>
      </c>
      <c r="AG16" s="6">
        <f t="shared" si="16"/>
        <v>0.12192870951723606</v>
      </c>
      <c r="AH16">
        <f>AD16/AD17-1</f>
        <v>-7.0376432078560036E-2</v>
      </c>
      <c r="AI16">
        <f t="shared" si="17"/>
        <v>1.8720626498467219</v>
      </c>
      <c r="AJ16" s="6">
        <f t="shared" si="17"/>
        <v>2.851711714202398</v>
      </c>
      <c r="AK16" s="6">
        <f t="shared" si="17"/>
        <v>-0.88093318055494529</v>
      </c>
    </row>
    <row r="17" spans="1:34" s="2" customFormat="1">
      <c r="A17" s="2" t="s">
        <v>42</v>
      </c>
      <c r="B17" s="2">
        <v>50</v>
      </c>
      <c r="C17" s="2">
        <v>14.1</v>
      </c>
      <c r="D17" s="2">
        <v>0.34</v>
      </c>
      <c r="E17" s="2">
        <v>0.12</v>
      </c>
      <c r="F17" s="2">
        <v>0.32</v>
      </c>
      <c r="G17" s="2">
        <v>4.1500000000000004</v>
      </c>
      <c r="H17" s="2">
        <v>5.32</v>
      </c>
      <c r="I17" s="2">
        <f t="shared" si="0"/>
        <v>3.7310513927030211</v>
      </c>
      <c r="J17" s="2">
        <f t="shared" si="1"/>
        <v>0.20503220492055457</v>
      </c>
      <c r="K17" s="2">
        <f t="shared" si="2"/>
        <v>7.1920967620764775E-2</v>
      </c>
      <c r="L17" s="2">
        <f t="shared" si="3"/>
        <v>0.22870104534090385</v>
      </c>
      <c r="M17" s="2">
        <f t="shared" si="4"/>
        <v>1.7224834925690025</v>
      </c>
      <c r="N17" s="2">
        <f t="shared" si="5"/>
        <v>1.9733420741574956</v>
      </c>
      <c r="Q17" s="2">
        <v>87</v>
      </c>
      <c r="R17" s="2">
        <v>111</v>
      </c>
      <c r="S17" s="2">
        <f t="shared" si="8"/>
        <v>8.6999999999999994E-3</v>
      </c>
      <c r="AD17" s="2">
        <f t="shared" si="13"/>
        <v>51.877102271157497</v>
      </c>
      <c r="AE17" s="2">
        <f>J17/K17</f>
        <v>2.8507987545673452</v>
      </c>
      <c r="AF17" s="2">
        <f t="shared" si="15"/>
        <v>3.1798938877857097</v>
      </c>
      <c r="AG17" s="2">
        <f t="shared" si="16"/>
        <v>0.12096611444209998</v>
      </c>
    </row>
    <row r="18" spans="1:34">
      <c r="AB18" s="39"/>
      <c r="AC18" s="6"/>
      <c r="AE18" s="39"/>
      <c r="AF18" s="39"/>
      <c r="AG18" s="39" t="s">
        <v>97</v>
      </c>
      <c r="AH18" s="6">
        <f>_xlfn.VAR.P(AH3:AH16)</f>
        <v>2.9459378855208839E-2</v>
      </c>
    </row>
    <row r="19" spans="1:34">
      <c r="AG19" s="39" t="s">
        <v>98</v>
      </c>
      <c r="AH19">
        <f>AVERAGE(AH3:AH16)</f>
        <v>-0.14393677274510466</v>
      </c>
    </row>
  </sheetData>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
  <sheetViews>
    <sheetView workbookViewId="0">
      <selection activeCell="Z10" sqref="Z10"/>
    </sheetView>
  </sheetViews>
  <sheetFormatPr defaultRowHeight="14.5"/>
  <cols>
    <col min="1" max="1" width="11.08984375" style="6" customWidth="1"/>
    <col min="2" max="2" width="11.36328125" style="6" customWidth="1"/>
    <col min="3" max="11" width="8.7265625" style="6"/>
    <col min="12" max="12" width="15.26953125" style="6" customWidth="1"/>
    <col min="13" max="13" width="16.54296875" style="6" customWidth="1"/>
    <col min="14" max="14" width="13.36328125" style="6" customWidth="1"/>
    <col min="15" max="15" width="18.81640625" style="6" customWidth="1"/>
    <col min="16" max="17" width="22.90625" style="6" customWidth="1"/>
    <col min="18" max="18" width="14.6328125" style="6" customWidth="1"/>
    <col min="19" max="19" width="14.1796875" style="6" customWidth="1"/>
    <col min="20" max="20" width="17.6328125" style="6" customWidth="1"/>
    <col min="21" max="21" width="17.26953125" style="6" customWidth="1"/>
    <col min="22" max="26" width="8.7265625" style="6"/>
    <col min="27" max="27" width="11.08984375" style="6" customWidth="1"/>
    <col min="28" max="28" width="12.36328125" style="6" customWidth="1"/>
    <col min="29" max="29" width="11.1796875" style="6" customWidth="1"/>
    <col min="30" max="30" width="11.6328125" style="6" customWidth="1"/>
    <col min="31" max="31" width="11" style="6" customWidth="1"/>
    <col min="32" max="16384" width="8.7265625" style="6"/>
  </cols>
  <sheetData>
    <row r="1" spans="1:32">
      <c r="A1" s="98" t="s">
        <v>168</v>
      </c>
      <c r="B1" s="98"/>
      <c r="C1" s="87"/>
    </row>
    <row r="2" spans="1:32">
      <c r="A2" s="1" t="s">
        <v>196</v>
      </c>
      <c r="B2" s="1" t="s">
        <v>20</v>
      </c>
      <c r="C2" s="1" t="s">
        <v>22</v>
      </c>
      <c r="D2" s="1" t="s">
        <v>23</v>
      </c>
      <c r="E2" s="1" t="s">
        <v>24</v>
      </c>
      <c r="F2" s="1" t="s">
        <v>54</v>
      </c>
      <c r="G2" s="1" t="s">
        <v>55</v>
      </c>
      <c r="H2" s="1" t="s">
        <v>56</v>
      </c>
      <c r="I2" s="1" t="s">
        <v>51</v>
      </c>
      <c r="J2" s="1" t="s">
        <v>52</v>
      </c>
      <c r="K2" s="1" t="s">
        <v>109</v>
      </c>
      <c r="L2" s="1" t="s">
        <v>7</v>
      </c>
      <c r="M2" s="1" t="s">
        <v>8</v>
      </c>
      <c r="N2" s="1" t="s">
        <v>9</v>
      </c>
      <c r="O2" s="1" t="s">
        <v>10</v>
      </c>
      <c r="P2" s="1" t="s">
        <v>11</v>
      </c>
      <c r="Q2" s="1" t="s">
        <v>12</v>
      </c>
      <c r="R2" s="1" t="s">
        <v>13</v>
      </c>
      <c r="S2" s="1" t="s">
        <v>14</v>
      </c>
      <c r="T2" s="1" t="s">
        <v>15</v>
      </c>
      <c r="U2" s="1" t="s">
        <v>460</v>
      </c>
      <c r="V2" s="1" t="s">
        <v>16</v>
      </c>
      <c r="W2" s="1" t="s">
        <v>17</v>
      </c>
      <c r="X2" s="1" t="s">
        <v>107</v>
      </c>
      <c r="Y2" s="1" t="s">
        <v>136</v>
      </c>
      <c r="Z2" s="1" t="s">
        <v>459</v>
      </c>
      <c r="AA2" s="1" t="s">
        <v>461</v>
      </c>
      <c r="AB2" s="1" t="s">
        <v>462</v>
      </c>
      <c r="AC2" s="1" t="s">
        <v>464</v>
      </c>
      <c r="AD2" s="1"/>
      <c r="AE2" s="1"/>
      <c r="AF2" s="1"/>
    </row>
    <row r="3" spans="1:32">
      <c r="A3" s="6" t="s">
        <v>215</v>
      </c>
      <c r="B3" s="6">
        <v>-0.5</v>
      </c>
      <c r="C3" s="6">
        <v>24806.004000000001</v>
      </c>
      <c r="D3" s="6">
        <v>899.83299999999997</v>
      </c>
      <c r="E3" s="6">
        <v>164.053</v>
      </c>
      <c r="F3" s="6">
        <v>533.34500000000003</v>
      </c>
      <c r="G3" s="6">
        <v>29399.34</v>
      </c>
      <c r="H3" s="6">
        <v>420.99299999999999</v>
      </c>
      <c r="I3" s="6">
        <f t="shared" ref="I3:I10" si="0">100*(C3/(C3+F3+G3+H3))</f>
        <v>44.971259986596735</v>
      </c>
      <c r="J3" s="6">
        <f t="shared" ref="J3:J10" si="1">100*(C3/(C3+F3+H3))</f>
        <v>96.295320923922517</v>
      </c>
      <c r="K3" s="6">
        <v>1.276</v>
      </c>
      <c r="L3" s="6">
        <f>(C3/C11-1)*100</f>
        <v>-17.130695388808004</v>
      </c>
      <c r="M3" s="6">
        <f>(D3/D11-1)*100</f>
        <v>-9.1116336478654461</v>
      </c>
      <c r="N3" s="6">
        <f>(E3/E11-1)*100</f>
        <v>-45.908866101750803</v>
      </c>
      <c r="O3" s="6">
        <f t="shared" ref="O3:O10" si="2">M3/-0.13</f>
        <v>70.089489598964974</v>
      </c>
      <c r="P3" s="6">
        <f t="shared" ref="P3:P10" si="3">O3*0.0018</f>
        <v>0.12616108127813694</v>
      </c>
      <c r="Q3" s="6">
        <f t="shared" ref="Q3:Q10" si="4">O3*0.00015</f>
        <v>1.0513423439844745E-2</v>
      </c>
      <c r="R3" s="6">
        <f>C11*(100-P3)/100</f>
        <v>29896.122084492221</v>
      </c>
      <c r="S3" s="6">
        <f>E11*(100-Q3)/100</f>
        <v>303.25811383804933</v>
      </c>
      <c r="T3" s="6">
        <f>R3/S3</f>
        <v>98.583090510342686</v>
      </c>
      <c r="U3" s="6">
        <f>T3/V11-1</f>
        <v>-1.1565981764468658E-3</v>
      </c>
      <c r="V3" s="6">
        <f t="shared" ref="V3:V11" si="5">C3/E3</f>
        <v>151.20725619159663</v>
      </c>
      <c r="W3" s="6">
        <f t="shared" ref="W3:W11" si="6">D3/E3</f>
        <v>5.4850139893814802</v>
      </c>
      <c r="X3" s="6">
        <f t="shared" ref="X3:X11" si="7">F3/E3</f>
        <v>3.2510530133554401</v>
      </c>
      <c r="Y3" s="6">
        <f t="shared" ref="Y3:Y11" si="8">K3/E3</f>
        <v>7.7779741912674567E-3</v>
      </c>
      <c r="Z3" s="6">
        <f>V3/V11-1</f>
        <v>0.5320311969624707</v>
      </c>
      <c r="AA3" s="6">
        <f>W3/W11-1</f>
        <v>0.68028214241366447</v>
      </c>
      <c r="AB3" s="6">
        <f>X3/X11-1</f>
        <v>-0.77939792278112519</v>
      </c>
      <c r="AC3" s="6">
        <f>Y3/Y11-1</f>
        <v>1.0656583121449277</v>
      </c>
    </row>
    <row r="4" spans="1:32">
      <c r="A4" s="6" t="s">
        <v>215</v>
      </c>
      <c r="B4" s="6">
        <v>-0.2</v>
      </c>
      <c r="C4" s="6">
        <v>16631.745999999999</v>
      </c>
      <c r="D4" s="6">
        <v>458.392</v>
      </c>
      <c r="E4" s="6">
        <v>118.34</v>
      </c>
      <c r="F4" s="6">
        <v>403.774</v>
      </c>
      <c r="G4" s="6">
        <v>20906.161</v>
      </c>
      <c r="H4" s="6">
        <v>254.435</v>
      </c>
      <c r="I4" s="6">
        <f t="shared" si="0"/>
        <v>43.543029348847931</v>
      </c>
      <c r="J4" s="6">
        <f t="shared" si="1"/>
        <v>96.193113284563196</v>
      </c>
      <c r="K4" s="6">
        <v>0.68300000000000005</v>
      </c>
      <c r="L4" s="6">
        <f>(C4/C11-1)*100</f>
        <v>-44.438401868758305</v>
      </c>
      <c r="M4" s="6">
        <f>(D4/D11-1)*100</f>
        <v>-53.699742031146158</v>
      </c>
      <c r="N4" s="6">
        <f>(E4/E11-1)*100</f>
        <v>-60.981239078110065</v>
      </c>
      <c r="O4" s="6">
        <f t="shared" si="2"/>
        <v>413.07493870112427</v>
      </c>
      <c r="P4" s="6">
        <f t="shared" si="3"/>
        <v>0.74353488966202363</v>
      </c>
      <c r="Q4" s="6">
        <f t="shared" si="4"/>
        <v>6.1961240805168634E-2</v>
      </c>
      <c r="R4" s="6">
        <f>C11*(100-P4)/100</f>
        <v>29711.318106322993</v>
      </c>
      <c r="S4" s="6">
        <f>E11*(100-Q4)/100</f>
        <v>303.102077752762</v>
      </c>
      <c r="T4" s="6">
        <f t="shared" ref="T4:T10" si="9">R4/S4</f>
        <v>98.024132089778291</v>
      </c>
      <c r="U4" s="6">
        <f>T4/V11-1</f>
        <v>-6.8199622217836042E-3</v>
      </c>
      <c r="V4" s="6">
        <f t="shared" si="5"/>
        <v>140.54204833530505</v>
      </c>
      <c r="W4" s="6">
        <f t="shared" si="6"/>
        <v>3.8735169849585938</v>
      </c>
      <c r="X4" s="6">
        <f t="shared" si="7"/>
        <v>3.4119824235254352</v>
      </c>
      <c r="Y4" s="6">
        <f t="shared" si="8"/>
        <v>5.7715058306574279E-3</v>
      </c>
      <c r="Z4" s="6">
        <f>V4/V11-1</f>
        <v>0.42397136194222518</v>
      </c>
      <c r="AA4" s="6">
        <f>W4/W11-1</f>
        <v>0.18661528133967242</v>
      </c>
      <c r="AB4" s="6">
        <f>X4/X11-1</f>
        <v>-0.76847796484033859</v>
      </c>
      <c r="AC4" s="6">
        <f>Y4/Y11-1</f>
        <v>0.5327845914011311</v>
      </c>
    </row>
    <row r="5" spans="1:32">
      <c r="A5" s="6" t="s">
        <v>215</v>
      </c>
      <c r="B5" s="6">
        <v>0</v>
      </c>
      <c r="C5" s="6">
        <v>36596.584999999999</v>
      </c>
      <c r="D5" s="6">
        <v>1415.7550000000001</v>
      </c>
      <c r="E5" s="6">
        <v>599.95600000000002</v>
      </c>
      <c r="F5" s="6">
        <v>469.45</v>
      </c>
      <c r="G5" s="6">
        <v>27692.748</v>
      </c>
      <c r="H5" s="6">
        <v>343.60399999999998</v>
      </c>
      <c r="I5" s="6">
        <f t="shared" si="0"/>
        <v>56.213891204941532</v>
      </c>
      <c r="J5" s="6">
        <f t="shared" si="1"/>
        <v>97.826618963096649</v>
      </c>
      <c r="K5" s="6">
        <v>0.92300000000000004</v>
      </c>
      <c r="L5" s="6">
        <f>(C5/C11-1)*100</f>
        <v>22.258044870684522</v>
      </c>
      <c r="M5" s="6">
        <f>(D5/D11-1)*100</f>
        <v>42.999488910571479</v>
      </c>
      <c r="N5" s="6">
        <f>(E6/E11-1)*100</f>
        <v>-12.356490487652083</v>
      </c>
      <c r="O5" s="6">
        <f t="shared" si="2"/>
        <v>-330.7652993120883</v>
      </c>
      <c r="P5" s="6">
        <f t="shared" si="3"/>
        <v>-0.59537753876175892</v>
      </c>
      <c r="Q5" s="6">
        <f t="shared" si="4"/>
        <v>-4.9614794896813239E-2</v>
      </c>
      <c r="R5" s="6">
        <f>C11*(100-P5)/100</f>
        <v>30112.106639676324</v>
      </c>
      <c r="S5" s="6">
        <f>E11*(100-Q5)/100</f>
        <v>303.44047671144256</v>
      </c>
      <c r="T5" s="6">
        <f t="shared" si="9"/>
        <v>99.235629227907864</v>
      </c>
      <c r="U5" s="6">
        <f>T5/V11-1</f>
        <v>5.454920990788148E-3</v>
      </c>
      <c r="V5" s="6">
        <f t="shared" si="5"/>
        <v>60.998781577315668</v>
      </c>
      <c r="W5" s="6">
        <f t="shared" si="6"/>
        <v>2.3597647160791793</v>
      </c>
      <c r="X5" s="6">
        <f t="shared" si="7"/>
        <v>0.78247404809686039</v>
      </c>
      <c r="Y5" s="6">
        <f t="shared" si="8"/>
        <v>1.5384461527178661E-3</v>
      </c>
      <c r="Z5" s="6">
        <f>V5/V11-1</f>
        <v>-0.38196063663285462</v>
      </c>
      <c r="AA5" s="6">
        <f>W5/W11-1</f>
        <v>-0.27710840475489495</v>
      </c>
      <c r="AB5" s="6">
        <f>X5/X11-1</f>
        <v>-0.94690477218583669</v>
      </c>
      <c r="AC5" s="6">
        <f>Y5/Y11-1</f>
        <v>-0.59142265003695127</v>
      </c>
    </row>
    <row r="6" spans="1:32">
      <c r="A6" s="6" t="s">
        <v>215</v>
      </c>
      <c r="B6" s="6">
        <v>0.4</v>
      </c>
      <c r="C6" s="6">
        <v>35131.120999999999</v>
      </c>
      <c r="D6" s="6">
        <v>1171.24</v>
      </c>
      <c r="E6" s="6">
        <v>265.81400000000002</v>
      </c>
      <c r="F6" s="6">
        <v>798.12400000000002</v>
      </c>
      <c r="G6" s="6">
        <v>28686.857</v>
      </c>
      <c r="H6" s="6">
        <v>1002.092</v>
      </c>
      <c r="I6" s="6">
        <f t="shared" si="0"/>
        <v>53.538689284865107</v>
      </c>
      <c r="J6" s="6">
        <f t="shared" si="1"/>
        <v>95.12550547520118</v>
      </c>
      <c r="K6" s="6">
        <v>1.3560000000000001</v>
      </c>
      <c r="L6" s="6">
        <f>(C6/C11-1)*100</f>
        <v>17.362375958725316</v>
      </c>
      <c r="M6" s="6">
        <f>(D6/D11-1)*100</f>
        <v>18.302051832144485</v>
      </c>
      <c r="N6" s="6">
        <f>(E6/E11-1)*100</f>
        <v>-12.356490487652083</v>
      </c>
      <c r="O6" s="6">
        <f t="shared" si="2"/>
        <v>-140.78501409341911</v>
      </c>
      <c r="P6" s="6">
        <f t="shared" si="3"/>
        <v>-0.25341302536815441</v>
      </c>
      <c r="Q6" s="6">
        <f t="shared" si="4"/>
        <v>-2.1117752114012865E-2</v>
      </c>
      <c r="R6" s="6">
        <f>C11*(100-P6)/100</f>
        <v>30009.743368656986</v>
      </c>
      <c r="S6" s="6">
        <f>E11*(100-Q6)/100</f>
        <v>303.35404803038659</v>
      </c>
      <c r="T6" s="6">
        <f t="shared" si="9"/>
        <v>98.92646418765095</v>
      </c>
      <c r="U6" s="6">
        <f>T6/V11-1</f>
        <v>2.3224622807140882E-3</v>
      </c>
      <c r="V6" s="6">
        <f t="shared" si="5"/>
        <v>132.16429909636059</v>
      </c>
      <c r="W6" s="6">
        <f t="shared" si="6"/>
        <v>4.4062389490395537</v>
      </c>
      <c r="X6" s="6">
        <f t="shared" si="7"/>
        <v>3.0025657038380218</v>
      </c>
      <c r="Y6" s="6">
        <f t="shared" si="8"/>
        <v>5.1013114433400798E-3</v>
      </c>
      <c r="Z6" s="6">
        <f>V6/V11-1</f>
        <v>0.33908804669888704</v>
      </c>
      <c r="AA6" s="6">
        <f>W6/W11-1</f>
        <v>0.34980961500037999</v>
      </c>
      <c r="AB6" s="6">
        <f>X6/X11-1</f>
        <v>-0.79625917247987898</v>
      </c>
      <c r="AC6" s="6">
        <f>Y6/Y11-1</f>
        <v>0.35479575100754213</v>
      </c>
    </row>
    <row r="7" spans="1:32">
      <c r="A7" s="6" t="s">
        <v>215</v>
      </c>
      <c r="B7" s="6">
        <v>1.4</v>
      </c>
      <c r="C7" s="6">
        <v>26180.094000000001</v>
      </c>
      <c r="D7" s="6">
        <v>1065.703</v>
      </c>
      <c r="E7" s="6">
        <v>239.33600000000001</v>
      </c>
      <c r="F7" s="6">
        <v>871.70699999999999</v>
      </c>
      <c r="G7" s="6">
        <v>20515.642</v>
      </c>
      <c r="H7" s="6">
        <v>2661.0549999999998</v>
      </c>
      <c r="I7" s="6">
        <f t="shared" si="0"/>
        <v>52.121992578794618</v>
      </c>
      <c r="J7" s="6">
        <f t="shared" si="1"/>
        <v>88.110325039100928</v>
      </c>
      <c r="K7" s="6">
        <v>0.84</v>
      </c>
      <c r="L7" s="6">
        <f>(C7/C11-1)*100</f>
        <v>-12.5402791825866</v>
      </c>
      <c r="M7" s="6">
        <f>(D7/D11-1)*100</f>
        <v>7.6422010379357586</v>
      </c>
      <c r="N7" s="6">
        <f>(E7/E11-1)*100</f>
        <v>-21.086748656401465</v>
      </c>
      <c r="O7" s="6">
        <f t="shared" si="2"/>
        <v>-58.786161830275063</v>
      </c>
      <c r="P7" s="6">
        <f t="shared" si="3"/>
        <v>-0.10581509129449511</v>
      </c>
      <c r="Q7" s="6">
        <f t="shared" si="4"/>
        <v>-8.8179242745412591E-3</v>
      </c>
      <c r="R7" s="6">
        <f>C11*(100-P7)/100</f>
        <v>29965.56156985704</v>
      </c>
      <c r="S7" s="6">
        <f>E11*(100-Q7)/100</f>
        <v>303.31674388253231</v>
      </c>
      <c r="T7" s="6">
        <f t="shared" si="9"/>
        <v>98.79296865148342</v>
      </c>
      <c r="U7" s="6">
        <f>T7/V11-1</f>
        <v>9.6988614637338877E-4</v>
      </c>
      <c r="V7" s="6">
        <f t="shared" si="5"/>
        <v>109.38636059765351</v>
      </c>
      <c r="W7" s="6">
        <f t="shared" si="6"/>
        <v>4.4527484373433159</v>
      </c>
      <c r="X7" s="6">
        <f t="shared" si="7"/>
        <v>3.6421892235184008</v>
      </c>
      <c r="Y7" s="6">
        <f t="shared" si="8"/>
        <v>3.5097101982150612E-3</v>
      </c>
      <c r="Z7" s="6">
        <f>V7/V11-1</f>
        <v>0.10830208270854813</v>
      </c>
      <c r="AA7" s="6">
        <f>W7/W11-1</f>
        <v>0.36405735672007267</v>
      </c>
      <c r="AB7" s="6">
        <f>X7/X11-1</f>
        <v>-0.75285714965838513</v>
      </c>
      <c r="AC7" s="6">
        <f>Y7/Y11-1</f>
        <v>-6.789841854934664E-2</v>
      </c>
    </row>
    <row r="8" spans="1:32">
      <c r="A8" s="6" t="s">
        <v>215</v>
      </c>
      <c r="B8" s="6">
        <v>2.1</v>
      </c>
      <c r="C8" s="6">
        <v>37583.983</v>
      </c>
      <c r="D8" s="6">
        <v>1332.433</v>
      </c>
      <c r="E8" s="6">
        <v>228.91399999999999</v>
      </c>
      <c r="F8" s="6">
        <v>2586.6480000000001</v>
      </c>
      <c r="G8" s="6">
        <v>29994.725999999999</v>
      </c>
      <c r="H8" s="6">
        <v>7765.5479999999998</v>
      </c>
      <c r="I8" s="6">
        <f t="shared" si="0"/>
        <v>48.227314952906042</v>
      </c>
      <c r="J8" s="6">
        <f t="shared" si="1"/>
        <v>78.404211149161469</v>
      </c>
      <c r="K8" s="6">
        <v>1.173</v>
      </c>
      <c r="L8" s="6">
        <f>(C8/C11-1)*100</f>
        <v>25.556640873268478</v>
      </c>
      <c r="M8" s="6">
        <f>(D8/D11-1)*100</f>
        <v>34.583482316911798</v>
      </c>
      <c r="N8" s="6">
        <f>(E8/E11-1)*100</f>
        <v>-24.523063734379647</v>
      </c>
      <c r="O8" s="6">
        <f t="shared" si="2"/>
        <v>-266.02678705316765</v>
      </c>
      <c r="P8" s="6">
        <f t="shared" si="3"/>
        <v>-0.47884821669570177</v>
      </c>
      <c r="Q8" s="6">
        <f t="shared" si="4"/>
        <v>-3.9904018057975145E-2</v>
      </c>
      <c r="R8" s="6">
        <f>C11*(100-P8)/100</f>
        <v>30077.224884087202</v>
      </c>
      <c r="S8" s="6">
        <f>E11*(100-Q8)/100</f>
        <v>303.41102489636808</v>
      </c>
      <c r="T8" s="6">
        <f t="shared" si="9"/>
        <v>99.130296581544016</v>
      </c>
      <c r="U8" s="6">
        <f>T8/V11-1</f>
        <v>4.3876911213196479E-3</v>
      </c>
      <c r="V8" s="6">
        <f t="shared" si="5"/>
        <v>164.18385507221055</v>
      </c>
      <c r="W8" s="6">
        <f t="shared" si="6"/>
        <v>5.8206706448709999</v>
      </c>
      <c r="X8" s="6">
        <f t="shared" si="7"/>
        <v>11.299649650086934</v>
      </c>
      <c r="Y8" s="6">
        <f t="shared" si="8"/>
        <v>5.124195112575029E-3</v>
      </c>
      <c r="Z8" s="6">
        <f>V8/V11-1</f>
        <v>0.66351003479269965</v>
      </c>
      <c r="AA8" s="6">
        <f>W8/W11-1</f>
        <v>0.78310738320487983</v>
      </c>
      <c r="AB8" s="6">
        <f>X8/X11-1</f>
        <v>-0.23325575608441262</v>
      </c>
      <c r="AC8" s="6">
        <f>Y8/Y11-1</f>
        <v>0.36087314859271524</v>
      </c>
    </row>
    <row r="9" spans="1:32">
      <c r="A9" s="6" t="s">
        <v>215</v>
      </c>
      <c r="B9" s="6">
        <v>3.5</v>
      </c>
      <c r="C9" s="6">
        <v>26703.100999999999</v>
      </c>
      <c r="D9" s="6">
        <v>750.18100000000004</v>
      </c>
      <c r="E9" s="6">
        <v>250.00399999999999</v>
      </c>
      <c r="F9" s="6">
        <v>3476.252</v>
      </c>
      <c r="G9" s="6">
        <v>13187.325000000001</v>
      </c>
      <c r="H9" s="6">
        <v>11543.641</v>
      </c>
      <c r="I9" s="6">
        <f t="shared" si="0"/>
        <v>48.63038766902811</v>
      </c>
      <c r="J9" s="6">
        <f t="shared" si="1"/>
        <v>64.000922369089807</v>
      </c>
      <c r="K9" s="6">
        <v>0.77500000000000002</v>
      </c>
      <c r="L9" s="6">
        <f>(C9/C11-1)*100</f>
        <v>-10.793072079145617</v>
      </c>
      <c r="M9" s="6">
        <f>(D9/D11-1)*100</f>
        <v>-24.227356011159117</v>
      </c>
      <c r="N9" s="6">
        <f>(E9/E11-1)*100</f>
        <v>-17.569323090111787</v>
      </c>
      <c r="O9" s="6">
        <f t="shared" si="2"/>
        <v>186.36427700891628</v>
      </c>
      <c r="P9" s="6">
        <f t="shared" si="3"/>
        <v>0.33545569861604929</v>
      </c>
      <c r="Q9" s="6">
        <f t="shared" si="4"/>
        <v>2.795464155133744E-2</v>
      </c>
      <c r="R9" s="6">
        <f>C11*(100-P9)/100</f>
        <v>29833.472070241212</v>
      </c>
      <c r="S9" s="6">
        <f>E11*(100-Q9)/100</f>
        <v>303.20521636763897</v>
      </c>
      <c r="T9" s="6">
        <f t="shared" si="9"/>
        <v>98.393663630337642</v>
      </c>
      <c r="U9" s="6">
        <f>T9/V11-1</f>
        <v>-3.0758704191973241E-3</v>
      </c>
      <c r="V9" s="6">
        <f t="shared" si="5"/>
        <v>106.81069502887954</v>
      </c>
      <c r="W9" s="6">
        <f t="shared" si="6"/>
        <v>3.0006759891841734</v>
      </c>
      <c r="X9" s="6">
        <f t="shared" si="7"/>
        <v>13.904785523431626</v>
      </c>
      <c r="Y9" s="6">
        <f t="shared" si="8"/>
        <v>3.0999504007935873E-3</v>
      </c>
      <c r="Z9" s="6">
        <f>V9/V11-1</f>
        <v>8.2205451477413316E-2</v>
      </c>
      <c r="AA9" s="6">
        <f>W9/W11-1</f>
        <v>-8.0771299844180411E-2</v>
      </c>
      <c r="AB9" s="6">
        <f>X9/X11-1</f>
        <v>-5.6482758924303211E-2</v>
      </c>
      <c r="AC9" s="6">
        <f>Y9/Y11-1</f>
        <v>-0.17672157875946826</v>
      </c>
    </row>
    <row r="10" spans="1:32" s="3" customFormat="1">
      <c r="A10" s="6" t="s">
        <v>215</v>
      </c>
      <c r="B10" s="3">
        <v>4.5</v>
      </c>
      <c r="C10" s="3">
        <v>32009.191999999999</v>
      </c>
      <c r="D10" s="3">
        <v>912.68499999999995</v>
      </c>
      <c r="E10" s="3">
        <v>286.81200000000001</v>
      </c>
      <c r="F10" s="3">
        <v>2551.797</v>
      </c>
      <c r="G10" s="3">
        <v>15452.287</v>
      </c>
      <c r="H10" s="3">
        <v>18197.791000000001</v>
      </c>
      <c r="I10" s="3">
        <f t="shared" si="0"/>
        <v>46.926684199207735</v>
      </c>
      <c r="J10" s="3">
        <f t="shared" si="1"/>
        <v>60.670834314212726</v>
      </c>
      <c r="K10" s="6">
        <v>1.8460000000000001</v>
      </c>
      <c r="L10" s="6">
        <f>(C10/C11-1)*100</f>
        <v>6.9329619638104578</v>
      </c>
      <c r="M10" s="6">
        <f>(D10/D11-1)*100</f>
        <v>-7.8135069017274077</v>
      </c>
      <c r="N10" s="6">
        <f>(E10/E11-1)*100</f>
        <v>-5.4330838471430054</v>
      </c>
      <c r="O10" s="6">
        <f t="shared" si="2"/>
        <v>60.103899244056983</v>
      </c>
      <c r="P10" s="6">
        <f t="shared" si="3"/>
        <v>0.10818701863930257</v>
      </c>
      <c r="Q10" s="6">
        <f t="shared" si="4"/>
        <v>9.0155848866085471E-3</v>
      </c>
      <c r="R10" s="6">
        <f>C11*(100-P10)/100</f>
        <v>29901.502420091841</v>
      </c>
      <c r="S10" s="6">
        <f>E11*(100-Q10)/100</f>
        <v>303.26265663259744</v>
      </c>
      <c r="T10" s="6">
        <f t="shared" si="9"/>
        <v>98.599355265549548</v>
      </c>
      <c r="U10" s="6">
        <f>T10/V11-1</f>
        <v>-9.9180375443641555E-4</v>
      </c>
      <c r="V10" s="6">
        <f t="shared" si="5"/>
        <v>111.60339176882417</v>
      </c>
      <c r="W10" s="6">
        <f t="shared" si="6"/>
        <v>3.182171596725381</v>
      </c>
      <c r="X10" s="6">
        <f t="shared" si="7"/>
        <v>8.8971068156144089</v>
      </c>
      <c r="Y10" s="6">
        <f t="shared" si="8"/>
        <v>6.4362718435769769E-3</v>
      </c>
      <c r="Z10" s="6">
        <f>V10/V11-1</f>
        <v>0.13076503193743871</v>
      </c>
      <c r="AA10" s="6">
        <f>W10/W11-1</f>
        <v>-2.5171837587859125E-2</v>
      </c>
      <c r="AB10" s="6">
        <f>X10/X11-1</f>
        <v>-0.39628168574925637</v>
      </c>
      <c r="AC10" s="6">
        <f>Y10/Y11-1</f>
        <v>0.70933177534015912</v>
      </c>
      <c r="AD10" s="6"/>
      <c r="AE10" s="6"/>
      <c r="AF10" s="6"/>
    </row>
    <row r="11" spans="1:32" s="2" customFormat="1">
      <c r="A11" s="2" t="s">
        <v>42</v>
      </c>
      <c r="B11" s="2">
        <v>6.5</v>
      </c>
      <c r="C11" s="2">
        <v>29933.886999999999</v>
      </c>
      <c r="D11" s="2">
        <v>990.04200000000003</v>
      </c>
      <c r="E11" s="2">
        <v>303.29000000000002</v>
      </c>
      <c r="F11" s="2">
        <v>4469.6400000000003</v>
      </c>
      <c r="G11" s="2">
        <v>12986.198</v>
      </c>
      <c r="H11" s="2">
        <v>18299.145</v>
      </c>
      <c r="I11" s="2">
        <v>46.549202478978096</v>
      </c>
      <c r="J11" s="2">
        <v>46.743821723030102</v>
      </c>
      <c r="K11" s="2">
        <v>1.1419999999999999</v>
      </c>
      <c r="V11" s="2">
        <f t="shared" si="5"/>
        <v>98.697243562267133</v>
      </c>
      <c r="W11" s="2">
        <f t="shared" si="6"/>
        <v>3.264341059711827</v>
      </c>
      <c r="X11" s="2">
        <f t="shared" si="7"/>
        <v>14.737182234824756</v>
      </c>
      <c r="Y11" s="2">
        <f t="shared" si="8"/>
        <v>3.7653730752744891E-3</v>
      </c>
    </row>
    <row r="12" spans="1:32">
      <c r="T12" s="39"/>
      <c r="W12" s="39"/>
      <c r="X12" s="39"/>
      <c r="Y12" s="39" t="s">
        <v>97</v>
      </c>
      <c r="Z12" s="6">
        <f>_xlfn.VAR.P(Z3:Z10)</f>
        <v>9.3657082936565966E-2</v>
      </c>
    </row>
    <row r="13" spans="1:32">
      <c r="T13" s="39"/>
      <c r="W13" s="39"/>
      <c r="X13" s="39"/>
      <c r="Y13" s="39" t="s">
        <v>98</v>
      </c>
      <c r="Z13" s="6">
        <f>AVERAGE(Z3:Z10)</f>
        <v>0.2372390712358535</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9"/>
  <sheetViews>
    <sheetView zoomScale="90" zoomScaleNormal="90" workbookViewId="0">
      <selection activeCell="F19" sqref="F19"/>
    </sheetView>
  </sheetViews>
  <sheetFormatPr defaultRowHeight="14.5"/>
  <cols>
    <col min="1" max="1" width="18.81640625" style="6" customWidth="1"/>
    <col min="2" max="2" width="11.26953125" style="6" customWidth="1"/>
    <col min="3" max="3" width="8.7265625" style="6"/>
    <col min="4" max="4" width="7.26953125" style="6" customWidth="1"/>
    <col min="5" max="17" width="8.7265625" style="6"/>
    <col min="18" max="18" width="13.26953125" style="6" customWidth="1"/>
    <col min="19" max="20" width="12.54296875" style="6" customWidth="1"/>
    <col min="21" max="21" width="17.90625" style="6" customWidth="1"/>
    <col min="22" max="23" width="20" style="6" customWidth="1"/>
    <col min="24" max="25" width="11.90625" style="6" customWidth="1"/>
    <col min="26" max="26" width="13.81640625" style="6" customWidth="1"/>
    <col min="27" max="27" width="18.36328125" style="6" customWidth="1"/>
    <col min="28" max="31" width="8.7265625" style="6"/>
    <col min="32" max="32" width="11" style="6" customWidth="1"/>
    <col min="33" max="33" width="10.26953125" style="6" customWidth="1"/>
    <col min="34" max="16384" width="8.7265625" style="6"/>
  </cols>
  <sheetData>
    <row r="1" spans="1:33">
      <c r="A1" s="81" t="s">
        <v>174</v>
      </c>
      <c r="B1" s="81"/>
      <c r="C1" s="81"/>
      <c r="D1" s="81"/>
      <c r="E1" s="81"/>
      <c r="F1" s="81"/>
      <c r="G1" s="81"/>
      <c r="H1" s="81"/>
      <c r="I1" s="81"/>
      <c r="J1" s="81"/>
      <c r="K1" s="81"/>
      <c r="L1" s="81"/>
      <c r="M1" s="81"/>
      <c r="N1" s="81"/>
      <c r="O1" s="81"/>
      <c r="P1" s="81"/>
      <c r="Q1" s="81"/>
      <c r="R1" s="81"/>
      <c r="S1" s="81"/>
    </row>
    <row r="2" spans="1:33">
      <c r="A2" s="1" t="s">
        <v>197</v>
      </c>
      <c r="B2" s="1" t="s">
        <v>196</v>
      </c>
      <c r="C2" s="1" t="s">
        <v>0</v>
      </c>
      <c r="D2" s="1" t="s">
        <v>1</v>
      </c>
      <c r="E2" s="1" t="s">
        <v>2</v>
      </c>
      <c r="F2" s="1" t="s">
        <v>3</v>
      </c>
      <c r="G2" s="1" t="s">
        <v>48</v>
      </c>
      <c r="H2" s="1" t="s">
        <v>49</v>
      </c>
      <c r="I2" s="1" t="s">
        <v>50</v>
      </c>
      <c r="J2" s="1" t="s">
        <v>4</v>
      </c>
      <c r="K2" s="1" t="s">
        <v>5</v>
      </c>
      <c r="L2" s="1" t="s">
        <v>6</v>
      </c>
      <c r="M2" s="1" t="s">
        <v>45</v>
      </c>
      <c r="N2" s="1" t="s">
        <v>46</v>
      </c>
      <c r="O2" s="1" t="s">
        <v>47</v>
      </c>
      <c r="P2" s="1" t="s">
        <v>51</v>
      </c>
      <c r="Q2" s="1" t="s">
        <v>52</v>
      </c>
      <c r="R2" s="1" t="s">
        <v>7</v>
      </c>
      <c r="S2" s="1" t="s">
        <v>8</v>
      </c>
      <c r="T2" s="1" t="s">
        <v>9</v>
      </c>
      <c r="U2" s="1" t="s">
        <v>10</v>
      </c>
      <c r="V2" s="1" t="s">
        <v>11</v>
      </c>
      <c r="W2" s="1" t="s">
        <v>12</v>
      </c>
      <c r="X2" s="1" t="s">
        <v>13</v>
      </c>
      <c r="Y2" s="1" t="s">
        <v>14</v>
      </c>
      <c r="Z2" s="1" t="s">
        <v>15</v>
      </c>
      <c r="AA2" s="1" t="s">
        <v>460</v>
      </c>
      <c r="AB2" s="1" t="s">
        <v>16</v>
      </c>
      <c r="AC2" s="1" t="s">
        <v>17</v>
      </c>
      <c r="AD2" s="1" t="s">
        <v>107</v>
      </c>
      <c r="AE2" s="1" t="s">
        <v>459</v>
      </c>
      <c r="AF2" s="1" t="s">
        <v>461</v>
      </c>
      <c r="AG2" s="1" t="s">
        <v>462</v>
      </c>
    </row>
    <row r="3" spans="1:33">
      <c r="A3" s="6" t="s">
        <v>217</v>
      </c>
      <c r="B3" s="6" t="s">
        <v>216</v>
      </c>
      <c r="C3" s="6">
        <v>0.06</v>
      </c>
      <c r="D3" s="6">
        <v>15.2</v>
      </c>
      <c r="E3" s="6">
        <v>0.39</v>
      </c>
      <c r="F3" s="6">
        <v>0.15</v>
      </c>
      <c r="G3" s="6">
        <v>0.14000000000000001</v>
      </c>
      <c r="H3" s="6">
        <v>7.07</v>
      </c>
      <c r="I3" s="6">
        <v>0.2</v>
      </c>
      <c r="J3" s="6">
        <f t="shared" ref="J3:J17" si="0">D3*26.98/101.96</f>
        <v>4.0221263240486467</v>
      </c>
      <c r="K3" s="6">
        <f t="shared" ref="K3:K17" si="1">E3*24.305/40.3044</f>
        <v>0.23518399976181262</v>
      </c>
      <c r="L3" s="6">
        <f t="shared" ref="L3:L17" si="2">F3*47.867/79.866</f>
        <v>8.9901209525955969E-2</v>
      </c>
      <c r="M3" s="6">
        <v>0</v>
      </c>
      <c r="N3" s="6">
        <f>H3*39.0983/94.2</f>
        <v>2.9344477813163481</v>
      </c>
      <c r="O3" s="6">
        <f>I3*22.989769/61.9789</f>
        <v>7.4185792261559982E-2</v>
      </c>
      <c r="P3" s="6">
        <f>100*(J5/(J5+M5+N5+O5))</f>
        <v>54.813303682961511</v>
      </c>
      <c r="Q3" s="6">
        <f>100*(J5/(J5+M5+O5))</f>
        <v>95.802097852930416</v>
      </c>
      <c r="R3" s="6">
        <f>(J3/J17-1)*100</f>
        <v>2.3569023569023573</v>
      </c>
      <c r="S3" s="6">
        <f>(K3/K17-1)*100</f>
        <v>-9.3023255813953316</v>
      </c>
      <c r="T3" s="6">
        <f>(L3/L17-1)*100</f>
        <v>3.4482758620689502</v>
      </c>
      <c r="U3" s="6">
        <f>S3/-0.13</f>
        <v>71.556350626117933</v>
      </c>
      <c r="V3" s="6">
        <f>U3*0.0018</f>
        <v>0.12880143112701228</v>
      </c>
      <c r="W3" s="6">
        <f>U3*0.00015</f>
        <v>1.0733452593917689E-2</v>
      </c>
      <c r="X3" s="6">
        <f>J17*(100-V3)/100</f>
        <v>3.9244503060234082</v>
      </c>
      <c r="Y3" s="6">
        <f>L17*(100-W3)/100</f>
        <v>8.6895174688175161E-2</v>
      </c>
      <c r="Z3" s="6">
        <f>X3/Y3</f>
        <v>45.163040641858032</v>
      </c>
      <c r="AA3" s="6">
        <f>Z3/AB17-1</f>
        <v>-1.1808065266398771E-3</v>
      </c>
      <c r="AB3" s="6">
        <f t="shared" ref="AB3:AB17" si="3">J3/L3</f>
        <v>44.739401674984052</v>
      </c>
      <c r="AC3" s="6">
        <f t="shared" ref="AC3:AC17" si="4">K3/L3</f>
        <v>2.616027092426505</v>
      </c>
      <c r="AD3" s="6">
        <f t="shared" ref="AD3:AD17" si="5">M3/L3</f>
        <v>0</v>
      </c>
      <c r="AE3" s="6">
        <f>AB3/AB17-1</f>
        <v>-1.0549943883277124E-2</v>
      </c>
      <c r="AF3" s="6">
        <f t="shared" ref="AF3:AF16" si="6">AC3/1.024036-1</f>
        <v>1.5546241464426105</v>
      </c>
      <c r="AG3" s="6">
        <f t="shared" ref="AG3:AG16" si="7">AD3/1.024036-1</f>
        <v>-1</v>
      </c>
    </row>
    <row r="4" spans="1:33">
      <c r="A4" s="6" t="s">
        <v>218</v>
      </c>
      <c r="B4" s="6" t="s">
        <v>216</v>
      </c>
      <c r="C4" s="6">
        <v>1.02</v>
      </c>
      <c r="D4" s="6">
        <v>16.3</v>
      </c>
      <c r="E4" s="6">
        <v>0.47</v>
      </c>
      <c r="F4" s="6">
        <v>0.12</v>
      </c>
      <c r="G4" s="6">
        <v>0.14000000000000001</v>
      </c>
      <c r="H4" s="6">
        <v>7.93</v>
      </c>
      <c r="I4" s="6">
        <v>0.19</v>
      </c>
      <c r="J4" s="6">
        <f t="shared" si="0"/>
        <v>4.3132012553942722</v>
      </c>
      <c r="K4" s="6">
        <f t="shared" si="1"/>
        <v>0.28342687150782542</v>
      </c>
      <c r="L4" s="6">
        <f t="shared" si="2"/>
        <v>7.1920967620764775E-2</v>
      </c>
      <c r="M4" s="6">
        <f t="shared" ref="M4:M17" si="8">G4*40.078/56.0774</f>
        <v>0.10005670733664544</v>
      </c>
      <c r="N4" s="6">
        <f t="shared" ref="N4:N17" si="9">H4*39.0983/94.2</f>
        <v>3.2913961677282373</v>
      </c>
      <c r="O4" s="6">
        <f t="shared" ref="O4:O17" si="10">I4*22.989769/61.9789</f>
        <v>7.0476502648481973E-2</v>
      </c>
      <c r="P4" s="6">
        <f t="shared" ref="P4:P16" si="11">100*(J4/(J4+M4+N4+O4))</f>
        <v>55.474325241919843</v>
      </c>
      <c r="Q4" s="6">
        <f t="shared" ref="Q4:Q16" si="12">100*(J4/(J4+M4+O4))</f>
        <v>96.19662557401918</v>
      </c>
      <c r="R4" s="6">
        <f>(J4/J17-1)*100</f>
        <v>9.7643097643097541</v>
      </c>
      <c r="S4" s="6">
        <f>(K4/K17-1)*100</f>
        <v>9.302325581395344</v>
      </c>
      <c r="T4" s="6">
        <f>(L4/L17-1)*100</f>
        <v>-17.24137931034484</v>
      </c>
      <c r="U4" s="6">
        <f t="shared" ref="U4:U16" si="13">S4/-0.13</f>
        <v>-71.556350626118032</v>
      </c>
      <c r="V4" s="6">
        <f t="shared" ref="V4:V16" si="14">U4*0.0018</f>
        <v>-0.12880143112701245</v>
      </c>
      <c r="W4" s="6">
        <f t="shared" ref="W4:W16" si="15">U4*0.00015</f>
        <v>-1.0733452593917704E-2</v>
      </c>
      <c r="X4" s="6">
        <f>J17*(100-V4)/100</f>
        <v>3.934572840308487</v>
      </c>
      <c r="Y4" s="6">
        <f>L17*(100-W4)/100</f>
        <v>8.6913830395339745E-2</v>
      </c>
      <c r="Z4" s="6">
        <f t="shared" ref="Z4:Z16" si="16">X4/Y4</f>
        <v>45.269812898724297</v>
      </c>
      <c r="AA4" s="6">
        <f>Z4/AB17-1</f>
        <v>1.1805530712267753E-3</v>
      </c>
      <c r="AB4" s="6">
        <f t="shared" si="3"/>
        <v>59.971401916302632</v>
      </c>
      <c r="AC4" s="6">
        <f t="shared" si="4"/>
        <v>3.9408100430783883</v>
      </c>
      <c r="AD4" s="6">
        <f t="shared" si="5"/>
        <v>1.3912035759062482</v>
      </c>
      <c r="AE4" s="6">
        <f>AB4/AB17-1</f>
        <v>0.32631874298540975</v>
      </c>
      <c r="AF4" s="6">
        <f t="shared" si="6"/>
        <v>2.8483120154744448</v>
      </c>
      <c r="AG4" s="6">
        <f t="shared" si="7"/>
        <v>0.35854948059076852</v>
      </c>
    </row>
    <row r="5" spans="1:33">
      <c r="A5" s="6" t="s">
        <v>220</v>
      </c>
      <c r="B5" s="6" t="s">
        <v>216</v>
      </c>
      <c r="C5" s="6">
        <v>1.5</v>
      </c>
      <c r="D5" s="6">
        <v>16.899999999999999</v>
      </c>
      <c r="E5" s="6">
        <v>0.54</v>
      </c>
      <c r="F5" s="6">
        <v>0.15</v>
      </c>
      <c r="G5" s="6">
        <v>0.16</v>
      </c>
      <c r="H5" s="6">
        <v>8.41</v>
      </c>
      <c r="I5" s="6">
        <v>0.22</v>
      </c>
      <c r="J5" s="6">
        <f t="shared" si="0"/>
        <v>4.4719693997646139</v>
      </c>
      <c r="K5" s="6">
        <f t="shared" si="1"/>
        <v>0.3256393842855867</v>
      </c>
      <c r="L5" s="6">
        <f t="shared" si="2"/>
        <v>8.9901209525955969E-2</v>
      </c>
      <c r="M5" s="6">
        <f t="shared" si="8"/>
        <v>0.11435052267045193</v>
      </c>
      <c r="N5" s="6">
        <f t="shared" si="9"/>
        <v>3.4906231740976645</v>
      </c>
      <c r="O5" s="6">
        <f t="shared" si="10"/>
        <v>8.1604371487715974E-2</v>
      </c>
      <c r="P5" s="6">
        <f t="shared" si="11"/>
        <v>54.813303682961511</v>
      </c>
      <c r="Q5" s="6">
        <f t="shared" si="12"/>
        <v>95.802097852930416</v>
      </c>
      <c r="R5" s="6">
        <f>(J5/J17-1)*100</f>
        <v>13.804713804713797</v>
      </c>
      <c r="S5" s="6">
        <f>(K5/K17-1)*100</f>
        <v>25.581395348837233</v>
      </c>
      <c r="T5" s="6">
        <f>(L5/L17-1)*100</f>
        <v>3.4482758620689502</v>
      </c>
      <c r="U5" s="6">
        <f t="shared" si="13"/>
        <v>-196.77996422182486</v>
      </c>
      <c r="V5" s="6">
        <f t="shared" si="14"/>
        <v>-0.3542039355992847</v>
      </c>
      <c r="W5" s="6">
        <f t="shared" si="15"/>
        <v>-2.9516994633273726E-2</v>
      </c>
      <c r="X5" s="6">
        <f>J17*(100-V5)/100</f>
        <v>3.9434300578079307</v>
      </c>
      <c r="Y5" s="6">
        <f>L17*(100-W5)/100</f>
        <v>8.6930154139108776E-2</v>
      </c>
      <c r="Z5" s="6">
        <f>X5/Y5</f>
        <v>45.363201030306598</v>
      </c>
      <c r="AA5" s="6">
        <f>Z5/AB17-1</f>
        <v>3.2459113141916074E-3</v>
      </c>
      <c r="AB5" s="6">
        <f t="shared" si="3"/>
        <v>49.743150546528319</v>
      </c>
      <c r="AC5" s="6">
        <f t="shared" si="4"/>
        <v>3.6221913587443915</v>
      </c>
      <c r="AD5" s="6">
        <f t="shared" si="5"/>
        <v>1.2719575551142839</v>
      </c>
      <c r="AE5" s="6">
        <f>AB5/AB17-1</f>
        <v>0.10011223344556686</v>
      </c>
      <c r="AF5" s="6">
        <f t="shared" si="6"/>
        <v>2.5371718950743838</v>
      </c>
      <c r="AG5" s="6">
        <f t="shared" si="7"/>
        <v>0.24210238225441683</v>
      </c>
    </row>
    <row r="6" spans="1:33">
      <c r="A6" s="6" t="s">
        <v>219</v>
      </c>
      <c r="B6" s="6" t="s">
        <v>216</v>
      </c>
      <c r="C6" s="6">
        <v>1.77</v>
      </c>
      <c r="D6" s="6">
        <v>16.7</v>
      </c>
      <c r="E6" s="6">
        <v>0.6</v>
      </c>
      <c r="F6" s="6">
        <v>0.19</v>
      </c>
      <c r="G6" s="6">
        <v>0.15</v>
      </c>
      <c r="H6" s="6">
        <v>7.98</v>
      </c>
      <c r="I6" s="6">
        <v>0.2</v>
      </c>
      <c r="J6" s="6">
        <f t="shared" si="0"/>
        <v>4.4190466849745</v>
      </c>
      <c r="K6" s="6">
        <f t="shared" si="1"/>
        <v>0.36182153809509626</v>
      </c>
      <c r="L6" s="6">
        <f t="shared" si="2"/>
        <v>0.11387486539954424</v>
      </c>
      <c r="M6" s="6">
        <f t="shared" si="8"/>
        <v>0.10720361500354868</v>
      </c>
      <c r="N6" s="6">
        <f t="shared" si="9"/>
        <v>3.3121489808917195</v>
      </c>
      <c r="O6" s="6">
        <f t="shared" si="10"/>
        <v>7.4185792261559982E-2</v>
      </c>
      <c r="P6" s="6">
        <f t="shared" si="11"/>
        <v>55.848330781051622</v>
      </c>
      <c r="Q6" s="6">
        <f t="shared" si="12"/>
        <v>96.057125810940164</v>
      </c>
      <c r="R6" s="6">
        <f>(J6/J17-1)*100</f>
        <v>12.457912457912457</v>
      </c>
      <c r="S6" s="6">
        <f>(K6/K17-1)*100</f>
        <v>39.53488372093021</v>
      </c>
      <c r="T6" s="6">
        <f>(L6/L17-1)*100</f>
        <v>31.034482758620683</v>
      </c>
      <c r="U6" s="6">
        <f t="shared" si="13"/>
        <v>-304.11449016100158</v>
      </c>
      <c r="V6" s="6">
        <f t="shared" si="14"/>
        <v>-0.54740608228980281</v>
      </c>
      <c r="W6" s="6">
        <f t="shared" si="15"/>
        <v>-4.5617173524150234E-2</v>
      </c>
      <c r="X6" s="6">
        <f>J17*(100-V6)/100</f>
        <v>3.9510219585217397</v>
      </c>
      <c r="Y6" s="6">
        <f>L17*(100-W6)/100</f>
        <v>8.6944145919482227E-2</v>
      </c>
      <c r="Z6" s="6">
        <f t="shared" si="16"/>
        <v>45.443220089604729</v>
      </c>
      <c r="AA6" s="6">
        <f>Z6/AB17-1</f>
        <v>5.0156011121937905E-3</v>
      </c>
      <c r="AB6" s="6">
        <f t="shared" si="3"/>
        <v>38.806163848973355</v>
      </c>
      <c r="AC6" s="6">
        <f t="shared" si="4"/>
        <v>3.1773608410038516</v>
      </c>
      <c r="AD6" s="6">
        <f t="shared" si="5"/>
        <v>0.94141595362076924</v>
      </c>
      <c r="AE6" s="6">
        <f>AB6/AB17-1</f>
        <v>-0.14176856282119432</v>
      </c>
      <c r="AF6" s="6">
        <f t="shared" si="6"/>
        <v>2.102782364100336</v>
      </c>
      <c r="AG6" s="6">
        <f t="shared" si="7"/>
        <v>-8.068080260775079E-2</v>
      </c>
    </row>
    <row r="7" spans="1:33">
      <c r="A7" s="6" t="s">
        <v>221</v>
      </c>
      <c r="B7" s="6" t="s">
        <v>216</v>
      </c>
      <c r="C7" s="6">
        <v>2.23</v>
      </c>
      <c r="D7" s="6">
        <v>18.100000000000001</v>
      </c>
      <c r="E7" s="6">
        <v>0.5</v>
      </c>
      <c r="F7" s="6">
        <v>0.18</v>
      </c>
      <c r="G7" s="6">
        <v>0.18</v>
      </c>
      <c r="H7" s="6">
        <v>8.34</v>
      </c>
      <c r="I7" s="6">
        <v>0.22</v>
      </c>
      <c r="J7" s="6">
        <f t="shared" si="0"/>
        <v>4.7895056885052965</v>
      </c>
      <c r="K7" s="6">
        <f t="shared" si="1"/>
        <v>0.30151794841258023</v>
      </c>
      <c r="L7" s="6">
        <f t="shared" si="2"/>
        <v>0.10788145143114716</v>
      </c>
      <c r="M7" s="6">
        <f t="shared" si="8"/>
        <v>0.12864433800425842</v>
      </c>
      <c r="N7" s="6">
        <f t="shared" si="9"/>
        <v>3.4615692356687902</v>
      </c>
      <c r="O7" s="6">
        <f t="shared" si="10"/>
        <v>8.1604371487715974E-2</v>
      </c>
      <c r="P7" s="6">
        <f t="shared" si="11"/>
        <v>56.604686168115926</v>
      </c>
      <c r="Q7" s="6">
        <f t="shared" si="12"/>
        <v>95.794819249997701</v>
      </c>
      <c r="R7" s="6">
        <f>(J7/J17-1)*100</f>
        <v>21.885521885521886</v>
      </c>
      <c r="S7" s="6">
        <f>(K7/K17-1)*100</f>
        <v>16.279069767441868</v>
      </c>
      <c r="T7" s="6">
        <f>(L7/L17-1)*100</f>
        <v>24.13793103448274</v>
      </c>
      <c r="U7" s="6">
        <f t="shared" si="13"/>
        <v>-125.22361359570667</v>
      </c>
      <c r="V7" s="6">
        <f t="shared" si="14"/>
        <v>-0.225402504472272</v>
      </c>
      <c r="W7" s="6">
        <f t="shared" si="15"/>
        <v>-1.8783542039355998E-2</v>
      </c>
      <c r="X7" s="6">
        <f>J17*(100-V7)/100</f>
        <v>3.9383687906653915</v>
      </c>
      <c r="Y7" s="6">
        <f>L17*(100-W7)/100</f>
        <v>8.692082628552647E-2</v>
      </c>
      <c r="Z7" s="6">
        <f t="shared" si="16"/>
        <v>45.309840678783154</v>
      </c>
      <c r="AA7" s="6">
        <f>Z7/AB17-1</f>
        <v>2.0658015936183549E-3</v>
      </c>
      <c r="AB7" s="6">
        <f t="shared" si="3"/>
        <v>44.396007144583955</v>
      </c>
      <c r="AC7" s="6">
        <f t="shared" si="4"/>
        <v>2.7949007397719066</v>
      </c>
      <c r="AD7" s="6">
        <f t="shared" si="5"/>
        <v>1.1924602079196411</v>
      </c>
      <c r="AE7" s="6">
        <f>AB7/AB17-1</f>
        <v>-1.8144407033295895E-2</v>
      </c>
      <c r="AF7" s="6">
        <f t="shared" si="6"/>
        <v>1.7292993017549252</v>
      </c>
      <c r="AG7" s="6">
        <f t="shared" si="7"/>
        <v>0.16447098336351584</v>
      </c>
    </row>
    <row r="8" spans="1:33">
      <c r="A8" s="6" t="s">
        <v>222</v>
      </c>
      <c r="B8" s="6" t="s">
        <v>216</v>
      </c>
      <c r="C8" s="6">
        <v>3.58</v>
      </c>
      <c r="D8" s="6">
        <v>16.399999999999999</v>
      </c>
      <c r="E8" s="6">
        <v>0.64</v>
      </c>
      <c r="F8" s="6">
        <v>0.15</v>
      </c>
      <c r="G8" s="6">
        <v>0.14000000000000001</v>
      </c>
      <c r="H8" s="6">
        <v>7.82</v>
      </c>
      <c r="I8" s="6">
        <v>0.21</v>
      </c>
      <c r="J8" s="6">
        <f t="shared" si="0"/>
        <v>4.3396626127893292</v>
      </c>
      <c r="K8" s="6">
        <f t="shared" si="1"/>
        <v>0.38594297396810273</v>
      </c>
      <c r="L8" s="6">
        <f t="shared" si="2"/>
        <v>8.9901209525955969E-2</v>
      </c>
      <c r="M8" s="6">
        <f t="shared" si="8"/>
        <v>0.10005670733664544</v>
      </c>
      <c r="N8" s="6">
        <f t="shared" si="9"/>
        <v>3.2457399787685777</v>
      </c>
      <c r="O8" s="6">
        <f t="shared" si="10"/>
        <v>7.7895081874637964E-2</v>
      </c>
      <c r="P8" s="6">
        <f t="shared" si="11"/>
        <v>55.899323925482804</v>
      </c>
      <c r="Q8" s="6">
        <f t="shared" si="12"/>
        <v>96.060934524812964</v>
      </c>
      <c r="R8" s="6">
        <f>(J8/J17-1)*100</f>
        <v>10.437710437710424</v>
      </c>
      <c r="S8" s="6">
        <f>(K8/K17-1)*100</f>
        <v>48.837209302325604</v>
      </c>
      <c r="T8" s="6">
        <f>(L8/L17-1)*100</f>
        <v>3.4482758620689502</v>
      </c>
      <c r="U8" s="6">
        <f t="shared" si="13"/>
        <v>-375.67084078712003</v>
      </c>
      <c r="V8" s="6">
        <f t="shared" si="14"/>
        <v>-0.67620751341681606</v>
      </c>
      <c r="W8" s="6">
        <f t="shared" si="15"/>
        <v>-5.6350626118068001E-2</v>
      </c>
      <c r="X8" s="6">
        <f>J17*(100-V8)/100</f>
        <v>3.9560832256642788</v>
      </c>
      <c r="Y8" s="6">
        <f>L17*(100-W8)/100</f>
        <v>8.6953473773064532E-2</v>
      </c>
      <c r="Z8" s="6">
        <f t="shared" si="16"/>
        <v>45.496551822519017</v>
      </c>
      <c r="AA8" s="6">
        <f>Z8/AB17-1</f>
        <v>6.1950779077977192E-3</v>
      </c>
      <c r="AB8" s="6">
        <f t="shared" si="3"/>
        <v>48.271459701956474</v>
      </c>
      <c r="AC8" s="6">
        <f t="shared" si="4"/>
        <v>4.2929675362896491</v>
      </c>
      <c r="AD8" s="6">
        <f t="shared" si="5"/>
        <v>1.1129628607249986</v>
      </c>
      <c r="AE8" s="6">
        <f>AB8/AB17-1</f>
        <v>6.7564534231201012E-2</v>
      </c>
      <c r="AF8" s="6">
        <f t="shared" si="6"/>
        <v>3.1922037274955661</v>
      </c>
      <c r="AG8" s="6">
        <f t="shared" si="7"/>
        <v>8.6839584472614861E-2</v>
      </c>
    </row>
    <row r="9" spans="1:33">
      <c r="A9" s="6" t="s">
        <v>223</v>
      </c>
      <c r="B9" s="6" t="s">
        <v>216</v>
      </c>
      <c r="C9" s="6">
        <v>4.5999999999999996</v>
      </c>
      <c r="D9" s="6">
        <v>17.5</v>
      </c>
      <c r="E9" s="6">
        <v>0.75</v>
      </c>
      <c r="F9" s="6">
        <v>0.28000000000000003</v>
      </c>
      <c r="G9" s="6">
        <v>0.21</v>
      </c>
      <c r="H9" s="6">
        <v>7.75</v>
      </c>
      <c r="I9" s="6">
        <v>0.21</v>
      </c>
      <c r="J9" s="6">
        <f t="shared" si="0"/>
        <v>4.6307375441349556</v>
      </c>
      <c r="K9" s="6">
        <f t="shared" si="1"/>
        <v>0.45227692261887031</v>
      </c>
      <c r="L9" s="6">
        <f t="shared" si="2"/>
        <v>0.16781559111511782</v>
      </c>
      <c r="M9" s="6">
        <f t="shared" si="8"/>
        <v>0.15008506100496816</v>
      </c>
      <c r="N9" s="6">
        <f t="shared" si="9"/>
        <v>3.2166860403397024</v>
      </c>
      <c r="O9" s="6">
        <f t="shared" si="10"/>
        <v>7.7895081874637964E-2</v>
      </c>
      <c r="P9" s="6">
        <f t="shared" si="11"/>
        <v>57.343727948226309</v>
      </c>
      <c r="Q9" s="6">
        <f t="shared" si="12"/>
        <v>95.307812522449979</v>
      </c>
      <c r="R9" s="6">
        <f>(J9/J17-1)*100</f>
        <v>17.845117845117862</v>
      </c>
      <c r="S9" s="6">
        <f>(K9/K17-1)*100</f>
        <v>74.418604651162767</v>
      </c>
      <c r="T9" s="6">
        <f>(L9/L17-1)*100</f>
        <v>93.103448275862036</v>
      </c>
      <c r="U9" s="6">
        <f t="shared" si="13"/>
        <v>-572.45080500894437</v>
      </c>
      <c r="V9" s="6">
        <f t="shared" si="14"/>
        <v>-1.0304114490160998</v>
      </c>
      <c r="W9" s="6">
        <f t="shared" si="15"/>
        <v>-8.5867620751341647E-2</v>
      </c>
      <c r="X9" s="6">
        <f>J17*(100-V9)/100</f>
        <v>3.9700017103062621</v>
      </c>
      <c r="Y9" s="6">
        <f>L17*(100-W9)/100</f>
        <v>8.6979125370415855E-2</v>
      </c>
      <c r="Z9" s="6">
        <f t="shared" si="16"/>
        <v>45.64315510646162</v>
      </c>
      <c r="AA9" s="6">
        <f>Z9/AB17-1</f>
        <v>9.4373346679057502E-3</v>
      </c>
      <c r="AB9" s="6">
        <f t="shared" si="3"/>
        <v>27.594203335722074</v>
      </c>
      <c r="AC9" s="6">
        <f t="shared" si="4"/>
        <v>2.6950828562086242</v>
      </c>
      <c r="AD9" s="6">
        <f t="shared" si="5"/>
        <v>0.89434515593973085</v>
      </c>
      <c r="AE9" s="6">
        <f>AB9/AB17-1</f>
        <v>-0.38973063973063959</v>
      </c>
      <c r="AF9" s="6">
        <f t="shared" si="6"/>
        <v>1.6318243266922496</v>
      </c>
      <c r="AG9" s="6">
        <f t="shared" si="7"/>
        <v>-0.12664676247736317</v>
      </c>
    </row>
    <row r="10" spans="1:33">
      <c r="A10" s="6" t="s">
        <v>224</v>
      </c>
      <c r="B10" s="6" t="s">
        <v>216</v>
      </c>
      <c r="C10" s="6">
        <v>5.41</v>
      </c>
      <c r="D10" s="6">
        <v>16</v>
      </c>
      <c r="E10" s="6">
        <v>0.65</v>
      </c>
      <c r="F10" s="6">
        <v>0.17</v>
      </c>
      <c r="G10" s="6">
        <v>0.16</v>
      </c>
      <c r="H10" s="6">
        <v>7.75</v>
      </c>
      <c r="I10" s="6">
        <v>0.21</v>
      </c>
      <c r="J10" s="6">
        <f t="shared" si="0"/>
        <v>4.2338171832091023</v>
      </c>
      <c r="K10" s="6">
        <f t="shared" si="1"/>
        <v>0.39197333293635439</v>
      </c>
      <c r="L10" s="6">
        <f t="shared" si="2"/>
        <v>0.1018880374627501</v>
      </c>
      <c r="M10" s="6">
        <f t="shared" si="8"/>
        <v>0.11435052267045193</v>
      </c>
      <c r="N10" s="6">
        <f t="shared" si="9"/>
        <v>3.2166860403397024</v>
      </c>
      <c r="O10" s="6">
        <f t="shared" si="10"/>
        <v>7.7895081874637964E-2</v>
      </c>
      <c r="P10" s="6">
        <f t="shared" si="11"/>
        <v>55.396523926654005</v>
      </c>
      <c r="Q10" s="6">
        <f t="shared" si="12"/>
        <v>95.656509774850349</v>
      </c>
      <c r="R10" s="6">
        <f>(J10/J17-1)*100</f>
        <v>7.7441077441077422</v>
      </c>
      <c r="S10" s="6">
        <f>(K10/K17-1)*100</f>
        <v>51.162790697674446</v>
      </c>
      <c r="T10" s="6">
        <f>(L10/L17-1)*100</f>
        <v>17.241379310344819</v>
      </c>
      <c r="U10" s="6">
        <f t="shared" si="13"/>
        <v>-393.55992844364954</v>
      </c>
      <c r="V10" s="6">
        <f t="shared" si="14"/>
        <v>-0.70840787119856918</v>
      </c>
      <c r="W10" s="6">
        <f t="shared" si="15"/>
        <v>-5.9033989266547425E-2</v>
      </c>
      <c r="X10" s="6">
        <f>J17*(100-V10)/100</f>
        <v>3.9573485424499144</v>
      </c>
      <c r="Y10" s="6">
        <f>L17*(100-W10)/100</f>
        <v>8.6955805736460098E-2</v>
      </c>
      <c r="Z10" s="6">
        <f t="shared" si="16"/>
        <v>45.509882967947931</v>
      </c>
      <c r="AA10" s="6">
        <f>Z10/AB17-1</f>
        <v>6.4899075679831775E-3</v>
      </c>
      <c r="AB10" s="6">
        <f t="shared" si="3"/>
        <v>41.553623846734418</v>
      </c>
      <c r="AC10" s="6">
        <f t="shared" si="4"/>
        <v>3.8470986653330956</v>
      </c>
      <c r="AD10" s="6">
        <f t="shared" si="5"/>
        <v>1.1223154898067211</v>
      </c>
      <c r="AE10" s="6">
        <f>AB10/AB17-1</f>
        <v>-8.1006139829669088E-2</v>
      </c>
      <c r="AF10" s="6">
        <f t="shared" si="6"/>
        <v>2.7568002153567801</v>
      </c>
      <c r="AG10" s="6">
        <f t="shared" si="7"/>
        <v>9.5972690224485513E-2</v>
      </c>
    </row>
    <row r="11" spans="1:33">
      <c r="A11" s="6" t="s">
        <v>225</v>
      </c>
      <c r="B11" s="6" t="s">
        <v>216</v>
      </c>
      <c r="C11" s="6">
        <v>5.89</v>
      </c>
      <c r="D11" s="6">
        <v>15.5</v>
      </c>
      <c r="E11" s="6">
        <v>0.68</v>
      </c>
      <c r="F11" s="6">
        <v>0.15</v>
      </c>
      <c r="G11" s="6">
        <v>0.16</v>
      </c>
      <c r="H11" s="6">
        <v>7.5</v>
      </c>
      <c r="I11" s="6">
        <v>0.19</v>
      </c>
      <c r="J11" s="6">
        <f t="shared" si="0"/>
        <v>4.1015103962338175</v>
      </c>
      <c r="K11" s="6">
        <f t="shared" si="1"/>
        <v>0.41006440984110915</v>
      </c>
      <c r="L11" s="6">
        <f t="shared" si="2"/>
        <v>8.9901209525955969E-2</v>
      </c>
      <c r="M11" s="6">
        <f t="shared" si="8"/>
        <v>0.11435052267045193</v>
      </c>
      <c r="N11" s="6">
        <f t="shared" si="9"/>
        <v>3.1129219745222931</v>
      </c>
      <c r="O11" s="6">
        <f t="shared" si="10"/>
        <v>7.0476502648481973E-2</v>
      </c>
      <c r="P11" s="6">
        <f t="shared" si="11"/>
        <v>55.431363825540082</v>
      </c>
      <c r="Q11" s="6">
        <f t="shared" si="12"/>
        <v>95.687996367491309</v>
      </c>
      <c r="R11" s="6">
        <f>(J11/J17-1)*100</f>
        <v>4.3771043771043683</v>
      </c>
      <c r="S11" s="6">
        <f>(K11/K17-1)*100</f>
        <v>58.139534883720941</v>
      </c>
      <c r="T11" s="6">
        <f>(L11/L17-1)*100</f>
        <v>3.4482758620689502</v>
      </c>
      <c r="U11" s="6">
        <f t="shared" si="13"/>
        <v>-447.22719141323802</v>
      </c>
      <c r="V11" s="6">
        <f t="shared" si="14"/>
        <v>-0.80500894454382843</v>
      </c>
      <c r="W11" s="6">
        <f t="shared" si="15"/>
        <v>-6.7084078711985698E-2</v>
      </c>
      <c r="X11" s="6">
        <f>J17*(100-V11)/100</f>
        <v>3.9611444928068185</v>
      </c>
      <c r="Y11" s="6">
        <f>L17*(100-W11)/100</f>
        <v>8.6962801626646838E-2</v>
      </c>
      <c r="Z11" s="6">
        <f t="shared" si="16"/>
        <v>45.549872114435864</v>
      </c>
      <c r="AA11" s="6">
        <f>Z11/AB17-1</f>
        <v>7.3743016759775237E-3</v>
      </c>
      <c r="AB11" s="6">
        <f t="shared" si="3"/>
        <v>45.622416181727161</v>
      </c>
      <c r="AC11" s="6">
        <f t="shared" si="4"/>
        <v>4.5612780073077523</v>
      </c>
      <c r="AD11" s="6">
        <f t="shared" si="5"/>
        <v>1.2719575551142839</v>
      </c>
      <c r="AE11" s="6">
        <f>AB11/AB17-1</f>
        <v>8.9786756453424932E-3</v>
      </c>
      <c r="AF11" s="6">
        <f t="shared" si="6"/>
        <v>3.4542164604640391</v>
      </c>
      <c r="AG11" s="6">
        <f t="shared" si="7"/>
        <v>0.24210238225441683</v>
      </c>
    </row>
    <row r="12" spans="1:33">
      <c r="A12" s="6" t="s">
        <v>226</v>
      </c>
      <c r="B12" s="6" t="s">
        <v>216</v>
      </c>
      <c r="C12" s="6">
        <v>7.04</v>
      </c>
      <c r="D12" s="6">
        <v>14.5</v>
      </c>
      <c r="E12" s="6">
        <v>0.59</v>
      </c>
      <c r="F12" s="6">
        <v>0.13</v>
      </c>
      <c r="G12" s="6">
        <v>0.15</v>
      </c>
      <c r="H12" s="6">
        <v>7.58</v>
      </c>
      <c r="I12" s="6">
        <v>0.18</v>
      </c>
      <c r="J12" s="6">
        <f t="shared" si="0"/>
        <v>3.8368968222832485</v>
      </c>
      <c r="K12" s="6">
        <f t="shared" si="1"/>
        <v>0.35579117912684466</v>
      </c>
      <c r="L12" s="6">
        <f t="shared" si="2"/>
        <v>7.7914381589161849E-2</v>
      </c>
      <c r="M12" s="6">
        <f t="shared" si="8"/>
        <v>0.10720361500354868</v>
      </c>
      <c r="N12" s="6">
        <f t="shared" si="9"/>
        <v>3.146126475583864</v>
      </c>
      <c r="O12" s="6">
        <f t="shared" si="10"/>
        <v>6.6767213035403977E-2</v>
      </c>
      <c r="P12" s="6">
        <f t="shared" si="11"/>
        <v>53.610450906965127</v>
      </c>
      <c r="Q12" s="6">
        <f t="shared" si="12"/>
        <v>95.662513869661666</v>
      </c>
      <c r="R12" s="6">
        <f>(J12/J17-1)*100</f>
        <v>-2.3569023569023573</v>
      </c>
      <c r="S12" s="6">
        <f>(K12/K17-1)*100</f>
        <v>37.209302325581397</v>
      </c>
      <c r="T12" s="6">
        <f>(L12/L17-1)*100</f>
        <v>-10.344827586206906</v>
      </c>
      <c r="U12" s="6">
        <f t="shared" si="13"/>
        <v>-286.2254025044723</v>
      </c>
      <c r="V12" s="6">
        <f t="shared" si="14"/>
        <v>-0.51520572450805013</v>
      </c>
      <c r="W12" s="6">
        <f t="shared" si="15"/>
        <v>-4.2933810375670844E-2</v>
      </c>
      <c r="X12" s="6">
        <f>J17*(100-V12)/100</f>
        <v>3.949756641736105</v>
      </c>
      <c r="Y12" s="6">
        <f>L17*(100-W12)/100</f>
        <v>8.6941813956086647E-2</v>
      </c>
      <c r="Z12" s="6">
        <f t="shared" si="16"/>
        <v>45.429885368288765</v>
      </c>
      <c r="AA12" s="6">
        <f>Z12/AB17-1</f>
        <v>4.7206923682139301E-3</v>
      </c>
      <c r="AB12" s="6">
        <f t="shared" si="3"/>
        <v>49.245039799134766</v>
      </c>
      <c r="AC12" s="6">
        <f t="shared" si="4"/>
        <v>4.5664378240580996</v>
      </c>
      <c r="AD12" s="6">
        <f t="shared" si="5"/>
        <v>1.3759156245226627</v>
      </c>
      <c r="AE12" s="6">
        <f>AB12/AB17-1</f>
        <v>8.9096089096089015E-2</v>
      </c>
      <c r="AF12" s="6">
        <f t="shared" si="6"/>
        <v>3.459255166867278</v>
      </c>
      <c r="AG12" s="6">
        <f t="shared" si="7"/>
        <v>0.34362036541944119</v>
      </c>
    </row>
    <row r="13" spans="1:33">
      <c r="A13" s="6" t="s">
        <v>227</v>
      </c>
      <c r="B13" s="6" t="s">
        <v>216</v>
      </c>
      <c r="C13" s="6">
        <v>10.31</v>
      </c>
      <c r="D13" s="6">
        <v>15.1</v>
      </c>
      <c r="E13" s="6">
        <v>0.45</v>
      </c>
      <c r="F13" s="6">
        <v>0.14000000000000001</v>
      </c>
      <c r="G13" s="6">
        <v>0.57999999999999996</v>
      </c>
      <c r="H13" s="6">
        <v>4.25</v>
      </c>
      <c r="I13" s="6">
        <v>4.12</v>
      </c>
      <c r="J13" s="6">
        <f t="shared" si="0"/>
        <v>3.9956649666535902</v>
      </c>
      <c r="K13" s="6">
        <f t="shared" si="1"/>
        <v>0.27136615357132227</v>
      </c>
      <c r="L13" s="6">
        <f t="shared" si="2"/>
        <v>8.3907795557558909E-2</v>
      </c>
      <c r="M13" s="6">
        <f t="shared" si="8"/>
        <v>0.41452064468038818</v>
      </c>
      <c r="N13" s="6">
        <f t="shared" si="9"/>
        <v>1.763989118895966</v>
      </c>
      <c r="O13" s="6">
        <f t="shared" si="10"/>
        <v>1.5282273205881356</v>
      </c>
      <c r="P13" s="6">
        <f t="shared" si="11"/>
        <v>51.875569988315604</v>
      </c>
      <c r="Q13" s="6">
        <f t="shared" si="12"/>
        <v>67.285064418049728</v>
      </c>
      <c r="R13" s="6">
        <f>(J13/J17-1)*100</f>
        <v>1.6835016835016869</v>
      </c>
      <c r="S13" s="6">
        <f>(K13/K17-1)*100</f>
        <v>4.6511627906977049</v>
      </c>
      <c r="T13" s="6">
        <f>(L13/L17-1)*100</f>
        <v>-3.4482758620689835</v>
      </c>
      <c r="U13" s="6">
        <f t="shared" si="13"/>
        <v>-35.778175313059265</v>
      </c>
      <c r="V13" s="6">
        <f t="shared" si="14"/>
        <v>-6.4400715563506669E-2</v>
      </c>
      <c r="W13" s="6">
        <f t="shared" si="15"/>
        <v>-5.3667262969588894E-3</v>
      </c>
      <c r="X13" s="6">
        <f>J17*(100-V13)/100</f>
        <v>3.9320422067372176</v>
      </c>
      <c r="Y13" s="6">
        <f>L17*(100-W13)/100</f>
        <v>8.6909166468548585E-2</v>
      </c>
      <c r="Z13" s="6">
        <f t="shared" si="16"/>
        <v>45.243124131908203</v>
      </c>
      <c r="AA13" s="6">
        <f>Z13/AB17-1</f>
        <v>5.9030821243966081E-4</v>
      </c>
      <c r="AB13" s="6">
        <f t="shared" si="3"/>
        <v>47.619710899360378</v>
      </c>
      <c r="AC13" s="6">
        <f t="shared" si="4"/>
        <v>3.2340994274503498</v>
      </c>
      <c r="AD13" s="6">
        <f t="shared" si="5"/>
        <v>4.9401922899527984</v>
      </c>
      <c r="AE13" s="6">
        <f>AB13/AB17-1</f>
        <v>5.3150553150553392E-2</v>
      </c>
      <c r="AF13" s="6">
        <f t="shared" si="6"/>
        <v>2.1581891920306999</v>
      </c>
      <c r="AG13" s="6">
        <f t="shared" si="7"/>
        <v>3.8242369310774214</v>
      </c>
    </row>
    <row r="14" spans="1:33">
      <c r="A14" s="6" t="s">
        <v>228</v>
      </c>
      <c r="B14" s="6" t="s">
        <v>216</v>
      </c>
      <c r="C14" s="6">
        <v>19.55</v>
      </c>
      <c r="D14" s="6">
        <v>13.3</v>
      </c>
      <c r="E14" s="6">
        <v>1.08</v>
      </c>
      <c r="F14" s="6">
        <v>0.13</v>
      </c>
      <c r="G14" s="6">
        <v>0.24</v>
      </c>
      <c r="H14" s="6">
        <v>5.45</v>
      </c>
      <c r="I14" s="6">
        <v>1.78</v>
      </c>
      <c r="J14" s="6">
        <f t="shared" si="0"/>
        <v>3.5193605335425659</v>
      </c>
      <c r="K14" s="6">
        <f t="shared" si="1"/>
        <v>0.65127876857117339</v>
      </c>
      <c r="L14" s="6">
        <f t="shared" si="2"/>
        <v>7.7914381589161849E-2</v>
      </c>
      <c r="M14" s="6">
        <f t="shared" si="8"/>
        <v>0.17152578400567786</v>
      </c>
      <c r="N14" s="6">
        <f t="shared" si="9"/>
        <v>2.2620566348195332</v>
      </c>
      <c r="O14" s="6">
        <f t="shared" si="10"/>
        <v>0.66025355112788375</v>
      </c>
      <c r="P14" s="6">
        <f t="shared" si="11"/>
        <v>53.2172381643623</v>
      </c>
      <c r="Q14" s="6">
        <f t="shared" si="12"/>
        <v>80.883645200156778</v>
      </c>
      <c r="R14" s="6">
        <f>(J14/J17-1)*100</f>
        <v>-10.437710437710434</v>
      </c>
      <c r="S14" s="6">
        <f>(K14/K17-1)*100</f>
        <v>151.16279069767447</v>
      </c>
      <c r="T14" s="6">
        <f>(L14/L17-1)*100</f>
        <v>-10.344827586206906</v>
      </c>
      <c r="U14" s="6">
        <f t="shared" si="13"/>
        <v>-1162.7906976744189</v>
      </c>
      <c r="V14" s="6">
        <f t="shared" si="14"/>
        <v>-2.0930232558139541</v>
      </c>
      <c r="W14" s="6">
        <f t="shared" si="15"/>
        <v>-0.17441860465116282</v>
      </c>
      <c r="X14" s="6">
        <f>J17*(100-V14)/100</f>
        <v>4.0117571642322121</v>
      </c>
      <c r="Y14" s="6">
        <f>L17*(100-W14)/100</f>
        <v>8.7056080162469823E-2</v>
      </c>
      <c r="Z14" s="6">
        <f t="shared" si="16"/>
        <v>46.082446587822531</v>
      </c>
      <c r="AA14" s="6">
        <f>Z14/AB17-1</f>
        <v>1.9152640742890359E-2</v>
      </c>
      <c r="AB14" s="6">
        <f t="shared" si="3"/>
        <v>45.169588229551202</v>
      </c>
      <c r="AC14" s="6">
        <f t="shared" si="4"/>
        <v>8.3589031355639793</v>
      </c>
      <c r="AD14" s="6">
        <f t="shared" si="5"/>
        <v>2.20146499923626</v>
      </c>
      <c r="AE14" s="6">
        <f>AB14/AB17-1</f>
        <v>-1.0360010360009886E-3</v>
      </c>
      <c r="AF14" s="6">
        <f t="shared" si="6"/>
        <v>7.1627043732485767</v>
      </c>
      <c r="AG14" s="6">
        <f t="shared" si="7"/>
        <v>1.1497925846711055</v>
      </c>
    </row>
    <row r="15" spans="1:33">
      <c r="A15" s="6" t="s">
        <v>229</v>
      </c>
      <c r="B15" s="6" t="s">
        <v>216</v>
      </c>
      <c r="C15" s="6">
        <v>28.57</v>
      </c>
      <c r="D15" s="6">
        <v>15.7</v>
      </c>
      <c r="E15" s="6">
        <v>0.56000000000000005</v>
      </c>
      <c r="F15" s="6">
        <v>0.15</v>
      </c>
      <c r="G15" s="6">
        <v>0.2</v>
      </c>
      <c r="H15" s="6">
        <v>6.1</v>
      </c>
      <c r="I15" s="6">
        <v>2.75</v>
      </c>
      <c r="J15" s="6">
        <f t="shared" si="0"/>
        <v>4.1544331110239314</v>
      </c>
      <c r="K15" s="6">
        <f t="shared" si="1"/>
        <v>0.3377001022220899</v>
      </c>
      <c r="L15" s="6">
        <f t="shared" si="2"/>
        <v>8.9901209525955969E-2</v>
      </c>
      <c r="M15" s="6">
        <f t="shared" si="8"/>
        <v>0.14293815333806492</v>
      </c>
      <c r="N15" s="6">
        <f t="shared" si="9"/>
        <v>2.5318432059447984</v>
      </c>
      <c r="O15" s="6">
        <f t="shared" si="10"/>
        <v>1.0200546435964497</v>
      </c>
      <c r="P15" s="6">
        <f t="shared" si="11"/>
        <v>52.927642698162458</v>
      </c>
      <c r="Q15" s="6">
        <f t="shared" si="12"/>
        <v>78.128650646661669</v>
      </c>
      <c r="R15" s="6">
        <f>(J15/J17-1)*100</f>
        <v>5.7239057239057312</v>
      </c>
      <c r="S15" s="6">
        <f>(K15/K17-1)*100</f>
        <v>30.232558139534895</v>
      </c>
      <c r="T15" s="6">
        <f>(L15/L17-1)*100</f>
        <v>3.4482758620689502</v>
      </c>
      <c r="U15" s="6">
        <f t="shared" si="13"/>
        <v>-232.55813953488379</v>
      </c>
      <c r="V15" s="6">
        <f t="shared" si="14"/>
        <v>-0.41860465116279083</v>
      </c>
      <c r="W15" s="6">
        <f t="shared" si="15"/>
        <v>-3.4883720930232565E-2</v>
      </c>
      <c r="X15" s="6">
        <f>J17*(100-V15)/100</f>
        <v>3.9459606913792009</v>
      </c>
      <c r="Y15" s="6">
        <f>L17*(100-W15)/100</f>
        <v>8.6934818065899935E-2</v>
      </c>
      <c r="Z15" s="6">
        <f t="shared" si="16"/>
        <v>45.389876912010223</v>
      </c>
      <c r="AA15" s="6">
        <f>Z15/AB17-1</f>
        <v>3.8358712077182222E-3</v>
      </c>
      <c r="AB15" s="6">
        <f t="shared" si="3"/>
        <v>46.211092519555898</v>
      </c>
      <c r="AC15" s="6">
        <f t="shared" si="4"/>
        <v>3.7563465942534431</v>
      </c>
      <c r="AD15" s="6">
        <f t="shared" si="5"/>
        <v>1.5899469438928551</v>
      </c>
      <c r="AE15" s="6">
        <f>AB15/AB17-1</f>
        <v>2.1997755331088831E-2</v>
      </c>
      <c r="AF15" s="6">
        <f t="shared" si="6"/>
        <v>2.6681782615586203</v>
      </c>
      <c r="AG15" s="6">
        <f t="shared" si="7"/>
        <v>0.5526279778180212</v>
      </c>
    </row>
    <row r="16" spans="1:33">
      <c r="A16" s="6" t="s">
        <v>230</v>
      </c>
      <c r="B16" s="6" t="s">
        <v>216</v>
      </c>
      <c r="C16" s="6">
        <v>34.5</v>
      </c>
      <c r="D16" s="6">
        <v>15.4</v>
      </c>
      <c r="E16" s="6">
        <v>0.25</v>
      </c>
      <c r="F16" s="6">
        <v>0.14000000000000001</v>
      </c>
      <c r="G16" s="6">
        <v>0.31</v>
      </c>
      <c r="H16" s="6">
        <v>4.4400000000000004</v>
      </c>
      <c r="I16" s="6">
        <v>4.87</v>
      </c>
      <c r="J16" s="6">
        <f t="shared" si="0"/>
        <v>4.0750490388387606</v>
      </c>
      <c r="K16" s="6">
        <f t="shared" si="1"/>
        <v>0.15075897420629011</v>
      </c>
      <c r="L16" s="6">
        <f t="shared" si="2"/>
        <v>8.3907795557558909E-2</v>
      </c>
      <c r="M16" s="6">
        <f t="shared" si="8"/>
        <v>0.22155413767400062</v>
      </c>
      <c r="N16" s="6">
        <f t="shared" si="9"/>
        <v>1.8428498089171976</v>
      </c>
      <c r="O16" s="6">
        <f t="shared" si="10"/>
        <v>1.8064240415689856</v>
      </c>
      <c r="P16" s="6">
        <f t="shared" si="11"/>
        <v>51.285075580610318</v>
      </c>
      <c r="Q16" s="6">
        <f t="shared" si="12"/>
        <v>66.770946502833993</v>
      </c>
      <c r="R16" s="6">
        <f>(J16/J17-1)*100</f>
        <v>3.7037037037036979</v>
      </c>
      <c r="S16" s="6">
        <f>(K16/K17-1)*100</f>
        <v>-41.860465116279066</v>
      </c>
      <c r="T16" s="6">
        <f>(L16/L17-1)*100</f>
        <v>-3.4482758620689835</v>
      </c>
      <c r="U16" s="6">
        <f t="shared" si="13"/>
        <v>322.00357781753127</v>
      </c>
      <c r="V16" s="6">
        <f t="shared" si="14"/>
        <v>0.57960644007155626</v>
      </c>
      <c r="W16" s="6">
        <f t="shared" si="15"/>
        <v>4.8300536672629686E-2</v>
      </c>
      <c r="X16" s="6">
        <f>J17*(100-V16)/100</f>
        <v>3.9067358710245208</v>
      </c>
      <c r="Y16" s="6">
        <f>L17*(100-W16)/100</f>
        <v>8.6862527200637113E-2</v>
      </c>
      <c r="Z16" s="6">
        <f t="shared" si="16"/>
        <v>44.976078833173368</v>
      </c>
      <c r="AA16" s="6">
        <f>Z16/AB17-1</f>
        <v>-5.3156265101212963E-3</v>
      </c>
      <c r="AB16" s="6">
        <f t="shared" si="3"/>
        <v>48.565797870870846</v>
      </c>
      <c r="AC16" s="6">
        <f t="shared" si="4"/>
        <v>1.7967219041390827</v>
      </c>
      <c r="AD16" s="6">
        <f t="shared" si="5"/>
        <v>2.6404476032506339</v>
      </c>
      <c r="AE16" s="6">
        <f>AB16/AB17-1</f>
        <v>7.4074074074074181E-2</v>
      </c>
      <c r="AF16" s="6">
        <f t="shared" si="6"/>
        <v>0.75454955112816613</v>
      </c>
      <c r="AG16" s="6">
        <f t="shared" si="7"/>
        <v>1.5784714631620704</v>
      </c>
    </row>
    <row r="17" spans="1:31" s="2" customFormat="1">
      <c r="A17" s="2" t="s">
        <v>231</v>
      </c>
      <c r="B17" s="2" t="s">
        <v>42</v>
      </c>
      <c r="C17" s="2" t="s">
        <v>156</v>
      </c>
      <c r="D17" s="2">
        <f>AVERAGE(14.7,15)</f>
        <v>14.85</v>
      </c>
      <c r="E17" s="2">
        <f>AVERAGE(0.47,0.39)</f>
        <v>0.43</v>
      </c>
      <c r="F17" s="2">
        <f>AVERAGE(0.16,0.13)</f>
        <v>0.14500000000000002</v>
      </c>
      <c r="G17" s="2">
        <f>AVERAGE(0.65,0.84)</f>
        <v>0.745</v>
      </c>
      <c r="H17" s="2">
        <f>AVERAGE(3.88,4.3)</f>
        <v>4.09</v>
      </c>
      <c r="I17" s="2">
        <f>AVERAGE(4.19,4.17)</f>
        <v>4.18</v>
      </c>
      <c r="J17" s="2">
        <f t="shared" si="0"/>
        <v>3.9295115731659478</v>
      </c>
      <c r="K17" s="2">
        <f t="shared" si="1"/>
        <v>0.259305435634819</v>
      </c>
      <c r="L17" s="2">
        <f t="shared" si="2"/>
        <v>8.6904502541757453E-2</v>
      </c>
      <c r="M17" s="2">
        <f t="shared" si="8"/>
        <v>0.53244462118429181</v>
      </c>
      <c r="N17" s="2">
        <f t="shared" si="9"/>
        <v>1.6975801167728237</v>
      </c>
      <c r="O17" s="2">
        <f t="shared" si="10"/>
        <v>1.5504830582666034</v>
      </c>
      <c r="AB17" s="2">
        <f t="shared" si="3"/>
        <v>45.216432500465956</v>
      </c>
      <c r="AC17" s="2">
        <f t="shared" si="4"/>
        <v>2.9837974794254558</v>
      </c>
      <c r="AD17" s="2">
        <f t="shared" si="5"/>
        <v>6.1267783096560864</v>
      </c>
    </row>
    <row r="18" spans="1:31">
      <c r="Z18" s="39"/>
      <c r="AC18" s="39"/>
      <c r="AD18" s="39" t="s">
        <v>97</v>
      </c>
      <c r="AE18" s="6">
        <f>_xlfn.VAR.P(AE3:AE16)</f>
        <v>2.2584066911749082E-2</v>
      </c>
    </row>
    <row r="19" spans="1:31">
      <c r="AD19" s="39" t="s">
        <v>98</v>
      </c>
      <c r="AE19" s="6">
        <f>AVERAGE(AE3:AE16)</f>
        <v>7.0754974018034655E-3</v>
      </c>
    </row>
  </sheetData>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0"/>
  <sheetViews>
    <sheetView zoomScale="90" zoomScaleNormal="90" workbookViewId="0">
      <selection activeCell="H36" sqref="H36"/>
    </sheetView>
  </sheetViews>
  <sheetFormatPr defaultRowHeight="14.5"/>
  <cols>
    <col min="1" max="1" width="12.54296875" style="6" customWidth="1"/>
    <col min="2" max="2" width="11.1796875" customWidth="1"/>
    <col min="3" max="3" width="7.26953125" customWidth="1"/>
    <col min="6" max="8" width="8.7265625" style="6"/>
    <col min="12" max="17" width="8.7265625" style="6"/>
    <col min="18" max="19" width="9.6328125" style="6" customWidth="1"/>
    <col min="20" max="23" width="10.26953125" style="6" customWidth="1"/>
    <col min="24" max="24" width="13.26953125" customWidth="1"/>
    <col min="25" max="26" width="12.54296875" customWidth="1"/>
    <col min="27" max="27" width="17.90625" customWidth="1"/>
    <col min="28" max="29" width="20" customWidth="1"/>
    <col min="30" max="31" width="11.90625" customWidth="1"/>
    <col min="32" max="32" width="13.81640625" customWidth="1"/>
    <col min="33" max="33" width="16.453125" customWidth="1"/>
    <col min="36" max="36" width="8.7265625" style="6"/>
    <col min="37" max="37" width="10.26953125" customWidth="1"/>
    <col min="38" max="38" width="10.26953125" style="6" customWidth="1"/>
    <col min="39" max="39" width="9.6328125" customWidth="1"/>
    <col min="42" max="42" width="11" customWidth="1"/>
    <col min="43" max="43" width="11" style="6" customWidth="1"/>
    <col min="44" max="47" width="8.7265625" style="6"/>
  </cols>
  <sheetData>
    <row r="1" spans="1:47" s="6" customFormat="1">
      <c r="A1" s="81" t="s">
        <v>175</v>
      </c>
      <c r="B1" s="81"/>
      <c r="C1" s="81"/>
      <c r="D1" s="81"/>
      <c r="E1" s="81"/>
      <c r="F1" s="81"/>
      <c r="G1" s="81"/>
      <c r="H1" s="81"/>
      <c r="I1" s="81"/>
      <c r="J1" s="81"/>
      <c r="K1" s="81"/>
      <c r="L1" s="81"/>
      <c r="M1" s="81"/>
      <c r="N1" s="81"/>
      <c r="O1" s="81"/>
      <c r="P1" s="81"/>
      <c r="Q1" s="81"/>
    </row>
    <row r="2" spans="1:47">
      <c r="A2" s="1" t="s">
        <v>196</v>
      </c>
      <c r="B2" s="1" t="s">
        <v>18</v>
      </c>
      <c r="C2" s="1" t="s">
        <v>1</v>
      </c>
      <c r="D2" s="1" t="s">
        <v>2</v>
      </c>
      <c r="E2" s="1" t="s">
        <v>3</v>
      </c>
      <c r="F2" s="1" t="s">
        <v>48</v>
      </c>
      <c r="G2" s="1" t="s">
        <v>49</v>
      </c>
      <c r="H2" s="1" t="s">
        <v>50</v>
      </c>
      <c r="I2" s="1" t="s">
        <v>4</v>
      </c>
      <c r="J2" s="1" t="s">
        <v>5</v>
      </c>
      <c r="K2" s="1" t="s">
        <v>6</v>
      </c>
      <c r="L2" s="1" t="s">
        <v>45</v>
      </c>
      <c r="M2" s="1" t="s">
        <v>46</v>
      </c>
      <c r="N2" s="1" t="s">
        <v>47</v>
      </c>
      <c r="O2" s="1" t="s">
        <v>51</v>
      </c>
      <c r="P2" s="1" t="s">
        <v>52</v>
      </c>
      <c r="Q2" s="1" t="s">
        <v>110</v>
      </c>
      <c r="R2" s="1" t="s">
        <v>109</v>
      </c>
      <c r="S2" s="1" t="s">
        <v>378</v>
      </c>
      <c r="T2" s="1" t="s">
        <v>108</v>
      </c>
      <c r="U2" s="1" t="s">
        <v>120</v>
      </c>
      <c r="V2" s="1" t="s">
        <v>121</v>
      </c>
      <c r="W2" s="1" t="s">
        <v>122</v>
      </c>
      <c r="X2" s="1" t="s">
        <v>7</v>
      </c>
      <c r="Y2" s="1" t="s">
        <v>8</v>
      </c>
      <c r="Z2" s="1" t="s">
        <v>9</v>
      </c>
      <c r="AA2" s="1" t="s">
        <v>10</v>
      </c>
      <c r="AB2" s="1" t="s">
        <v>11</v>
      </c>
      <c r="AC2" s="1" t="s">
        <v>12</v>
      </c>
      <c r="AD2" s="1" t="s">
        <v>13</v>
      </c>
      <c r="AE2" s="1" t="s">
        <v>14</v>
      </c>
      <c r="AF2" s="1" t="s">
        <v>15</v>
      </c>
      <c r="AG2" s="1" t="s">
        <v>460</v>
      </c>
      <c r="AH2" s="1" t="s">
        <v>16</v>
      </c>
      <c r="AI2" s="1" t="s">
        <v>17</v>
      </c>
      <c r="AJ2" s="1" t="s">
        <v>107</v>
      </c>
      <c r="AK2" s="1" t="s">
        <v>134</v>
      </c>
      <c r="AL2" s="1" t="s">
        <v>136</v>
      </c>
      <c r="AM2" s="1" t="s">
        <v>135</v>
      </c>
      <c r="AN2" s="1" t="s">
        <v>106</v>
      </c>
      <c r="AO2" s="1" t="s">
        <v>459</v>
      </c>
      <c r="AP2" s="1" t="s">
        <v>461</v>
      </c>
      <c r="AQ2" s="1" t="s">
        <v>462</v>
      </c>
      <c r="AR2" s="1" t="s">
        <v>465</v>
      </c>
      <c r="AS2" s="1" t="s">
        <v>464</v>
      </c>
      <c r="AT2" s="1" t="s">
        <v>463</v>
      </c>
      <c r="AU2" s="1" t="s">
        <v>466</v>
      </c>
    </row>
    <row r="3" spans="1:47">
      <c r="A3" s="6" t="s">
        <v>232</v>
      </c>
      <c r="B3">
        <v>822</v>
      </c>
      <c r="C3">
        <v>12.8</v>
      </c>
      <c r="D3">
        <v>1.34</v>
      </c>
      <c r="E3">
        <v>0.69</v>
      </c>
      <c r="F3" s="6">
        <v>0.08</v>
      </c>
      <c r="G3" s="6">
        <v>3.35</v>
      </c>
      <c r="H3" s="6">
        <v>0</v>
      </c>
      <c r="I3">
        <f t="shared" ref="I3:I18" si="0">C3*26.98/101.96</f>
        <v>3.3870537465672821</v>
      </c>
      <c r="J3">
        <f t="shared" ref="J3:J18" si="1">D3*24.305/40.3044</f>
        <v>0.80806810174571508</v>
      </c>
      <c r="K3">
        <f>E3*47.867/79.866</f>
        <v>0.41354556381939739</v>
      </c>
      <c r="L3" s="6">
        <f>F3*40.078/56.0774</f>
        <v>5.7175261335225963E-2</v>
      </c>
      <c r="M3" s="6">
        <f>G3*39.0983/94.2</f>
        <v>1.3904384819532909</v>
      </c>
      <c r="N3" s="6">
        <f>H3*22.989769/61.9789</f>
        <v>0</v>
      </c>
      <c r="O3" s="6">
        <f>100*(I3/(I3+L3+M3+N3))</f>
        <v>70.057635890659895</v>
      </c>
      <c r="P3" s="6">
        <f>100*(I3/(I3+L3+N3))</f>
        <v>98.339969229570926</v>
      </c>
      <c r="Q3" s="6">
        <v>143</v>
      </c>
      <c r="R3" s="6">
        <v>9</v>
      </c>
      <c r="S3" s="6">
        <v>153</v>
      </c>
      <c r="T3" s="6">
        <v>63</v>
      </c>
      <c r="U3" s="6">
        <f t="shared" ref="U3:U18" si="2">Q3/10000</f>
        <v>1.43E-2</v>
      </c>
      <c r="V3" s="6">
        <f t="shared" ref="V3:V18" si="3">R3/10000</f>
        <v>8.9999999999999998E-4</v>
      </c>
      <c r="W3" s="6">
        <f t="shared" ref="W3:W18" si="4">T3/10000</f>
        <v>6.3E-3</v>
      </c>
      <c r="X3">
        <f>(I3/I18-1)*100</f>
        <v>-16.339869281045736</v>
      </c>
      <c r="Y3">
        <f>(J3/J18-1)*100</f>
        <v>-32.323232323232318</v>
      </c>
      <c r="Z3">
        <f>(K3/K18-1)*100</f>
        <v>13.114754098360626</v>
      </c>
      <c r="AA3">
        <f>Y3/-0.13</f>
        <v>248.64024864024859</v>
      </c>
      <c r="AB3">
        <f>AA3*0.0018</f>
        <v>0.44755244755244744</v>
      </c>
      <c r="AC3">
        <f>AA3*0.00015</f>
        <v>3.7296037296037282E-2</v>
      </c>
      <c r="AD3">
        <f>I18*(100-AB3)/100</f>
        <v>4.0304681281840953</v>
      </c>
      <c r="AE3">
        <f>K18*(100-AC3)/100</f>
        <v>0.36546189841177446</v>
      </c>
      <c r="AF3">
        <f t="shared" ref="AF3:AF17" si="5">AD3/AE3</f>
        <v>11.028422239636244</v>
      </c>
      <c r="AG3">
        <f>AF3/AH18-1</f>
        <v>-4.1040947672792427E-3</v>
      </c>
      <c r="AH3">
        <f t="shared" ref="AH3:AH18" si="6">I3/K3</f>
        <v>8.1902794828346117</v>
      </c>
      <c r="AI3">
        <f t="shared" ref="AI3:AI18" si="7">J3/K3</f>
        <v>1.9540001693709683</v>
      </c>
      <c r="AJ3" s="6">
        <f t="shared" ref="AJ3:AJ18" si="8">L3/K3</f>
        <v>0.13825625599068306</v>
      </c>
      <c r="AK3">
        <f t="shared" ref="AK3:AK18" si="9">U3/K3</f>
        <v>3.457901922083019E-2</v>
      </c>
      <c r="AL3" s="6">
        <f t="shared" ref="AL3:AL18" si="10">V3/K3</f>
        <v>2.1763019090032987E-3</v>
      </c>
      <c r="AM3">
        <f t="shared" ref="AM3:AM18" si="11">W3/K3</f>
        <v>1.5234113363023091E-2</v>
      </c>
      <c r="AN3">
        <f t="shared" ref="AN3:AN18" si="12">W3/V3</f>
        <v>7</v>
      </c>
      <c r="AO3">
        <f t="shared" ref="AO3:AU3" si="13">AH3/AH18-1</f>
        <v>-0.26039594581794046</v>
      </c>
      <c r="AP3">
        <f t="shared" si="13"/>
        <v>-0.40169814082857547</v>
      </c>
      <c r="AQ3" s="6">
        <f t="shared" si="13"/>
        <v>-0.98291675418329483</v>
      </c>
      <c r="AR3" s="6">
        <f t="shared" si="13"/>
        <v>-0.24749827467218743</v>
      </c>
      <c r="AS3" s="6">
        <f t="shared" si="13"/>
        <v>0.28330995792426394</v>
      </c>
      <c r="AT3" s="6">
        <f t="shared" si="13"/>
        <v>1.2278260869565223</v>
      </c>
      <c r="AU3" s="6">
        <f t="shared" si="13"/>
        <v>0.73599999999999999</v>
      </c>
    </row>
    <row r="4" spans="1:47">
      <c r="A4" s="6" t="s">
        <v>232</v>
      </c>
      <c r="B4">
        <v>893</v>
      </c>
      <c r="C4">
        <v>13.1</v>
      </c>
      <c r="D4">
        <v>1.52</v>
      </c>
      <c r="E4">
        <v>0.66</v>
      </c>
      <c r="F4" s="6">
        <v>0.03</v>
      </c>
      <c r="G4" s="6">
        <v>3.82</v>
      </c>
      <c r="H4" s="6">
        <v>0</v>
      </c>
      <c r="I4">
        <f t="shared" si="0"/>
        <v>3.466437818752452</v>
      </c>
      <c r="J4">
        <f t="shared" si="1"/>
        <v>0.91661456317424406</v>
      </c>
      <c r="K4" s="6">
        <f t="shared" ref="K4:K18" si="14">E4*47.867/79.866</f>
        <v>0.39556532191420629</v>
      </c>
      <c r="L4" s="6">
        <f t="shared" ref="L4:L18" si="15">F4*40.078/56.0774</f>
        <v>2.1440723000709733E-2</v>
      </c>
      <c r="M4" s="6">
        <f t="shared" ref="M4:M18" si="16">G4*39.0983/94.2</f>
        <v>1.5855149256900212</v>
      </c>
      <c r="N4" s="6">
        <f t="shared" ref="N4:N18" si="17">H4*22.989769/61.9789</f>
        <v>0</v>
      </c>
      <c r="O4" s="6">
        <f t="shared" ref="O4:O17" si="18">100*(I4/(I4+L4+M4+N4))</f>
        <v>68.325822568211294</v>
      </c>
      <c r="P4" s="6">
        <f t="shared" ref="P4:P17" si="19">100*(I4/(I4+L4+N4))</f>
        <v>99.385278967026963</v>
      </c>
      <c r="Q4" s="6">
        <v>476</v>
      </c>
      <c r="R4" s="6">
        <v>12</v>
      </c>
      <c r="S4" s="6">
        <v>149</v>
      </c>
      <c r="T4" s="6">
        <v>140</v>
      </c>
      <c r="U4" s="6">
        <f t="shared" si="2"/>
        <v>4.7600000000000003E-2</v>
      </c>
      <c r="V4" s="6">
        <f t="shared" si="3"/>
        <v>1.1999999999999999E-3</v>
      </c>
      <c r="W4" s="6">
        <f t="shared" si="4"/>
        <v>1.4E-2</v>
      </c>
      <c r="X4">
        <f>(I4/I18-1)*100</f>
        <v>-14.379084967320265</v>
      </c>
      <c r="Y4">
        <f>(J4/J18-1)*100</f>
        <v>-23.232323232323225</v>
      </c>
      <c r="Z4">
        <f>(K4/K18-1)*100</f>
        <v>8.196721311475418</v>
      </c>
      <c r="AA4" s="6">
        <f t="shared" ref="AA4:AA17" si="20">Y4/-0.13</f>
        <v>178.71017871017864</v>
      </c>
      <c r="AB4" s="6">
        <f t="shared" ref="AB4:AB17" si="21">AA4*0.0018</f>
        <v>0.32167832167832155</v>
      </c>
      <c r="AC4" s="6">
        <f t="shared" ref="AC4:AC17" si="22">AA4*0.00015</f>
        <v>2.6806526806526794E-2</v>
      </c>
      <c r="AD4">
        <f>I18*(100-AB4)/100</f>
        <v>4.0355642525383608</v>
      </c>
      <c r="AE4">
        <f>K18*(100-AC4)/100</f>
        <v>0.36550024787877505</v>
      </c>
      <c r="AF4">
        <f t="shared" si="5"/>
        <v>11.041207977174425</v>
      </c>
      <c r="AG4">
        <f>AF4/AH18-1</f>
        <v>-2.9495086095340239E-3</v>
      </c>
      <c r="AH4">
        <f t="shared" si="6"/>
        <v>8.7632500290414335</v>
      </c>
      <c r="AI4">
        <f t="shared" si="7"/>
        <v>2.3172267951563446</v>
      </c>
      <c r="AJ4" s="6">
        <f t="shared" si="8"/>
        <v>5.420273672362004E-2</v>
      </c>
      <c r="AK4" s="6">
        <f t="shared" si="9"/>
        <v>0.12033410757458642</v>
      </c>
      <c r="AL4" s="6">
        <f t="shared" si="10"/>
        <v>3.0336329640652032E-3</v>
      </c>
      <c r="AM4" s="6">
        <f t="shared" si="11"/>
        <v>3.5392384580760709E-2</v>
      </c>
      <c r="AN4" s="6">
        <f t="shared" si="12"/>
        <v>11.666666666666668</v>
      </c>
      <c r="AO4">
        <f t="shared" ref="AO4:AU4" si="23">AH4/AH18-1</f>
        <v>-0.20865517924341448</v>
      </c>
      <c r="AP4">
        <f t="shared" si="23"/>
        <v>-0.29048056320783588</v>
      </c>
      <c r="AQ4" s="6">
        <f t="shared" si="23"/>
        <v>-0.99330259112867814</v>
      </c>
      <c r="AR4" s="6">
        <f t="shared" si="23"/>
        <v>1.6186868686868694</v>
      </c>
      <c r="AS4" s="6">
        <f t="shared" si="23"/>
        <v>0.78885630498533699</v>
      </c>
      <c r="AT4" s="6">
        <f t="shared" si="23"/>
        <v>4.1757575757575758</v>
      </c>
      <c r="AU4" s="6">
        <f t="shared" si="23"/>
        <v>1.8933333333333335</v>
      </c>
    </row>
    <row r="5" spans="1:47">
      <c r="A5" s="6" t="s">
        <v>232</v>
      </c>
      <c r="B5">
        <v>909</v>
      </c>
      <c r="C5">
        <v>12.6</v>
      </c>
      <c r="D5">
        <v>1.36</v>
      </c>
      <c r="E5">
        <v>0.5</v>
      </c>
      <c r="F5" s="6">
        <v>0.03</v>
      </c>
      <c r="G5" s="6">
        <v>3.84</v>
      </c>
      <c r="H5" s="6">
        <v>0</v>
      </c>
      <c r="I5">
        <f t="shared" si="0"/>
        <v>3.3341310317771673</v>
      </c>
      <c r="J5">
        <f t="shared" si="1"/>
        <v>0.82012881968221829</v>
      </c>
      <c r="K5" s="6">
        <f t="shared" si="14"/>
        <v>0.29967069841985322</v>
      </c>
      <c r="L5" s="6">
        <f t="shared" si="15"/>
        <v>2.1440723000709733E-2</v>
      </c>
      <c r="M5" s="6">
        <f t="shared" si="16"/>
        <v>1.593816050955414</v>
      </c>
      <c r="N5" s="6">
        <f t="shared" si="17"/>
        <v>0</v>
      </c>
      <c r="O5" s="6">
        <f t="shared" si="18"/>
        <v>67.364513807444297</v>
      </c>
      <c r="P5" s="6">
        <f t="shared" si="19"/>
        <v>99.361041140897044</v>
      </c>
      <c r="Q5" s="6">
        <v>90</v>
      </c>
      <c r="R5" s="6">
        <v>4.3</v>
      </c>
      <c r="S5" s="6">
        <v>155</v>
      </c>
      <c r="T5" s="6">
        <v>120</v>
      </c>
      <c r="U5" s="6">
        <f t="shared" si="2"/>
        <v>8.9999999999999993E-3</v>
      </c>
      <c r="V5" s="6">
        <f t="shared" si="3"/>
        <v>4.2999999999999999E-4</v>
      </c>
      <c r="W5" s="6">
        <f t="shared" si="4"/>
        <v>1.2E-2</v>
      </c>
      <c r="X5">
        <f>(I5/I18-1)*100</f>
        <v>-17.647058823529427</v>
      </c>
      <c r="Y5">
        <f>(J5/J18-1)*100</f>
        <v>-31.313131313131315</v>
      </c>
      <c r="Z5">
        <f>(K5/K18-1)*100</f>
        <v>-18.032786885245912</v>
      </c>
      <c r="AA5" s="6">
        <f t="shared" si="20"/>
        <v>240.87024087024088</v>
      </c>
      <c r="AB5" s="6">
        <f t="shared" si="21"/>
        <v>0.43356643356643354</v>
      </c>
      <c r="AC5" s="6">
        <f t="shared" si="22"/>
        <v>3.6130536130536128E-2</v>
      </c>
      <c r="AD5">
        <f>I18*(100-AB5)/100</f>
        <v>4.0310343642234576</v>
      </c>
      <c r="AE5">
        <f>K18*(100-AC5)/100</f>
        <v>0.3654661594636634</v>
      </c>
      <c r="AF5">
        <f t="shared" si="5"/>
        <v>11.029843009648735</v>
      </c>
      <c r="AG5">
        <f>AF5/AH18-1</f>
        <v>-3.9757954505709181E-3</v>
      </c>
      <c r="AH5">
        <f t="shared" si="6"/>
        <v>11.125982784963139</v>
      </c>
      <c r="AI5">
        <f t="shared" si="7"/>
        <v>2.7367668043846511</v>
      </c>
      <c r="AJ5" s="6">
        <f t="shared" si="8"/>
        <v>7.1547612475178463E-2</v>
      </c>
      <c r="AK5" s="6">
        <f t="shared" si="9"/>
        <v>3.0032966344245515E-2</v>
      </c>
      <c r="AL5" s="6">
        <f t="shared" si="10"/>
        <v>1.4349083920028414E-3</v>
      </c>
      <c r="AM5" s="6">
        <f t="shared" si="11"/>
        <v>4.0043955125660689E-2</v>
      </c>
      <c r="AN5" s="6">
        <f t="shared" si="12"/>
        <v>27.906976744186046</v>
      </c>
      <c r="AO5">
        <f t="shared" ref="AO5:AU5" si="24">AH5/AH18-1</f>
        <v>4.7058823529411153E-3</v>
      </c>
      <c r="AP5">
        <f t="shared" si="24"/>
        <v>-0.16202020202020206</v>
      </c>
      <c r="AQ5" s="6">
        <f t="shared" si="24"/>
        <v>-0.99115942028985504</v>
      </c>
      <c r="AR5" s="6">
        <f t="shared" si="24"/>
        <v>-0.34642857142857131</v>
      </c>
      <c r="AS5" s="6">
        <f t="shared" si="24"/>
        <v>-0.15387096774193543</v>
      </c>
      <c r="AT5" s="6">
        <f t="shared" si="24"/>
        <v>4.8560000000000008</v>
      </c>
      <c r="AU5" s="6">
        <f t="shared" si="24"/>
        <v>5.9209302325581392</v>
      </c>
    </row>
    <row r="6" spans="1:47">
      <c r="A6" s="6" t="s">
        <v>232</v>
      </c>
      <c r="B6">
        <v>929</v>
      </c>
      <c r="C6">
        <v>27.9</v>
      </c>
      <c r="D6">
        <v>1.3</v>
      </c>
      <c r="E6">
        <v>2.62</v>
      </c>
      <c r="F6" s="6">
        <v>0.04</v>
      </c>
      <c r="G6" s="6">
        <v>10.029999999999999</v>
      </c>
      <c r="H6" s="6">
        <v>0.1</v>
      </c>
      <c r="I6">
        <f t="shared" si="0"/>
        <v>7.3827187132208714</v>
      </c>
      <c r="J6">
        <f t="shared" si="1"/>
        <v>0.78394666587270878</v>
      </c>
      <c r="K6" s="6">
        <f t="shared" si="14"/>
        <v>1.5702744597200311</v>
      </c>
      <c r="L6" s="6">
        <f t="shared" si="15"/>
        <v>2.8587630667612982E-2</v>
      </c>
      <c r="M6" s="6">
        <f t="shared" si="16"/>
        <v>4.1630143205944803</v>
      </c>
      <c r="N6" s="6">
        <f t="shared" si="17"/>
        <v>3.7092896130779991E-2</v>
      </c>
      <c r="O6" s="6">
        <f t="shared" si="18"/>
        <v>63.58156717682737</v>
      </c>
      <c r="P6" s="6">
        <f t="shared" si="19"/>
        <v>99.118192719242273</v>
      </c>
      <c r="Q6" s="6">
        <v>342</v>
      </c>
      <c r="R6" s="6">
        <v>11</v>
      </c>
      <c r="S6" s="6">
        <v>478</v>
      </c>
      <c r="T6" s="6">
        <v>34</v>
      </c>
      <c r="U6" s="6">
        <f t="shared" si="2"/>
        <v>3.4200000000000001E-2</v>
      </c>
      <c r="V6" s="6">
        <f t="shared" si="3"/>
        <v>1.1000000000000001E-3</v>
      </c>
      <c r="W6" s="6">
        <f t="shared" si="4"/>
        <v>3.3999999999999998E-3</v>
      </c>
      <c r="X6">
        <f>(I6/I18-1)*100</f>
        <v>82.35294117647058</v>
      </c>
      <c r="Y6">
        <f>(J6/J18-1)*100</f>
        <v>-34.343434343434332</v>
      </c>
      <c r="Z6">
        <f>(K6/K18-1)*100</f>
        <v>329.50819672131149</v>
      </c>
      <c r="AA6" s="6">
        <f t="shared" si="20"/>
        <v>264.18026418026409</v>
      </c>
      <c r="AB6" s="6">
        <f t="shared" si="21"/>
        <v>0.47552447552447535</v>
      </c>
      <c r="AC6" s="6">
        <f t="shared" si="22"/>
        <v>3.9627039627039611E-2</v>
      </c>
      <c r="AD6">
        <f>I18*(100-AB6)/100</f>
        <v>4.0293356561053697</v>
      </c>
      <c r="AE6">
        <f>K18*(100-AC6)/100</f>
        <v>0.36545337630799657</v>
      </c>
      <c r="AF6">
        <f t="shared" si="5"/>
        <v>11.025580600217328</v>
      </c>
      <c r="AG6">
        <f>AF6/AH18-1</f>
        <v>-4.3607023762330943E-3</v>
      </c>
      <c r="AH6">
        <f t="shared" si="6"/>
        <v>4.7015467057505083</v>
      </c>
      <c r="AI6">
        <f t="shared" si="7"/>
        <v>0.49924181153177577</v>
      </c>
      <c r="AJ6" s="6">
        <f t="shared" si="8"/>
        <v>1.8205499357551773E-2</v>
      </c>
      <c r="AK6" s="6">
        <f t="shared" si="9"/>
        <v>2.1779632081704761E-2</v>
      </c>
      <c r="AL6" s="6">
        <f t="shared" si="10"/>
        <v>7.0051448216009468E-4</v>
      </c>
      <c r="AM6" s="6">
        <f t="shared" si="11"/>
        <v>2.1652265812221105E-3</v>
      </c>
      <c r="AN6" s="6">
        <f t="shared" si="12"/>
        <v>3.0909090909090904</v>
      </c>
      <c r="AO6">
        <f t="shared" ref="AO6:AU6" si="25">AH6/AH18-1</f>
        <v>-0.57543780871127082</v>
      </c>
      <c r="AP6">
        <f t="shared" si="25"/>
        <v>-0.84713547690646929</v>
      </c>
      <c r="AQ6" s="6">
        <f t="shared" si="25"/>
        <v>-0.99775048862337279</v>
      </c>
      <c r="AR6" s="6">
        <f t="shared" si="25"/>
        <v>-0.52603598691384956</v>
      </c>
      <c r="AS6" s="6">
        <f t="shared" si="25"/>
        <v>-0.58692440285643932</v>
      </c>
      <c r="AT6" s="6">
        <f t="shared" si="25"/>
        <v>-0.68335877862595429</v>
      </c>
      <c r="AU6" s="6">
        <f t="shared" si="25"/>
        <v>-0.23345454545454558</v>
      </c>
    </row>
    <row r="7" spans="1:47">
      <c r="A7" s="6" t="s">
        <v>232</v>
      </c>
      <c r="B7">
        <v>946</v>
      </c>
      <c r="C7">
        <v>14.1</v>
      </c>
      <c r="D7">
        <v>1.37</v>
      </c>
      <c r="E7">
        <v>0.77</v>
      </c>
      <c r="F7" s="6">
        <v>0.08</v>
      </c>
      <c r="G7" s="6">
        <v>4.24</v>
      </c>
      <c r="H7" s="6">
        <v>0</v>
      </c>
      <c r="I7">
        <f t="shared" si="0"/>
        <v>3.7310513927030211</v>
      </c>
      <c r="J7">
        <f t="shared" si="1"/>
        <v>0.82615917865046995</v>
      </c>
      <c r="K7" s="6">
        <f t="shared" si="14"/>
        <v>0.46149287556657403</v>
      </c>
      <c r="L7" s="6">
        <f t="shared" si="15"/>
        <v>5.7175261335225963E-2</v>
      </c>
      <c r="M7" s="6">
        <f t="shared" si="16"/>
        <v>1.7598385562632699</v>
      </c>
      <c r="N7" s="6">
        <f t="shared" si="17"/>
        <v>0</v>
      </c>
      <c r="O7" s="6">
        <f t="shared" si="18"/>
        <v>67.249595152113443</v>
      </c>
      <c r="P7" s="6">
        <f t="shared" si="19"/>
        <v>98.490711708754887</v>
      </c>
      <c r="Q7" s="6">
        <v>415</v>
      </c>
      <c r="R7" s="6">
        <v>16</v>
      </c>
      <c r="S7" s="6">
        <v>180</v>
      </c>
      <c r="T7" s="6">
        <v>97</v>
      </c>
      <c r="U7" s="6">
        <f t="shared" si="2"/>
        <v>4.1500000000000002E-2</v>
      </c>
      <c r="V7" s="6">
        <f t="shared" si="3"/>
        <v>1.6000000000000001E-3</v>
      </c>
      <c r="W7" s="6">
        <f t="shared" si="4"/>
        <v>9.7000000000000003E-3</v>
      </c>
      <c r="X7">
        <f>(I7/I18-1)*100</f>
        <v>-7.8431372549019551</v>
      </c>
      <c r="Y7">
        <f>(J7/J18-1)*100</f>
        <v>-30.808080808080806</v>
      </c>
      <c r="Z7">
        <f>(K7/K18-1)*100</f>
        <v>26.229508196721319</v>
      </c>
      <c r="AA7" s="6">
        <f t="shared" si="20"/>
        <v>236.98523698523695</v>
      </c>
      <c r="AB7" s="6">
        <f t="shared" si="21"/>
        <v>0.42657342657342651</v>
      </c>
      <c r="AC7" s="6">
        <f t="shared" si="22"/>
        <v>3.5547785547785538E-2</v>
      </c>
      <c r="AD7">
        <f>I18*(100-AB7)/100</f>
        <v>4.0313174822431401</v>
      </c>
      <c r="AE7">
        <f>K18*(100-AC7)/100</f>
        <v>0.36546828998960784</v>
      </c>
      <c r="AF7">
        <f t="shared" si="5"/>
        <v>11.03055338223125</v>
      </c>
      <c r="AG7">
        <f>AF7/AH18-1</f>
        <v>-3.9116469141126098E-3</v>
      </c>
      <c r="AH7">
        <f t="shared" si="6"/>
        <v>8.0847432110894797</v>
      </c>
      <c r="AI7">
        <f t="shared" si="7"/>
        <v>1.7901883699422134</v>
      </c>
      <c r="AJ7" s="6">
        <f t="shared" si="8"/>
        <v>0.12389196965398867</v>
      </c>
      <c r="AK7" s="6">
        <f t="shared" si="9"/>
        <v>8.9925548577647105E-2</v>
      </c>
      <c r="AL7" s="6">
        <f t="shared" si="10"/>
        <v>3.467009101788804E-3</v>
      </c>
      <c r="AM7" s="6">
        <f t="shared" si="11"/>
        <v>2.1018742679594624E-2</v>
      </c>
      <c r="AN7" s="6">
        <f t="shared" si="12"/>
        <v>6.0625</v>
      </c>
      <c r="AO7">
        <f t="shared" ref="AO7:AU7" si="26">AH7/AH18-1</f>
        <v>-0.26992615227909345</v>
      </c>
      <c r="AP7">
        <f t="shared" si="26"/>
        <v>-0.45185622458349739</v>
      </c>
      <c r="AQ7" s="6">
        <f t="shared" si="26"/>
        <v>-0.98469163686554995</v>
      </c>
      <c r="AR7" s="6">
        <f t="shared" si="26"/>
        <v>0.95694186765615363</v>
      </c>
      <c r="AS7" s="6">
        <f t="shared" si="26"/>
        <v>1.0444072056975284</v>
      </c>
      <c r="AT7" s="6">
        <f t="shared" si="26"/>
        <v>2.0737662337662335</v>
      </c>
      <c r="AU7" s="6">
        <f t="shared" si="26"/>
        <v>0.50350000000000006</v>
      </c>
    </row>
    <row r="8" spans="1:47">
      <c r="A8" s="6" t="s">
        <v>216</v>
      </c>
      <c r="B8">
        <v>965</v>
      </c>
      <c r="C8">
        <v>24.7</v>
      </c>
      <c r="D8">
        <v>1.76</v>
      </c>
      <c r="E8">
        <v>2.08</v>
      </c>
      <c r="F8" s="6">
        <v>7.0000000000000007E-2</v>
      </c>
      <c r="G8" s="6">
        <v>7.73</v>
      </c>
      <c r="H8" s="6">
        <v>0</v>
      </c>
      <c r="I8">
        <f t="shared" si="0"/>
        <v>6.5359552765790507</v>
      </c>
      <c r="J8">
        <f t="shared" si="1"/>
        <v>1.0613431784122824</v>
      </c>
      <c r="K8" s="6">
        <f t="shared" si="14"/>
        <v>1.2466301054265896</v>
      </c>
      <c r="L8" s="6">
        <f t="shared" si="15"/>
        <v>5.0028353668322721E-2</v>
      </c>
      <c r="M8" s="6">
        <f t="shared" si="16"/>
        <v>3.2083849150743102</v>
      </c>
      <c r="N8" s="6">
        <f t="shared" si="17"/>
        <v>0</v>
      </c>
      <c r="O8" s="6">
        <f t="shared" si="18"/>
        <v>66.731767814689533</v>
      </c>
      <c r="P8" s="6">
        <f t="shared" si="19"/>
        <v>99.240381445247479</v>
      </c>
      <c r="Q8" s="6">
        <v>254</v>
      </c>
      <c r="R8" s="6">
        <v>7.7</v>
      </c>
      <c r="S8" s="6">
        <v>370</v>
      </c>
      <c r="T8" s="6">
        <v>16</v>
      </c>
      <c r="U8" s="6">
        <f t="shared" si="2"/>
        <v>2.5399999999999999E-2</v>
      </c>
      <c r="V8" s="6">
        <f t="shared" si="3"/>
        <v>7.7000000000000007E-4</v>
      </c>
      <c r="W8" s="6">
        <f t="shared" si="4"/>
        <v>1.6000000000000001E-3</v>
      </c>
      <c r="X8">
        <f>(I8/I18-1)*100</f>
        <v>61.437908496732028</v>
      </c>
      <c r="Y8">
        <f>(J8/J18-1)*100</f>
        <v>-11.111111111111116</v>
      </c>
      <c r="Z8">
        <f>(K8/K18-1)*100</f>
        <v>240.98360655737707</v>
      </c>
      <c r="AA8" s="6">
        <f t="shared" si="20"/>
        <v>85.470085470085507</v>
      </c>
      <c r="AB8" s="6">
        <f t="shared" si="21"/>
        <v>0.15384615384615391</v>
      </c>
      <c r="AC8" s="6">
        <f t="shared" si="22"/>
        <v>1.2820512820512825E-2</v>
      </c>
      <c r="AD8">
        <f>I18*(100-AB8)/100</f>
        <v>4.0423590850107134</v>
      </c>
      <c r="AE8">
        <f>K18*(100-AC8)/100</f>
        <v>0.36555138050144254</v>
      </c>
      <c r="AF8">
        <f t="shared" si="5"/>
        <v>11.058251454188563</v>
      </c>
      <c r="AG8">
        <f>AF8/AH18-1</f>
        <v>-1.4104372355431272E-3</v>
      </c>
      <c r="AH8">
        <f t="shared" si="6"/>
        <v>5.2428986337871928</v>
      </c>
      <c r="AI8">
        <f t="shared" si="7"/>
        <v>0.85136976380744223</v>
      </c>
      <c r="AJ8" s="6">
        <f t="shared" si="8"/>
        <v>4.0130872381911001E-2</v>
      </c>
      <c r="AK8" s="6">
        <f t="shared" si="9"/>
        <v>2.0374929090380235E-2</v>
      </c>
      <c r="AL8" s="6">
        <f t="shared" si="10"/>
        <v>6.1766517321231427E-4</v>
      </c>
      <c r="AM8" s="6">
        <f t="shared" si="11"/>
        <v>1.2834601001814323E-3</v>
      </c>
      <c r="AN8" s="6">
        <f t="shared" si="12"/>
        <v>2.0779220779220777</v>
      </c>
      <c r="AO8">
        <f t="shared" ref="AO8:AU8" si="27">AH8/AH18-1</f>
        <v>-0.52655228758169947</v>
      </c>
      <c r="AP8">
        <f t="shared" si="27"/>
        <v>-0.73931623931623935</v>
      </c>
      <c r="AQ8" s="6">
        <f t="shared" si="27"/>
        <v>-0.9950413415087328</v>
      </c>
      <c r="AR8" s="6">
        <f t="shared" si="27"/>
        <v>-0.55660485347985356</v>
      </c>
      <c r="AS8" s="6">
        <f t="shared" si="27"/>
        <v>-0.63577853598014888</v>
      </c>
      <c r="AT8" s="6">
        <f t="shared" si="27"/>
        <v>-0.81230769230769229</v>
      </c>
      <c r="AU8" s="6">
        <f t="shared" si="27"/>
        <v>-0.4846753246753247</v>
      </c>
    </row>
    <row r="9" spans="1:47">
      <c r="A9" s="6" t="s">
        <v>216</v>
      </c>
      <c r="B9">
        <v>980</v>
      </c>
      <c r="C9">
        <v>21.2</v>
      </c>
      <c r="D9">
        <v>1.64</v>
      </c>
      <c r="E9">
        <v>1.77</v>
      </c>
      <c r="F9" s="6">
        <v>0.17</v>
      </c>
      <c r="G9" s="6">
        <v>6.56</v>
      </c>
      <c r="H9" s="6">
        <v>0.1</v>
      </c>
      <c r="I9">
        <f t="shared" si="0"/>
        <v>5.6098077677520601</v>
      </c>
      <c r="J9">
        <f t="shared" si="1"/>
        <v>0.98897887079326319</v>
      </c>
      <c r="K9" s="6">
        <f t="shared" si="14"/>
        <v>1.0608342724062805</v>
      </c>
      <c r="L9" s="6">
        <f t="shared" si="15"/>
        <v>0.12149743033735519</v>
      </c>
      <c r="M9" s="6">
        <f t="shared" si="16"/>
        <v>2.7227690870488321</v>
      </c>
      <c r="N9" s="6">
        <f t="shared" si="17"/>
        <v>3.7092896130779991E-2</v>
      </c>
      <c r="O9" s="6">
        <f t="shared" si="18"/>
        <v>66.066391674950623</v>
      </c>
      <c r="P9" s="6">
        <f t="shared" si="19"/>
        <v>97.250704201101541</v>
      </c>
      <c r="Q9" s="6">
        <v>272</v>
      </c>
      <c r="R9" s="6">
        <v>8.1999999999999993</v>
      </c>
      <c r="S9" s="6">
        <v>311</v>
      </c>
      <c r="T9" s="6">
        <v>34</v>
      </c>
      <c r="U9" s="6">
        <f t="shared" si="2"/>
        <v>2.7199999999999998E-2</v>
      </c>
      <c r="V9" s="6">
        <f t="shared" si="3"/>
        <v>8.1999999999999998E-4</v>
      </c>
      <c r="W9" s="6">
        <f t="shared" si="4"/>
        <v>3.3999999999999998E-3</v>
      </c>
      <c r="X9">
        <f>(I9/I18-1)*100</f>
        <v>38.562091503267972</v>
      </c>
      <c r="Y9">
        <f>(J9/J18-1)*100</f>
        <v>-17.171717171717169</v>
      </c>
      <c r="Z9">
        <f>(K9/K18-1)*100</f>
        <v>190.1639344262295</v>
      </c>
      <c r="AA9" s="6">
        <f t="shared" si="20"/>
        <v>132.09013209013207</v>
      </c>
      <c r="AB9" s="6">
        <f t="shared" si="21"/>
        <v>0.23776223776223773</v>
      </c>
      <c r="AC9" s="6">
        <f t="shared" si="22"/>
        <v>1.9813519813519809E-2</v>
      </c>
      <c r="AD9">
        <f>I18*(100-AB9)/100</f>
        <v>4.0389616687745367</v>
      </c>
      <c r="AE9">
        <f>K18*(100-AC9)/100</f>
        <v>0.36552581419010871</v>
      </c>
      <c r="AF9">
        <f t="shared" si="5"/>
        <v>11.049730311725362</v>
      </c>
      <c r="AG9">
        <f>AF9/AH18-1</f>
        <v>-2.1799190981894867E-3</v>
      </c>
      <c r="AH9">
        <f t="shared" si="6"/>
        <v>5.2881094754106934</v>
      </c>
      <c r="AI9">
        <f t="shared" si="7"/>
        <v>0.93226519591035806</v>
      </c>
      <c r="AJ9" s="6">
        <f t="shared" si="8"/>
        <v>0.1145300764668582</v>
      </c>
      <c r="AK9" s="6">
        <f t="shared" si="9"/>
        <v>2.5640197255601946E-2</v>
      </c>
      <c r="AL9" s="6">
        <f t="shared" si="10"/>
        <v>7.7297653491152922E-4</v>
      </c>
      <c r="AM9" s="6">
        <f t="shared" si="11"/>
        <v>3.2050246569502432E-3</v>
      </c>
      <c r="AN9" s="6">
        <f t="shared" si="12"/>
        <v>4.1463414634146343</v>
      </c>
      <c r="AO9">
        <f t="shared" ref="AO9:AU9" si="28">AH9/AH18-1</f>
        <v>-0.52246962815257925</v>
      </c>
      <c r="AP9">
        <f t="shared" si="28"/>
        <v>-0.71454659590252811</v>
      </c>
      <c r="AQ9" s="6">
        <f t="shared" si="28"/>
        <v>-0.985848412893365</v>
      </c>
      <c r="AR9" s="6">
        <f t="shared" si="28"/>
        <v>-0.44202313693839113</v>
      </c>
      <c r="AS9" s="6">
        <f t="shared" si="28"/>
        <v>-0.54419537087661751</v>
      </c>
      <c r="AT9" s="6">
        <f t="shared" si="28"/>
        <v>-0.53129943502824861</v>
      </c>
      <c r="AU9" s="6">
        <f t="shared" si="28"/>
        <v>2.8292682926829293E-2</v>
      </c>
    </row>
    <row r="10" spans="1:47">
      <c r="A10" s="6" t="s">
        <v>216</v>
      </c>
      <c r="B10">
        <v>987</v>
      </c>
      <c r="C10">
        <v>11.1</v>
      </c>
      <c r="D10">
        <v>1.33</v>
      </c>
      <c r="E10">
        <v>0.71</v>
      </c>
      <c r="F10" s="6">
        <v>0.14000000000000001</v>
      </c>
      <c r="G10" s="6">
        <v>2.73</v>
      </c>
      <c r="H10" s="6">
        <v>0</v>
      </c>
      <c r="I10" s="3">
        <f t="shared" si="0"/>
        <v>2.9372106708513144</v>
      </c>
      <c r="J10" s="3">
        <f t="shared" si="1"/>
        <v>0.80203774277746354</v>
      </c>
      <c r="K10" s="6">
        <f t="shared" si="14"/>
        <v>0.42553239175619156</v>
      </c>
      <c r="L10" s="6">
        <f t="shared" si="15"/>
        <v>0.10005670733664544</v>
      </c>
      <c r="M10" s="6">
        <f t="shared" si="16"/>
        <v>1.1331035987261147</v>
      </c>
      <c r="N10" s="6">
        <f t="shared" si="17"/>
        <v>0</v>
      </c>
      <c r="O10" s="6">
        <f t="shared" si="18"/>
        <v>70.430441011383238</v>
      </c>
      <c r="P10" s="6">
        <f t="shared" si="19"/>
        <v>96.705699733411706</v>
      </c>
      <c r="Q10" s="6">
        <v>153</v>
      </c>
      <c r="R10" s="3">
        <v>6.1</v>
      </c>
      <c r="S10" s="3">
        <v>126</v>
      </c>
      <c r="T10" s="3">
        <v>250</v>
      </c>
      <c r="U10" s="6">
        <f t="shared" si="2"/>
        <v>1.5299999999999999E-2</v>
      </c>
      <c r="V10" s="6">
        <f t="shared" si="3"/>
        <v>6.0999999999999997E-4</v>
      </c>
      <c r="W10" s="6">
        <f t="shared" si="4"/>
        <v>2.5000000000000001E-2</v>
      </c>
      <c r="X10">
        <f>(I10/I18-1)*100</f>
        <v>-27.450980392156865</v>
      </c>
      <c r="Y10">
        <f>(J10/J18-1)*100</f>
        <v>-32.828282828282831</v>
      </c>
      <c r="Z10">
        <f>(K10/K18-1)*100</f>
        <v>16.393442622950815</v>
      </c>
      <c r="AA10" s="6">
        <f t="shared" si="20"/>
        <v>252.52525252525254</v>
      </c>
      <c r="AB10" s="6">
        <f t="shared" si="21"/>
        <v>0.45454545454545459</v>
      </c>
      <c r="AC10" s="6">
        <f t="shared" si="22"/>
        <v>3.787878787878788E-2</v>
      </c>
      <c r="AD10">
        <f>I18*(100-AB10)/100</f>
        <v>4.0301850101644137</v>
      </c>
      <c r="AE10">
        <f>K18*(100-AC10)/100</f>
        <v>0.36545976788582996</v>
      </c>
      <c r="AF10">
        <f t="shared" si="5"/>
        <v>11.027711842205974</v>
      </c>
      <c r="AG10">
        <f>AF10/AH18-1</f>
        <v>-4.1682455475560154E-3</v>
      </c>
      <c r="AH10" s="3">
        <f t="shared" si="6"/>
        <v>6.9024373414425915</v>
      </c>
      <c r="AI10" s="3">
        <f t="shared" si="7"/>
        <v>1.8847865833842101</v>
      </c>
      <c r="AJ10" s="6">
        <f t="shared" si="8"/>
        <v>0.23513299874471802</v>
      </c>
      <c r="AK10" s="6">
        <f t="shared" si="9"/>
        <v>3.595495970789956E-2</v>
      </c>
      <c r="AL10" s="6">
        <f t="shared" si="10"/>
        <v>1.4334983935829237E-3</v>
      </c>
      <c r="AM10" s="6">
        <f t="shared" si="11"/>
        <v>5.8749934163234582E-2</v>
      </c>
      <c r="AN10" s="6">
        <f t="shared" si="12"/>
        <v>40.983606557377051</v>
      </c>
      <c r="AO10">
        <f t="shared" ref="AO10:AU10" si="29">AH10/AH18-1</f>
        <v>-0.37669152167909414</v>
      </c>
      <c r="AP10">
        <f t="shared" si="29"/>
        <v>-0.42289088063735947</v>
      </c>
      <c r="AQ10" s="6">
        <f t="shared" si="29"/>
        <v>-0.97094645165680071</v>
      </c>
      <c r="AR10" s="6">
        <f t="shared" si="29"/>
        <v>-0.21755533199195165</v>
      </c>
      <c r="AS10" s="6">
        <f t="shared" si="29"/>
        <v>-0.15470240799636525</v>
      </c>
      <c r="AT10" s="6">
        <f t="shared" si="29"/>
        <v>7.591549295774648</v>
      </c>
      <c r="AU10" s="6">
        <f t="shared" si="29"/>
        <v>9.1639344262295079</v>
      </c>
    </row>
    <row r="11" spans="1:47">
      <c r="A11" s="6" t="s">
        <v>216</v>
      </c>
      <c r="B11">
        <v>998</v>
      </c>
      <c r="C11">
        <v>15.7</v>
      </c>
      <c r="D11">
        <v>2.54</v>
      </c>
      <c r="E11">
        <v>0.7</v>
      </c>
      <c r="F11" s="6">
        <v>0.31</v>
      </c>
      <c r="G11" s="6">
        <v>2.86</v>
      </c>
      <c r="H11" s="6">
        <v>0</v>
      </c>
      <c r="I11" s="3">
        <f t="shared" si="0"/>
        <v>4.1544331110239314</v>
      </c>
      <c r="J11" s="3">
        <f t="shared" si="1"/>
        <v>1.5317111779359078</v>
      </c>
      <c r="K11" s="6">
        <f t="shared" si="14"/>
        <v>0.41953897778779448</v>
      </c>
      <c r="L11" s="6">
        <f t="shared" si="15"/>
        <v>0.22155413767400062</v>
      </c>
      <c r="M11" s="6">
        <f t="shared" si="16"/>
        <v>1.1870609129511678</v>
      </c>
      <c r="N11" s="6">
        <f t="shared" si="17"/>
        <v>0</v>
      </c>
      <c r="O11" s="6">
        <f t="shared" si="18"/>
        <v>74.679078632898239</v>
      </c>
      <c r="P11" s="6">
        <f t="shared" si="19"/>
        <v>94.937047914389524</v>
      </c>
      <c r="Q11" s="6">
        <v>190</v>
      </c>
      <c r="R11" s="3">
        <v>4.2</v>
      </c>
      <c r="S11" s="3">
        <v>133</v>
      </c>
      <c r="T11" s="3">
        <v>20</v>
      </c>
      <c r="U11" s="6">
        <f t="shared" si="2"/>
        <v>1.9E-2</v>
      </c>
      <c r="V11" s="6">
        <f t="shared" si="3"/>
        <v>4.2000000000000002E-4</v>
      </c>
      <c r="W11" s="6">
        <f t="shared" si="4"/>
        <v>2E-3</v>
      </c>
      <c r="X11">
        <f>(I11/I18-1)*100</f>
        <v>2.6143790849673332</v>
      </c>
      <c r="Y11">
        <f>(J11/J18-1)*100</f>
        <v>28.282828282828287</v>
      </c>
      <c r="Z11">
        <f>(K11/K18-1)*100</f>
        <v>14.754098360655711</v>
      </c>
      <c r="AA11" s="6">
        <f t="shared" si="20"/>
        <v>-217.56021756021758</v>
      </c>
      <c r="AB11" s="6">
        <f t="shared" si="21"/>
        <v>-0.39160839160839161</v>
      </c>
      <c r="AC11" s="6">
        <f t="shared" si="22"/>
        <v>-3.2634032634032632E-2</v>
      </c>
      <c r="AD11">
        <f>I18*(100-AB11)/100</f>
        <v>4.0644422905458608</v>
      </c>
      <c r="AE11">
        <f>K18*(100-AC11)/100</f>
        <v>0.3657175615251117</v>
      </c>
      <c r="AF11">
        <f t="shared" si="5"/>
        <v>11.113609840326957</v>
      </c>
      <c r="AG11">
        <f>AF11/AH18-1</f>
        <v>3.5885724938247154E-3</v>
      </c>
      <c r="AH11" s="3">
        <f t="shared" si="6"/>
        <v>9.9023769684762648</v>
      </c>
      <c r="AI11" s="3">
        <f t="shared" si="7"/>
        <v>3.6509389092106175</v>
      </c>
      <c r="AJ11" s="6">
        <f t="shared" si="8"/>
        <v>0.52808952065012693</v>
      </c>
      <c r="AK11" s="6">
        <f t="shared" si="9"/>
        <v>4.5287806392116256E-2</v>
      </c>
      <c r="AL11" s="6">
        <f t="shared" si="10"/>
        <v>1.0010988781415174E-3</v>
      </c>
      <c r="AM11" s="6">
        <f t="shared" si="11"/>
        <v>4.7671375149596065E-3</v>
      </c>
      <c r="AN11" s="6">
        <f t="shared" si="12"/>
        <v>4.7619047619047619</v>
      </c>
      <c r="AO11">
        <f t="shared" ref="AO11:AU11" si="30">AH11/AH18-1</f>
        <v>-0.10578898225957034</v>
      </c>
      <c r="AP11">
        <f t="shared" si="30"/>
        <v>0.11789321789321816</v>
      </c>
      <c r="AQ11" s="6">
        <f t="shared" si="30"/>
        <v>-0.93474810213940651</v>
      </c>
      <c r="AR11" s="6">
        <f t="shared" si="30"/>
        <v>-1.4455782312924992E-2</v>
      </c>
      <c r="AS11" s="6">
        <f t="shared" si="30"/>
        <v>-0.40967741935483859</v>
      </c>
      <c r="AT11" s="6">
        <f t="shared" si="30"/>
        <v>-0.30285714285714271</v>
      </c>
      <c r="AU11" s="6">
        <f t="shared" si="30"/>
        <v>0.18095238095238098</v>
      </c>
    </row>
    <row r="12" spans="1:47">
      <c r="A12" s="6" t="s">
        <v>216</v>
      </c>
      <c r="B12">
        <v>1013</v>
      </c>
      <c r="C12">
        <v>17.3</v>
      </c>
      <c r="D12">
        <v>1.95</v>
      </c>
      <c r="E12">
        <v>0.75</v>
      </c>
      <c r="F12" s="6">
        <v>0.31</v>
      </c>
      <c r="G12" s="6">
        <v>4.5199999999999996</v>
      </c>
      <c r="H12" s="6">
        <v>0</v>
      </c>
      <c r="I12" s="3">
        <f t="shared" si="0"/>
        <v>4.5778148293448417</v>
      </c>
      <c r="J12" s="3">
        <f t="shared" si="1"/>
        <v>1.1759199988090629</v>
      </c>
      <c r="K12" s="6">
        <f t="shared" si="14"/>
        <v>0.44950604762977986</v>
      </c>
      <c r="L12" s="6">
        <f t="shared" si="15"/>
        <v>0.22155413767400062</v>
      </c>
      <c r="M12" s="6">
        <f t="shared" si="16"/>
        <v>1.8760543099787683</v>
      </c>
      <c r="N12" s="6">
        <f t="shared" si="17"/>
        <v>0</v>
      </c>
      <c r="O12" s="6">
        <f t="shared" si="18"/>
        <v>68.577146937172117</v>
      </c>
      <c r="P12" s="6">
        <f t="shared" si="19"/>
        <v>95.383681913257433</v>
      </c>
      <c r="Q12" s="6">
        <v>208</v>
      </c>
      <c r="R12" s="3">
        <v>6</v>
      </c>
      <c r="S12" s="3">
        <v>209</v>
      </c>
      <c r="T12" s="3">
        <v>28</v>
      </c>
      <c r="U12" s="6">
        <f t="shared" si="2"/>
        <v>2.0799999999999999E-2</v>
      </c>
      <c r="V12" s="6">
        <f t="shared" si="3"/>
        <v>5.9999999999999995E-4</v>
      </c>
      <c r="W12" s="6">
        <f t="shared" si="4"/>
        <v>2.8E-3</v>
      </c>
      <c r="X12">
        <f>(I12/I18-1)*100</f>
        <v>13.071895424836622</v>
      </c>
      <c r="Y12">
        <f>(J12/J18-1)*100</f>
        <v>-1.5151515151515249</v>
      </c>
      <c r="Z12">
        <f>(K12/K18-1)*100</f>
        <v>22.95081967213115</v>
      </c>
      <c r="AA12" s="6">
        <f t="shared" si="20"/>
        <v>11.65501165501173</v>
      </c>
      <c r="AB12" s="6">
        <f t="shared" si="21"/>
        <v>2.0979020979021115E-2</v>
      </c>
      <c r="AC12" s="6">
        <f t="shared" si="22"/>
        <v>1.7482517482517593E-3</v>
      </c>
      <c r="AD12">
        <f>I18*(100-AB12)/100</f>
        <v>4.0477383273846588</v>
      </c>
      <c r="AE12">
        <f>K18*(100-AC12)/100</f>
        <v>0.36559186049438752</v>
      </c>
      <c r="AF12">
        <f t="shared" si="5"/>
        <v>11.071740825714578</v>
      </c>
      <c r="AG12">
        <f>AF12/AH18-1</f>
        <v>-1.9231105438921592E-4</v>
      </c>
      <c r="AH12" s="3">
        <f t="shared" si="6"/>
        <v>10.18410064443716</v>
      </c>
      <c r="AI12" s="3">
        <f t="shared" si="7"/>
        <v>2.6160270924265046</v>
      </c>
      <c r="AJ12" s="6">
        <f t="shared" si="8"/>
        <v>0.49288355260678501</v>
      </c>
      <c r="AK12" s="6">
        <f t="shared" si="9"/>
        <v>4.6273014811874569E-2</v>
      </c>
      <c r="AL12" s="6">
        <f t="shared" si="10"/>
        <v>1.3347985041886894E-3</v>
      </c>
      <c r="AM12" s="6">
        <f t="shared" si="11"/>
        <v>6.2290596862138847E-3</v>
      </c>
      <c r="AN12" s="6">
        <f t="shared" si="12"/>
        <v>4.666666666666667</v>
      </c>
      <c r="AO12">
        <f t="shared" ref="AO12:AU12" si="31">AH12/AH18-1</f>
        <v>-8.0348583877995483E-2</v>
      </c>
      <c r="AP12">
        <f t="shared" si="31"/>
        <v>-0.19898989898989905</v>
      </c>
      <c r="AQ12" s="6">
        <f t="shared" si="31"/>
        <v>-0.93909822866344606</v>
      </c>
      <c r="AR12" s="6">
        <f t="shared" si="31"/>
        <v>6.9841269841270925E-3</v>
      </c>
      <c r="AS12" s="6">
        <f t="shared" si="31"/>
        <v>-0.21290322580645171</v>
      </c>
      <c r="AT12" s="6">
        <f t="shared" si="31"/>
        <v>-8.9066666666666627E-2</v>
      </c>
      <c r="AU12" s="6">
        <f t="shared" si="31"/>
        <v>0.15733333333333333</v>
      </c>
    </row>
    <row r="13" spans="1:47">
      <c r="A13" s="6" t="s">
        <v>216</v>
      </c>
      <c r="B13">
        <v>1045</v>
      </c>
      <c r="C13">
        <v>16.2</v>
      </c>
      <c r="D13">
        <v>2.0099999999999998</v>
      </c>
      <c r="E13">
        <v>0.7</v>
      </c>
      <c r="F13" s="6">
        <v>0.3</v>
      </c>
      <c r="G13" s="6">
        <v>3.96</v>
      </c>
      <c r="H13" s="6">
        <v>0</v>
      </c>
      <c r="I13">
        <f t="shared" si="0"/>
        <v>4.2867398979992153</v>
      </c>
      <c r="J13" s="3">
        <f t="shared" si="1"/>
        <v>1.2121021526185725</v>
      </c>
      <c r="K13" s="6">
        <f t="shared" si="14"/>
        <v>0.41953897778779448</v>
      </c>
      <c r="L13" s="6">
        <f t="shared" si="15"/>
        <v>0.21440723000709735</v>
      </c>
      <c r="M13" s="6">
        <f t="shared" si="16"/>
        <v>1.6436228025477708</v>
      </c>
      <c r="N13" s="6">
        <f t="shared" si="17"/>
        <v>0</v>
      </c>
      <c r="O13" s="6">
        <f t="shared" si="18"/>
        <v>69.762414971534554</v>
      </c>
      <c r="P13" s="6">
        <f t="shared" si="19"/>
        <v>95.2366091596285</v>
      </c>
      <c r="Q13" s="6">
        <v>188</v>
      </c>
      <c r="R13" s="3">
        <v>5.2</v>
      </c>
      <c r="S13" s="3">
        <v>176</v>
      </c>
      <c r="T13" s="3">
        <v>24</v>
      </c>
      <c r="U13" s="6">
        <f t="shared" si="2"/>
        <v>1.8800000000000001E-2</v>
      </c>
      <c r="V13" s="6">
        <f t="shared" si="3"/>
        <v>5.2000000000000006E-4</v>
      </c>
      <c r="W13" s="6">
        <f t="shared" si="4"/>
        <v>2.3999999999999998E-3</v>
      </c>
      <c r="X13">
        <f>(I13/I18-1)*100</f>
        <v>5.8823529411764719</v>
      </c>
      <c r="Y13">
        <f>(J13/J18-1)*100</f>
        <v>1.5151515151514916</v>
      </c>
      <c r="Z13">
        <f>(K13/K18-1)*100</f>
        <v>14.754098360655711</v>
      </c>
      <c r="AA13" s="6">
        <f t="shared" si="20"/>
        <v>-11.655011655011473</v>
      </c>
      <c r="AB13" s="6">
        <f t="shared" si="21"/>
        <v>-2.097902097902065E-2</v>
      </c>
      <c r="AC13" s="6">
        <f t="shared" si="22"/>
        <v>-1.7482517482517207E-3</v>
      </c>
      <c r="AD13">
        <f>I18*(100-AB13)/100</f>
        <v>4.0494370355027476</v>
      </c>
      <c r="AE13">
        <f>K18*(100-AC13)/100</f>
        <v>0.36560464365005435</v>
      </c>
      <c r="AF13">
        <f t="shared" si="5"/>
        <v>11.076000006659504</v>
      </c>
      <c r="AG13">
        <f>AF13/AH18-1</f>
        <v>1.9230433034378436E-4</v>
      </c>
      <c r="AH13">
        <f t="shared" si="6"/>
        <v>10.217739292313087</v>
      </c>
      <c r="AI13">
        <f t="shared" si="7"/>
        <v>2.8891288218556452</v>
      </c>
      <c r="AJ13" s="6">
        <f t="shared" si="8"/>
        <v>0.51105437482270344</v>
      </c>
      <c r="AK13" s="6">
        <f t="shared" si="9"/>
        <v>4.4811092640620304E-2</v>
      </c>
      <c r="AL13" s="6">
        <f t="shared" si="10"/>
        <v>1.2394557538894977E-3</v>
      </c>
      <c r="AM13" s="6">
        <f t="shared" si="11"/>
        <v>5.7205650179515269E-3</v>
      </c>
      <c r="AN13" s="6">
        <f t="shared" si="12"/>
        <v>4.6153846153846141</v>
      </c>
      <c r="AO13">
        <f t="shared" ref="AO13:AU13" si="32">AH13/AH18-1</f>
        <v>-7.7310924369747847E-2</v>
      </c>
      <c r="AP13">
        <f t="shared" si="32"/>
        <v>-0.11536796536796545</v>
      </c>
      <c r="AQ13" s="6">
        <f t="shared" si="32"/>
        <v>-0.93685300207039335</v>
      </c>
      <c r="AR13" s="6">
        <f t="shared" si="32"/>
        <v>-2.482993197278871E-2</v>
      </c>
      <c r="AS13" s="6">
        <f t="shared" si="32"/>
        <v>-0.26912442396313352</v>
      </c>
      <c r="AT13" s="6">
        <f t="shared" si="32"/>
        <v>-0.16342857142857137</v>
      </c>
      <c r="AU13" s="6">
        <f t="shared" si="32"/>
        <v>0.14461538461538437</v>
      </c>
    </row>
    <row r="14" spans="1:47">
      <c r="A14" s="6" t="s">
        <v>216</v>
      </c>
      <c r="B14">
        <v>1087</v>
      </c>
      <c r="C14">
        <v>16.600000000000001</v>
      </c>
      <c r="D14">
        <v>1.48</v>
      </c>
      <c r="E14">
        <v>0.72</v>
      </c>
      <c r="F14" s="6">
        <v>0.35</v>
      </c>
      <c r="G14" s="6">
        <v>4.49</v>
      </c>
      <c r="H14" s="6">
        <v>0.8</v>
      </c>
      <c r="I14" s="3">
        <f t="shared" si="0"/>
        <v>4.392585327579444</v>
      </c>
      <c r="J14" s="3">
        <f t="shared" si="1"/>
        <v>0.89249312730123742</v>
      </c>
      <c r="K14" s="6">
        <f t="shared" si="14"/>
        <v>0.43152580572458865</v>
      </c>
      <c r="L14" s="6">
        <f t="shared" si="15"/>
        <v>0.25014176834161356</v>
      </c>
      <c r="M14" s="6">
        <f t="shared" si="16"/>
        <v>1.8636026220806796</v>
      </c>
      <c r="N14" s="6">
        <f t="shared" si="17"/>
        <v>0.29674316904623993</v>
      </c>
      <c r="O14" s="6">
        <f t="shared" si="18"/>
        <v>64.567665237605524</v>
      </c>
      <c r="P14" s="6">
        <f t="shared" si="19"/>
        <v>88.928267444657351</v>
      </c>
      <c r="Q14" s="6">
        <v>206</v>
      </c>
      <c r="R14" s="3">
        <v>6.5</v>
      </c>
      <c r="S14" s="3">
        <v>207</v>
      </c>
      <c r="T14" s="3">
        <v>29</v>
      </c>
      <c r="U14" s="6">
        <f t="shared" si="2"/>
        <v>2.06E-2</v>
      </c>
      <c r="V14" s="6">
        <f t="shared" si="3"/>
        <v>6.4999999999999997E-4</v>
      </c>
      <c r="W14" s="6">
        <f t="shared" si="4"/>
        <v>2.8999999999999998E-3</v>
      </c>
      <c r="X14">
        <f>(I14/I18-1)*100</f>
        <v>8.4967320261438051</v>
      </c>
      <c r="Y14">
        <f>(J14/J18-1)*100</f>
        <v>-25.25252525252526</v>
      </c>
      <c r="Z14">
        <f>(K14/K18-1)*100</f>
        <v>18.032786885245898</v>
      </c>
      <c r="AA14" s="6">
        <f t="shared" si="20"/>
        <v>194.25019425019431</v>
      </c>
      <c r="AB14" s="6">
        <f t="shared" si="21"/>
        <v>0.34965034965034975</v>
      </c>
      <c r="AC14" s="6">
        <f t="shared" si="22"/>
        <v>2.9137529137529143E-2</v>
      </c>
      <c r="AD14">
        <f>I18*(100-AB14)/100</f>
        <v>4.0344317804596344</v>
      </c>
      <c r="AE14">
        <f>K18*(100-AC14)/100</f>
        <v>0.36549172577499711</v>
      </c>
      <c r="AF14">
        <f t="shared" si="5"/>
        <v>11.038366934039155</v>
      </c>
      <c r="AG14">
        <f>AF14/AH18-1</f>
        <v>-3.2060623724862181E-3</v>
      </c>
      <c r="AH14">
        <f t="shared" si="6"/>
        <v>10.179195008288588</v>
      </c>
      <c r="AI14">
        <f t="shared" si="7"/>
        <v>2.0682265474312107</v>
      </c>
      <c r="AJ14" s="6">
        <f t="shared" si="8"/>
        <v>0.57966815662760329</v>
      </c>
      <c r="AK14" s="6">
        <f t="shared" si="9"/>
        <v>4.7737585392859383E-2</v>
      </c>
      <c r="AL14" s="6">
        <f t="shared" si="10"/>
        <v>1.5062830342407088E-3</v>
      </c>
      <c r="AM14" s="6">
        <f t="shared" si="11"/>
        <v>6.7203396912277769E-3</v>
      </c>
      <c r="AN14" s="6">
        <f t="shared" si="12"/>
        <v>4.4615384615384617</v>
      </c>
      <c r="AO14">
        <f t="shared" ref="AO14:AU14" si="33">AH14/AH18-1</f>
        <v>-8.0791575889614942E-2</v>
      </c>
      <c r="AP14">
        <f t="shared" si="33"/>
        <v>-0.36672278338945019</v>
      </c>
      <c r="AQ14" s="6">
        <f t="shared" si="33"/>
        <v>-0.92837493290391837</v>
      </c>
      <c r="AR14" s="6">
        <f t="shared" si="33"/>
        <v>3.8855820105820227E-2</v>
      </c>
      <c r="AS14" s="6">
        <f t="shared" si="33"/>
        <v>-0.11178315412186379</v>
      </c>
      <c r="AT14" s="6">
        <f t="shared" si="33"/>
        <v>-1.722222222222225E-2</v>
      </c>
      <c r="AU14" s="6">
        <f t="shared" si="33"/>
        <v>0.10646153846153861</v>
      </c>
    </row>
    <row r="15" spans="1:47">
      <c r="A15" s="6" t="s">
        <v>216</v>
      </c>
      <c r="B15">
        <v>1137</v>
      </c>
      <c r="C15">
        <v>16.2</v>
      </c>
      <c r="D15">
        <v>1.39</v>
      </c>
      <c r="E15">
        <v>0.68</v>
      </c>
      <c r="F15" s="6">
        <v>0.39</v>
      </c>
      <c r="G15" s="6">
        <v>3.84</v>
      </c>
      <c r="H15" s="6">
        <v>1.5</v>
      </c>
      <c r="I15" s="3">
        <f t="shared" si="0"/>
        <v>4.2867398979992153</v>
      </c>
      <c r="J15" s="3">
        <f t="shared" si="1"/>
        <v>0.83821989658697305</v>
      </c>
      <c r="K15" s="6">
        <f t="shared" si="14"/>
        <v>0.40755214985100041</v>
      </c>
      <c r="L15" s="6">
        <f t="shared" si="15"/>
        <v>0.27872939900922655</v>
      </c>
      <c r="M15" s="6">
        <f t="shared" si="16"/>
        <v>1.593816050955414</v>
      </c>
      <c r="N15" s="6">
        <f t="shared" si="17"/>
        <v>0.55639344196169982</v>
      </c>
      <c r="O15" s="6">
        <f t="shared" si="18"/>
        <v>63.831818526370213</v>
      </c>
      <c r="P15" s="6">
        <f t="shared" si="19"/>
        <v>83.694939057682632</v>
      </c>
      <c r="Q15" s="6">
        <v>190</v>
      </c>
      <c r="R15" s="3">
        <v>6.1</v>
      </c>
      <c r="S15" s="3">
        <v>175</v>
      </c>
      <c r="T15" s="3">
        <v>27</v>
      </c>
      <c r="U15" s="6">
        <f t="shared" si="2"/>
        <v>1.9E-2</v>
      </c>
      <c r="V15" s="6">
        <f t="shared" si="3"/>
        <v>6.0999999999999997E-4</v>
      </c>
      <c r="W15" s="6">
        <f t="shared" si="4"/>
        <v>2.7000000000000001E-3</v>
      </c>
      <c r="X15">
        <f>(I15/I18-1)*100</f>
        <v>5.8823529411764719</v>
      </c>
      <c r="Y15">
        <f>(J15/J18-1)*100</f>
        <v>-29.797979797979799</v>
      </c>
      <c r="Z15">
        <f>(K15/K18-1)*100</f>
        <v>11.475409836065564</v>
      </c>
      <c r="AA15" s="6">
        <f t="shared" si="20"/>
        <v>229.21522921522921</v>
      </c>
      <c r="AB15" s="6">
        <f t="shared" si="21"/>
        <v>0.41258741258741255</v>
      </c>
      <c r="AC15" s="6">
        <f t="shared" si="22"/>
        <v>3.4382284382284377E-2</v>
      </c>
      <c r="AD15">
        <f>I18*(100-AB15)/100</f>
        <v>4.0318837182825025</v>
      </c>
      <c r="AE15">
        <f>K18*(100-AC15)/100</f>
        <v>0.36547255104149684</v>
      </c>
      <c r="AF15">
        <f t="shared" si="5"/>
        <v>11.031974102549524</v>
      </c>
      <c r="AG15">
        <f>AF15/AH18-1</f>
        <v>-3.7833520849243074E-3</v>
      </c>
      <c r="AH15">
        <f t="shared" si="6"/>
        <v>10.518261036204647</v>
      </c>
      <c r="AI15">
        <f t="shared" si="7"/>
        <v>2.0567181326203854</v>
      </c>
      <c r="AJ15" s="6">
        <f t="shared" si="8"/>
        <v>0.68391100160097062</v>
      </c>
      <c r="AK15" s="6">
        <f t="shared" si="9"/>
        <v>4.6619800697766729E-2</v>
      </c>
      <c r="AL15" s="6">
        <f t="shared" si="10"/>
        <v>1.4967409697704056E-3</v>
      </c>
      <c r="AM15" s="6">
        <f t="shared" si="11"/>
        <v>6.6249190465247458E-3</v>
      </c>
      <c r="AN15" s="6">
        <f t="shared" si="12"/>
        <v>4.4262295081967213</v>
      </c>
      <c r="AO15">
        <f t="shared" ref="AO15:AU15" si="34">AH15/AH18-1</f>
        <v>-5.017301038062294E-2</v>
      </c>
      <c r="AP15">
        <f t="shared" si="34"/>
        <v>-0.37024658348187767</v>
      </c>
      <c r="AQ15" s="6">
        <f t="shared" si="34"/>
        <v>-0.91549445865302648</v>
      </c>
      <c r="AR15" s="6">
        <f t="shared" si="34"/>
        <v>1.4530812324930142E-2</v>
      </c>
      <c r="AS15" s="6">
        <f t="shared" si="34"/>
        <v>-0.11740986717267554</v>
      </c>
      <c r="AT15" s="6">
        <f t="shared" si="34"/>
        <v>-3.1176470588235361E-2</v>
      </c>
      <c r="AU15" s="6">
        <f t="shared" si="34"/>
        <v>9.7704918032786914E-2</v>
      </c>
    </row>
    <row r="16" spans="1:47">
      <c r="A16" s="6" t="s">
        <v>216</v>
      </c>
      <c r="B16">
        <v>1205</v>
      </c>
      <c r="C16">
        <v>15.3</v>
      </c>
      <c r="D16">
        <v>1.64</v>
      </c>
      <c r="E16">
        <v>0.64</v>
      </c>
      <c r="F16" s="6">
        <v>0.47</v>
      </c>
      <c r="G16" s="6">
        <v>2.99</v>
      </c>
      <c r="H16" s="6">
        <v>1.9</v>
      </c>
      <c r="I16" s="3">
        <f t="shared" si="0"/>
        <v>4.0485876814437036</v>
      </c>
      <c r="J16" s="3">
        <f t="shared" si="1"/>
        <v>0.98897887079326319</v>
      </c>
      <c r="K16" s="6">
        <f t="shared" si="14"/>
        <v>0.38357849397741217</v>
      </c>
      <c r="L16" s="6">
        <f t="shared" si="15"/>
        <v>0.33590466034445254</v>
      </c>
      <c r="M16" s="6">
        <f t="shared" si="16"/>
        <v>1.2410182271762209</v>
      </c>
      <c r="N16" s="6">
        <f t="shared" si="17"/>
        <v>0.70476502648481976</v>
      </c>
      <c r="O16" s="6">
        <f t="shared" si="18"/>
        <v>63.955946631363304</v>
      </c>
      <c r="P16" s="6">
        <f t="shared" si="19"/>
        <v>79.5516396298421</v>
      </c>
      <c r="Q16" s="6">
        <v>168</v>
      </c>
      <c r="R16" s="3">
        <v>4.3</v>
      </c>
      <c r="S16" s="3">
        <v>140</v>
      </c>
      <c r="T16" s="3">
        <v>23</v>
      </c>
      <c r="U16" s="6">
        <f t="shared" si="2"/>
        <v>1.6799999999999999E-2</v>
      </c>
      <c r="V16" s="6">
        <f t="shared" si="3"/>
        <v>4.2999999999999999E-4</v>
      </c>
      <c r="W16" s="6">
        <f t="shared" si="4"/>
        <v>2.3E-3</v>
      </c>
      <c r="X16">
        <f>(I16/I18-1)*100</f>
        <v>0</v>
      </c>
      <c r="Y16">
        <f>(J16/J18-1)*100</f>
        <v>-17.171717171717169</v>
      </c>
      <c r="Z16">
        <f>(K16/K18-1)*100</f>
        <v>4.9180327868852514</v>
      </c>
      <c r="AA16" s="6">
        <f t="shared" si="20"/>
        <v>132.09013209013207</v>
      </c>
      <c r="AB16" s="6">
        <f t="shared" si="21"/>
        <v>0.23776223776223773</v>
      </c>
      <c r="AC16" s="6">
        <f t="shared" si="22"/>
        <v>1.9813519813519809E-2</v>
      </c>
      <c r="AD16">
        <f>I18*(100-AB16)/100</f>
        <v>4.0389616687745367</v>
      </c>
      <c r="AE16">
        <f>K18*(100-AC16)/100</f>
        <v>0.36552581419010871</v>
      </c>
      <c r="AF16">
        <f t="shared" si="5"/>
        <v>11.049730311725362</v>
      </c>
      <c r="AG16">
        <f>AF16/AH18-1</f>
        <v>-2.1799190981894867E-3</v>
      </c>
      <c r="AH16">
        <f t="shared" si="6"/>
        <v>10.554782775913692</v>
      </c>
      <c r="AI16">
        <f t="shared" si="7"/>
        <v>2.578295932439584</v>
      </c>
      <c r="AJ16" s="6">
        <f t="shared" si="8"/>
        <v>0.8757129651909864</v>
      </c>
      <c r="AK16" s="6">
        <f t="shared" si="9"/>
        <v>4.3798075918691372E-2</v>
      </c>
      <c r="AL16" s="6">
        <f t="shared" si="10"/>
        <v>1.1210221812522196E-3</v>
      </c>
      <c r="AM16" s="6">
        <f t="shared" si="11"/>
        <v>5.9961651555351285E-3</v>
      </c>
      <c r="AN16" s="6">
        <f t="shared" si="12"/>
        <v>5.3488372093023253</v>
      </c>
      <c r="AO16">
        <f t="shared" ref="AO16:AU16" si="35">AH16/AH18-1</f>
        <v>-4.6875E-2</v>
      </c>
      <c r="AP16">
        <f t="shared" si="35"/>
        <v>-0.21054292929292928</v>
      </c>
      <c r="AQ16" s="6">
        <f t="shared" si="35"/>
        <v>-0.89179498792270528</v>
      </c>
      <c r="AR16" s="6">
        <f t="shared" si="35"/>
        <v>-4.6875E-2</v>
      </c>
      <c r="AS16" s="6">
        <f t="shared" si="35"/>
        <v>-0.33896169354838723</v>
      </c>
      <c r="AT16" s="6">
        <f t="shared" si="35"/>
        <v>-0.12312500000000004</v>
      </c>
      <c r="AU16" s="6">
        <f t="shared" si="35"/>
        <v>0.32651162790697663</v>
      </c>
    </row>
    <row r="17" spans="1:47">
      <c r="A17" s="6" t="s">
        <v>216</v>
      </c>
      <c r="B17">
        <v>1291</v>
      </c>
      <c r="C17">
        <v>15.5</v>
      </c>
      <c r="D17">
        <v>1.46</v>
      </c>
      <c r="E17">
        <v>0.64</v>
      </c>
      <c r="F17" s="6">
        <v>0.72</v>
      </c>
      <c r="G17" s="6">
        <v>2.8</v>
      </c>
      <c r="H17" s="6">
        <v>2.7</v>
      </c>
      <c r="I17">
        <f t="shared" si="0"/>
        <v>4.1015103962338175</v>
      </c>
      <c r="J17" s="3">
        <f t="shared" si="1"/>
        <v>0.88043240936473421</v>
      </c>
      <c r="K17" s="6">
        <f t="shared" si="14"/>
        <v>0.38357849397741217</v>
      </c>
      <c r="L17" s="6">
        <f t="shared" si="15"/>
        <v>0.5145773520170337</v>
      </c>
      <c r="M17" s="6">
        <f t="shared" si="16"/>
        <v>1.1621575371549893</v>
      </c>
      <c r="N17" s="6">
        <f t="shared" si="17"/>
        <v>1.0015081955310599</v>
      </c>
      <c r="O17" s="6">
        <f t="shared" si="18"/>
        <v>60.496453267310038</v>
      </c>
      <c r="P17" s="6">
        <f t="shared" si="19"/>
        <v>73.011844163939188</v>
      </c>
      <c r="Q17" s="6">
        <v>166</v>
      </c>
      <c r="R17" s="3">
        <v>4.8</v>
      </c>
      <c r="S17" s="3">
        <v>129</v>
      </c>
      <c r="T17" s="3">
        <v>25</v>
      </c>
      <c r="U17" s="6">
        <f t="shared" si="2"/>
        <v>1.66E-2</v>
      </c>
      <c r="V17" s="6">
        <f t="shared" si="3"/>
        <v>4.7999999999999996E-4</v>
      </c>
      <c r="W17" s="6">
        <f t="shared" si="4"/>
        <v>2.5000000000000001E-3</v>
      </c>
      <c r="X17">
        <f>(I17/I18-1)*100</f>
        <v>1.3071895424836555</v>
      </c>
      <c r="Y17">
        <f>(J17/J18-1)*100</f>
        <v>-26.262626262626277</v>
      </c>
      <c r="Z17">
        <f>(K17/K18-1)*100</f>
        <v>4.9180327868852514</v>
      </c>
      <c r="AA17" s="6">
        <f t="shared" si="20"/>
        <v>202.02020202020213</v>
      </c>
      <c r="AB17" s="6">
        <f t="shared" si="21"/>
        <v>0.36363636363636381</v>
      </c>
      <c r="AC17" s="6">
        <f t="shared" si="22"/>
        <v>3.0303030303030318E-2</v>
      </c>
      <c r="AD17">
        <f>I18*(100-AB17)/100</f>
        <v>4.033865544420272</v>
      </c>
      <c r="AE17">
        <f>K18*(100-AC17)/100</f>
        <v>0.36548746472310817</v>
      </c>
      <c r="AF17">
        <f t="shared" si="5"/>
        <v>11.036946362787878</v>
      </c>
      <c r="AG17">
        <f>AF17/AH18-1</f>
        <v>-3.3343437405275456E-3</v>
      </c>
      <c r="AH17">
        <f t="shared" si="6"/>
        <v>10.692753792592303</v>
      </c>
      <c r="AI17">
        <f t="shared" si="7"/>
        <v>2.295312232537678</v>
      </c>
      <c r="AJ17" s="6">
        <f t="shared" si="8"/>
        <v>1.3415177339095963</v>
      </c>
      <c r="AK17" s="6">
        <f t="shared" si="9"/>
        <v>4.3276670252992665E-2</v>
      </c>
      <c r="AL17" s="6">
        <f t="shared" si="10"/>
        <v>1.2513735976768963E-3</v>
      </c>
      <c r="AM17" s="6">
        <f t="shared" si="11"/>
        <v>6.5175708212338356E-3</v>
      </c>
      <c r="AN17" s="6">
        <f t="shared" si="12"/>
        <v>5.2083333333333339</v>
      </c>
      <c r="AO17">
        <f t="shared" ref="AO17:AU17" si="36">AH17/AH18-1</f>
        <v>-3.4415849673202548E-2</v>
      </c>
      <c r="AP17">
        <f t="shared" si="36"/>
        <v>-0.29719065656565669</v>
      </c>
      <c r="AQ17" s="6">
        <f t="shared" si="36"/>
        <v>-0.83423913043478259</v>
      </c>
      <c r="AR17" s="6">
        <f t="shared" si="36"/>
        <v>-5.8221726190476164E-2</v>
      </c>
      <c r="AS17" s="6">
        <f t="shared" si="36"/>
        <v>-0.26209677419354849</v>
      </c>
      <c r="AT17" s="6">
        <f t="shared" si="36"/>
        <v>-4.6875E-2</v>
      </c>
      <c r="AU17" s="6">
        <f t="shared" si="36"/>
        <v>0.29166666666666674</v>
      </c>
    </row>
    <row r="18" spans="1:47" s="2" customFormat="1">
      <c r="A18" s="2" t="s">
        <v>42</v>
      </c>
      <c r="B18" s="2">
        <v>1951</v>
      </c>
      <c r="C18" s="2">
        <v>15.3</v>
      </c>
      <c r="D18" s="2">
        <v>1.98</v>
      </c>
      <c r="E18" s="2">
        <v>0.61</v>
      </c>
      <c r="F18" s="2">
        <v>4.1399999999999997</v>
      </c>
      <c r="G18" s="2">
        <v>1.5</v>
      </c>
      <c r="H18" s="2">
        <v>3.7</v>
      </c>
      <c r="I18" s="2">
        <f t="shared" si="0"/>
        <v>4.0485876814437036</v>
      </c>
      <c r="J18" s="2">
        <f t="shared" si="1"/>
        <v>1.1940110757138178</v>
      </c>
      <c r="K18" s="2">
        <f t="shared" si="14"/>
        <v>0.36559825207222096</v>
      </c>
      <c r="L18" s="2">
        <f t="shared" si="15"/>
        <v>2.9588197740979436</v>
      </c>
      <c r="M18" s="2">
        <f t="shared" si="16"/>
        <v>0.6225843949044586</v>
      </c>
      <c r="N18" s="2">
        <f t="shared" si="17"/>
        <v>1.3724371568388596</v>
      </c>
      <c r="Q18" s="2">
        <v>168</v>
      </c>
      <c r="R18" s="2">
        <v>6.2</v>
      </c>
      <c r="S18" s="2">
        <v>51</v>
      </c>
      <c r="T18" s="2">
        <v>25</v>
      </c>
      <c r="U18" s="2">
        <f t="shared" si="2"/>
        <v>1.6799999999999999E-2</v>
      </c>
      <c r="V18" s="2">
        <f t="shared" si="3"/>
        <v>6.2E-4</v>
      </c>
      <c r="W18" s="2">
        <f t="shared" si="4"/>
        <v>2.5000000000000001E-3</v>
      </c>
      <c r="AH18" s="2">
        <f t="shared" si="6"/>
        <v>11.073870453417644</v>
      </c>
      <c r="AI18" s="2">
        <f t="shared" si="7"/>
        <v>3.2659102414908445</v>
      </c>
      <c r="AJ18" s="2">
        <f t="shared" si="8"/>
        <v>8.0930905914546134</v>
      </c>
      <c r="AK18" s="2">
        <f t="shared" si="9"/>
        <v>4.5952079652397504E-2</v>
      </c>
      <c r="AL18" s="2">
        <f t="shared" si="10"/>
        <v>1.6958505586003843E-3</v>
      </c>
      <c r="AM18" s="2">
        <f t="shared" si="11"/>
        <v>6.8381070911305818E-3</v>
      </c>
      <c r="AN18" s="2">
        <f t="shared" si="12"/>
        <v>4.032258064516129</v>
      </c>
    </row>
    <row r="19" spans="1:47">
      <c r="I19" s="3"/>
      <c r="J19" s="3"/>
      <c r="K19" s="3"/>
      <c r="L19" s="3"/>
      <c r="M19" s="3"/>
      <c r="N19" s="3"/>
      <c r="O19" s="3"/>
      <c r="P19" s="3"/>
      <c r="Q19" s="3"/>
      <c r="AI19" s="39"/>
      <c r="AJ19" s="39"/>
      <c r="AN19" s="39" t="s">
        <v>97</v>
      </c>
      <c r="AO19" s="6">
        <f>_xlfn.VAR.P(AO3:AO17)</f>
        <v>3.7074037118180095E-2</v>
      </c>
      <c r="AP19" s="3"/>
      <c r="AQ19" s="3"/>
    </row>
    <row r="20" spans="1:47">
      <c r="I20" s="3"/>
      <c r="J20" s="3"/>
      <c r="K20" s="3"/>
      <c r="L20" s="3"/>
      <c r="M20" s="3"/>
      <c r="N20" s="3"/>
      <c r="O20" s="3"/>
      <c r="P20" s="3"/>
      <c r="Q20" s="3"/>
      <c r="AN20" s="39" t="s">
        <v>98</v>
      </c>
      <c r="AO20">
        <f>AVERAGE(AO3:AO17)</f>
        <v>-0.21407510450419368</v>
      </c>
    </row>
    <row r="21" spans="1:47">
      <c r="J21" s="3"/>
      <c r="K21" s="3"/>
      <c r="L21" s="3"/>
      <c r="M21" s="3"/>
      <c r="N21" s="3"/>
      <c r="O21" s="3"/>
      <c r="P21" s="3"/>
      <c r="Q21" s="3"/>
    </row>
    <row r="22" spans="1:47">
      <c r="I22" s="3"/>
      <c r="J22" s="3"/>
      <c r="K22" s="3"/>
      <c r="L22" s="3"/>
      <c r="M22" s="3"/>
      <c r="N22" s="3"/>
      <c r="O22" s="3"/>
      <c r="P22" s="3"/>
      <c r="Q22" s="3"/>
      <c r="AG22" s="3"/>
      <c r="AP22" s="3"/>
      <c r="AQ22" s="3"/>
    </row>
    <row r="23" spans="1:47">
      <c r="I23" s="3"/>
      <c r="J23" s="3"/>
      <c r="K23" s="3"/>
      <c r="L23" s="3"/>
      <c r="M23" s="3"/>
      <c r="N23" s="3"/>
      <c r="O23" s="3"/>
      <c r="P23" s="3"/>
      <c r="Q23" s="3"/>
      <c r="AG23" s="3"/>
      <c r="AO23" s="3"/>
      <c r="AP23" s="3"/>
      <c r="AQ23" s="3"/>
    </row>
    <row r="24" spans="1:47">
      <c r="I24" s="3"/>
      <c r="J24" s="3"/>
      <c r="K24" s="3"/>
      <c r="L24" s="3"/>
      <c r="M24" s="3"/>
      <c r="N24" s="3"/>
      <c r="O24" s="3"/>
      <c r="P24" s="3"/>
      <c r="Q24" s="3"/>
      <c r="AO24" s="3"/>
    </row>
    <row r="25" spans="1:47">
      <c r="J25" s="3"/>
      <c r="K25" s="3"/>
      <c r="L25" s="3"/>
      <c r="M25" s="3"/>
      <c r="N25" s="3"/>
      <c r="O25" s="3"/>
      <c r="P25" s="3"/>
      <c r="Q25" s="3"/>
      <c r="AH25" s="3"/>
      <c r="AI25" s="3"/>
      <c r="AJ25" s="3"/>
    </row>
    <row r="26" spans="1:47">
      <c r="I26" s="3"/>
      <c r="J26" s="3"/>
      <c r="K26" s="3"/>
      <c r="L26" s="3"/>
      <c r="M26" s="3"/>
      <c r="N26" s="3"/>
      <c r="O26" s="3"/>
      <c r="P26" s="3"/>
      <c r="Q26" s="3"/>
      <c r="AH26" s="3"/>
      <c r="AI26" s="3"/>
      <c r="AJ26" s="3"/>
      <c r="AP26" s="3"/>
      <c r="AQ26" s="3"/>
    </row>
    <row r="27" spans="1:47">
      <c r="I27" s="3"/>
      <c r="J27" s="3"/>
      <c r="K27" s="3"/>
      <c r="L27" s="3"/>
      <c r="M27" s="3"/>
      <c r="N27" s="3"/>
      <c r="O27" s="3"/>
      <c r="P27" s="3"/>
      <c r="Q27" s="3"/>
      <c r="AH27" s="3"/>
      <c r="AI27" s="3"/>
      <c r="AJ27" s="3"/>
      <c r="AP27" s="3"/>
      <c r="AQ27" s="3"/>
    </row>
    <row r="28" spans="1:47">
      <c r="I28" s="3"/>
      <c r="J28" s="3"/>
      <c r="K28" s="3"/>
      <c r="L28" s="3"/>
      <c r="M28" s="3"/>
      <c r="N28" s="3"/>
      <c r="O28" s="3"/>
      <c r="P28" s="3"/>
      <c r="Q28" s="3"/>
    </row>
    <row r="29" spans="1:47">
      <c r="J29" s="3"/>
      <c r="K29" s="3"/>
      <c r="L29" s="3"/>
      <c r="M29" s="3"/>
      <c r="N29" s="3"/>
      <c r="O29" s="3"/>
      <c r="P29" s="3"/>
      <c r="Q29" s="3"/>
    </row>
    <row r="30" spans="1:47">
      <c r="I30" s="3"/>
      <c r="J30" s="3"/>
      <c r="K30" s="3"/>
      <c r="L30" s="3"/>
      <c r="M30" s="3"/>
      <c r="N30" s="3"/>
      <c r="O30" s="3"/>
      <c r="P30" s="3"/>
      <c r="Q30" s="3"/>
      <c r="AP30" s="3"/>
      <c r="AQ30" s="3"/>
    </row>
    <row r="31" spans="1:47">
      <c r="I31" s="3"/>
      <c r="J31" s="3"/>
      <c r="K31" s="3"/>
      <c r="L31" s="3"/>
      <c r="M31" s="3"/>
      <c r="N31" s="3"/>
      <c r="O31" s="3"/>
      <c r="P31" s="3"/>
      <c r="Q31" s="3"/>
      <c r="AP31" s="3"/>
      <c r="AQ31" s="3"/>
    </row>
    <row r="32" spans="1:47">
      <c r="I32" s="3"/>
      <c r="J32" s="3"/>
      <c r="K32" s="3"/>
      <c r="L32" s="3"/>
      <c r="M32" s="3"/>
      <c r="N32" s="3"/>
      <c r="O32" s="3"/>
      <c r="P32" s="3"/>
      <c r="Q32" s="3"/>
    </row>
    <row r="33" spans="9:43">
      <c r="J33" s="3"/>
      <c r="K33" s="3"/>
      <c r="L33" s="3"/>
      <c r="M33" s="3"/>
      <c r="N33" s="3"/>
      <c r="O33" s="3"/>
      <c r="P33" s="3"/>
      <c r="Q33" s="3"/>
    </row>
    <row r="34" spans="9:43">
      <c r="I34" s="3"/>
      <c r="J34" s="3"/>
      <c r="K34" s="3"/>
      <c r="L34" s="3"/>
      <c r="M34" s="3"/>
      <c r="N34" s="3"/>
      <c r="O34" s="3"/>
      <c r="P34" s="3"/>
      <c r="Q34" s="3"/>
      <c r="AG34" s="3"/>
      <c r="AP34" s="3"/>
      <c r="AQ34" s="3"/>
    </row>
    <row r="35" spans="9:43">
      <c r="I35" s="3"/>
      <c r="J35" s="3"/>
      <c r="K35" s="3"/>
      <c r="L35" s="3"/>
      <c r="M35" s="3"/>
      <c r="N35" s="3"/>
      <c r="O35" s="3"/>
      <c r="P35" s="3"/>
      <c r="Q35" s="3"/>
      <c r="AG35" s="3"/>
      <c r="AP35" s="3"/>
      <c r="AQ35" s="3"/>
    </row>
    <row r="36" spans="9:43">
      <c r="I36" s="3"/>
      <c r="J36" s="3"/>
      <c r="K36" s="3"/>
      <c r="L36" s="3"/>
      <c r="M36" s="3"/>
      <c r="N36" s="3"/>
      <c r="O36" s="3"/>
      <c r="P36" s="3"/>
      <c r="Q36" s="3"/>
      <c r="AO36" s="3"/>
    </row>
    <row r="37" spans="9:43">
      <c r="J37" s="3"/>
      <c r="K37" s="3"/>
      <c r="L37" s="3"/>
      <c r="M37" s="3"/>
      <c r="N37" s="3"/>
      <c r="O37" s="3"/>
      <c r="P37" s="3"/>
      <c r="Q37" s="3"/>
      <c r="AO37" s="3"/>
    </row>
    <row r="38" spans="9:43">
      <c r="I38" s="3"/>
      <c r="J38" s="3"/>
      <c r="K38" s="3"/>
      <c r="L38" s="3"/>
      <c r="M38" s="3"/>
      <c r="N38" s="3"/>
      <c r="O38" s="3"/>
      <c r="P38" s="3"/>
      <c r="Q38" s="3"/>
      <c r="AP38" s="3"/>
      <c r="AQ38" s="3"/>
    </row>
    <row r="39" spans="9:43">
      <c r="I39" s="3"/>
      <c r="J39" s="3"/>
      <c r="K39" s="3"/>
      <c r="L39" s="3"/>
      <c r="M39" s="3"/>
      <c r="N39" s="3"/>
      <c r="O39" s="3"/>
      <c r="P39" s="3"/>
      <c r="Q39" s="3"/>
      <c r="AP39" s="3"/>
      <c r="AQ39" s="3"/>
    </row>
    <row r="40" spans="9:43">
      <c r="I40" s="3"/>
      <c r="J40" s="3"/>
      <c r="K40" s="3"/>
      <c r="L40" s="3"/>
      <c r="M40" s="3"/>
      <c r="N40" s="3"/>
      <c r="O40" s="3"/>
      <c r="P40" s="3"/>
      <c r="Q40" s="3"/>
      <c r="AH40" s="3"/>
      <c r="AI40" s="3"/>
      <c r="AJ40" s="3"/>
    </row>
    <row r="41" spans="9:43">
      <c r="J41" s="3"/>
      <c r="K41" s="3"/>
      <c r="L41" s="3"/>
      <c r="M41" s="3"/>
      <c r="N41" s="3"/>
      <c r="O41" s="3"/>
      <c r="P41" s="3"/>
      <c r="Q41" s="3"/>
      <c r="AH41" s="3"/>
      <c r="AI41" s="3"/>
      <c r="AJ41" s="3"/>
    </row>
    <row r="42" spans="9:43">
      <c r="I42" s="3"/>
      <c r="J42" s="3"/>
      <c r="K42" s="3"/>
      <c r="L42" s="3"/>
      <c r="M42" s="3"/>
      <c r="N42" s="3"/>
      <c r="O42" s="3"/>
      <c r="P42" s="3"/>
      <c r="Q42" s="3"/>
      <c r="AH42" s="3"/>
      <c r="AI42" s="3"/>
      <c r="AJ42" s="3"/>
      <c r="AP42" s="3"/>
      <c r="AQ42" s="3"/>
    </row>
    <row r="43" spans="9:43">
      <c r="I43" s="3"/>
      <c r="J43" s="3"/>
      <c r="K43" s="3"/>
      <c r="L43" s="3"/>
      <c r="M43" s="3"/>
      <c r="N43" s="3"/>
      <c r="O43" s="3"/>
      <c r="P43" s="3"/>
      <c r="Q43" s="3"/>
      <c r="AP43" s="3"/>
      <c r="AQ43" s="3"/>
    </row>
    <row r="44" spans="9:43">
      <c r="I44" s="3"/>
      <c r="J44" s="3"/>
      <c r="K44" s="3"/>
      <c r="L44" s="3"/>
      <c r="M44" s="3"/>
      <c r="N44" s="3"/>
      <c r="O44" s="3"/>
      <c r="P44" s="3"/>
      <c r="Q44" s="3"/>
    </row>
    <row r="45" spans="9:43">
      <c r="J45" s="3"/>
      <c r="K45" s="3"/>
      <c r="L45" s="3"/>
      <c r="M45" s="3"/>
      <c r="N45" s="3"/>
      <c r="O45" s="3"/>
      <c r="P45" s="3"/>
      <c r="Q45" s="3"/>
    </row>
    <row r="46" spans="9:43">
      <c r="I46" s="3"/>
      <c r="J46" s="3"/>
      <c r="K46" s="3"/>
      <c r="L46" s="3"/>
      <c r="M46" s="3"/>
      <c r="N46" s="3"/>
      <c r="O46" s="3"/>
      <c r="P46" s="3"/>
      <c r="Q46" s="3"/>
      <c r="AG46" s="3"/>
      <c r="AP46" s="3"/>
      <c r="AQ46" s="3"/>
    </row>
    <row r="47" spans="9:43">
      <c r="I47" s="3"/>
      <c r="J47" s="3"/>
      <c r="K47" s="3"/>
      <c r="L47" s="3"/>
      <c r="M47" s="3"/>
      <c r="N47" s="3"/>
      <c r="O47" s="3"/>
      <c r="P47" s="3"/>
      <c r="Q47" s="3"/>
      <c r="AG47" s="3"/>
      <c r="AP47" s="3"/>
      <c r="AQ47" s="3"/>
    </row>
    <row r="48" spans="9:43">
      <c r="I48" s="3"/>
      <c r="J48" s="3"/>
      <c r="K48" s="3"/>
      <c r="L48" s="3"/>
      <c r="M48" s="3"/>
      <c r="N48" s="3"/>
      <c r="O48" s="3"/>
      <c r="P48" s="3"/>
      <c r="Q48" s="3"/>
    </row>
    <row r="49" spans="9:43">
      <c r="J49" s="3"/>
      <c r="K49" s="3"/>
      <c r="L49" s="3"/>
      <c r="M49" s="3"/>
      <c r="N49" s="3"/>
      <c r="O49" s="3"/>
      <c r="P49" s="3"/>
      <c r="Q49" s="3"/>
      <c r="AO49" s="3"/>
    </row>
    <row r="50" spans="9:43">
      <c r="I50" s="3"/>
      <c r="J50" s="3"/>
      <c r="K50" s="3"/>
      <c r="L50" s="3"/>
      <c r="M50" s="3"/>
      <c r="N50" s="3"/>
      <c r="O50" s="3"/>
      <c r="P50" s="3"/>
      <c r="Q50" s="3"/>
      <c r="AO50" s="3"/>
      <c r="AP50" s="3"/>
      <c r="AQ50" s="3"/>
    </row>
    <row r="51" spans="9:43">
      <c r="I51" s="3"/>
      <c r="J51" s="3"/>
      <c r="K51" s="3"/>
      <c r="L51" s="3"/>
      <c r="M51" s="3"/>
      <c r="N51" s="3"/>
      <c r="O51" s="3"/>
      <c r="P51" s="3"/>
      <c r="Q51" s="3"/>
      <c r="AP51" s="3"/>
      <c r="AQ51" s="3"/>
    </row>
    <row r="52" spans="9:43">
      <c r="I52" s="3"/>
      <c r="J52" s="3"/>
      <c r="K52" s="3"/>
      <c r="L52" s="3"/>
      <c r="M52" s="3"/>
      <c r="N52" s="3"/>
      <c r="O52" s="3"/>
      <c r="P52" s="3"/>
      <c r="Q52" s="3"/>
    </row>
    <row r="53" spans="9:43">
      <c r="J53" s="3"/>
      <c r="K53" s="3"/>
      <c r="L53" s="3"/>
      <c r="M53" s="3"/>
      <c r="N53" s="3"/>
      <c r="O53" s="3"/>
      <c r="P53" s="3"/>
      <c r="Q53" s="3"/>
    </row>
    <row r="54" spans="9:43">
      <c r="I54" s="3"/>
      <c r="J54" s="3"/>
      <c r="K54" s="3"/>
      <c r="L54" s="3"/>
      <c r="M54" s="3"/>
      <c r="N54" s="3"/>
      <c r="O54" s="3"/>
      <c r="P54" s="3"/>
      <c r="Q54" s="3"/>
      <c r="AP54" s="3"/>
      <c r="AQ54" s="3"/>
    </row>
    <row r="55" spans="9:43">
      <c r="I55" s="3"/>
      <c r="J55" s="3"/>
      <c r="K55" s="3"/>
      <c r="L55" s="3"/>
      <c r="M55" s="3"/>
      <c r="N55" s="3"/>
      <c r="O55" s="3"/>
      <c r="P55" s="3"/>
      <c r="Q55" s="3"/>
      <c r="AH55" s="3"/>
      <c r="AI55" s="3"/>
      <c r="AJ55" s="3"/>
      <c r="AP55" s="3"/>
      <c r="AQ55" s="3"/>
    </row>
    <row r="56" spans="9:43">
      <c r="I56" s="3"/>
      <c r="J56" s="3"/>
      <c r="K56" s="3"/>
      <c r="L56" s="3"/>
      <c r="M56" s="3"/>
      <c r="N56" s="3"/>
      <c r="O56" s="3"/>
      <c r="P56" s="3"/>
      <c r="Q56" s="3"/>
      <c r="AH56" s="3"/>
      <c r="AI56" s="3"/>
      <c r="AJ56" s="3"/>
    </row>
    <row r="57" spans="9:43">
      <c r="J57" s="3"/>
      <c r="K57" s="3"/>
      <c r="L57" s="3"/>
      <c r="M57" s="3"/>
      <c r="N57" s="3"/>
      <c r="O57" s="3"/>
      <c r="P57" s="3"/>
      <c r="Q57" s="3"/>
      <c r="AH57" s="3"/>
      <c r="AI57" s="3"/>
      <c r="AJ57" s="3"/>
    </row>
    <row r="58" spans="9:43">
      <c r="I58" s="3"/>
      <c r="J58" s="3"/>
      <c r="K58" s="3"/>
      <c r="L58" s="3"/>
      <c r="M58" s="3"/>
      <c r="N58" s="3"/>
      <c r="O58" s="3"/>
      <c r="P58" s="3"/>
      <c r="Q58" s="3"/>
      <c r="AG58" s="3"/>
      <c r="AP58" s="3"/>
      <c r="AQ58" s="3"/>
    </row>
    <row r="59" spans="9:43" s="3" customFormat="1"/>
    <row r="60" spans="9:43" s="3" customFormat="1"/>
  </sheetData>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22"/>
  <sheetViews>
    <sheetView topLeftCell="A17" zoomScale="80" zoomScaleNormal="80" workbookViewId="0">
      <selection activeCell="AA29" sqref="AA29"/>
    </sheetView>
  </sheetViews>
  <sheetFormatPr defaultRowHeight="14.5"/>
  <cols>
    <col min="1" max="1" width="11.6328125" style="6" customWidth="1"/>
    <col min="2" max="2" width="10.81640625" customWidth="1"/>
    <col min="6" max="8" width="8.7265625" style="6"/>
    <col min="12" max="23" width="8.7265625" style="6"/>
    <col min="24" max="24" width="13.54296875" customWidth="1"/>
    <col min="25" max="25" width="13.08984375" customWidth="1"/>
    <col min="26" max="26" width="13.6328125" customWidth="1"/>
    <col min="27" max="27" width="15.7265625" customWidth="1"/>
    <col min="28" max="28" width="20.26953125" customWidth="1"/>
    <col min="29" max="29" width="19.90625" customWidth="1"/>
    <col min="30" max="30" width="13.54296875" customWidth="1"/>
    <col min="31" max="31" width="12.54296875" customWidth="1"/>
    <col min="32" max="32" width="14.7265625" customWidth="1"/>
    <col min="33" max="33" width="17.26953125" customWidth="1"/>
    <col min="36" max="40" width="8.7265625" style="6"/>
    <col min="42" max="42" width="11.1796875" customWidth="1"/>
  </cols>
  <sheetData>
    <row r="1" spans="1:47" s="6" customFormat="1">
      <c r="A1" s="81" t="s">
        <v>176</v>
      </c>
      <c r="B1" s="81"/>
      <c r="C1" s="81"/>
      <c r="D1" s="81"/>
      <c r="E1" s="81"/>
      <c r="F1" s="81"/>
      <c r="G1" s="81"/>
      <c r="H1" s="81"/>
      <c r="I1" s="81"/>
      <c r="J1" s="81"/>
      <c r="K1" s="81"/>
      <c r="L1" s="81"/>
      <c r="M1" s="81"/>
      <c r="N1" s="81"/>
      <c r="O1" s="81"/>
      <c r="P1" s="81"/>
      <c r="Q1" s="81"/>
      <c r="R1" s="81"/>
      <c r="S1" s="92"/>
      <c r="T1" s="81"/>
      <c r="U1" s="81"/>
      <c r="V1" s="81"/>
    </row>
    <row r="2" spans="1:47">
      <c r="A2" s="1" t="s">
        <v>196</v>
      </c>
      <c r="B2" s="1" t="s">
        <v>18</v>
      </c>
      <c r="C2" s="1" t="s">
        <v>1</v>
      </c>
      <c r="D2" s="1" t="s">
        <v>2</v>
      </c>
      <c r="E2" s="1" t="s">
        <v>3</v>
      </c>
      <c r="F2" s="1" t="s">
        <v>48</v>
      </c>
      <c r="G2" s="1" t="s">
        <v>49</v>
      </c>
      <c r="H2" s="1" t="s">
        <v>50</v>
      </c>
      <c r="I2" s="1" t="s">
        <v>4</v>
      </c>
      <c r="J2" s="1" t="s">
        <v>5</v>
      </c>
      <c r="K2" s="1" t="s">
        <v>6</v>
      </c>
      <c r="L2" s="1" t="s">
        <v>45</v>
      </c>
      <c r="M2" s="1" t="s">
        <v>46</v>
      </c>
      <c r="N2" s="1" t="s">
        <v>47</v>
      </c>
      <c r="O2" s="1" t="s">
        <v>51</v>
      </c>
      <c r="P2" s="1" t="s">
        <v>52</v>
      </c>
      <c r="Q2" s="1" t="s">
        <v>110</v>
      </c>
      <c r="R2" s="1" t="s">
        <v>109</v>
      </c>
      <c r="S2" s="1" t="s">
        <v>378</v>
      </c>
      <c r="T2" s="1" t="s">
        <v>108</v>
      </c>
      <c r="U2" s="1" t="s">
        <v>120</v>
      </c>
      <c r="V2" s="1" t="s">
        <v>121</v>
      </c>
      <c r="W2" s="1" t="s">
        <v>122</v>
      </c>
      <c r="X2" s="1" t="s">
        <v>7</v>
      </c>
      <c r="Y2" s="1" t="s">
        <v>8</v>
      </c>
      <c r="Z2" s="1" t="s">
        <v>9</v>
      </c>
      <c r="AA2" s="1" t="s">
        <v>10</v>
      </c>
      <c r="AB2" s="1" t="s">
        <v>11</v>
      </c>
      <c r="AC2" s="1" t="s">
        <v>12</v>
      </c>
      <c r="AD2" s="1" t="s">
        <v>13</v>
      </c>
      <c r="AE2" s="1" t="s">
        <v>14</v>
      </c>
      <c r="AF2" s="1" t="s">
        <v>15</v>
      </c>
      <c r="AG2" s="1" t="s">
        <v>460</v>
      </c>
      <c r="AH2" s="1" t="s">
        <v>16</v>
      </c>
      <c r="AI2" s="1" t="s">
        <v>17</v>
      </c>
      <c r="AJ2" s="1" t="s">
        <v>107</v>
      </c>
      <c r="AK2" s="1" t="s">
        <v>134</v>
      </c>
      <c r="AL2" s="1" t="s">
        <v>136</v>
      </c>
      <c r="AM2" s="1" t="s">
        <v>135</v>
      </c>
      <c r="AN2" s="1" t="s">
        <v>106</v>
      </c>
      <c r="AO2" s="1" t="s">
        <v>459</v>
      </c>
      <c r="AP2" s="1" t="s">
        <v>461</v>
      </c>
      <c r="AQ2" s="1" t="s">
        <v>462</v>
      </c>
      <c r="AR2" s="1" t="s">
        <v>465</v>
      </c>
      <c r="AS2" s="1" t="s">
        <v>464</v>
      </c>
      <c r="AT2" s="1" t="s">
        <v>463</v>
      </c>
      <c r="AU2" s="1" t="s">
        <v>466</v>
      </c>
    </row>
    <row r="3" spans="1:47" s="15" customFormat="1">
      <c r="A3" s="15" t="s">
        <v>233</v>
      </c>
      <c r="B3" s="15">
        <v>-6</v>
      </c>
      <c r="C3" s="15">
        <v>22</v>
      </c>
      <c r="D3" s="15">
        <v>0.55000000000000004</v>
      </c>
      <c r="E3" s="15">
        <v>3</v>
      </c>
      <c r="F3" s="15">
        <v>0.63</v>
      </c>
      <c r="G3" s="15">
        <v>8.0399999999999991</v>
      </c>
      <c r="H3" s="15">
        <v>0.2</v>
      </c>
      <c r="I3" s="15">
        <f>C3*26.98/101.96</f>
        <v>5.8214986269125157</v>
      </c>
      <c r="J3" s="15">
        <f>D3*24.305/40.3044</f>
        <v>0.3316697432538383</v>
      </c>
      <c r="K3" s="15">
        <f>E3*47.867/79.866</f>
        <v>1.7980241905191194</v>
      </c>
      <c r="L3" s="15">
        <f>F3*40.078/56.0774</f>
        <v>0.45025518301490441</v>
      </c>
      <c r="M3" s="15">
        <f>G3*39.0983/94.2</f>
        <v>3.3370523566878978</v>
      </c>
      <c r="N3" s="15">
        <f>H3*22.989769/61.9789</f>
        <v>7.4185792261559982E-2</v>
      </c>
      <c r="O3" s="15">
        <f>100*(I3/(I3+L3+M3+N3))</f>
        <v>60.120866067390054</v>
      </c>
      <c r="P3" s="15">
        <f>100*(I3/(I3+L3+N3))</f>
        <v>91.735802605250726</v>
      </c>
      <c r="Q3" s="15">
        <v>567</v>
      </c>
      <c r="S3" s="15">
        <v>323</v>
      </c>
      <c r="T3" s="15">
        <v>180</v>
      </c>
      <c r="U3" s="15">
        <f>Q3/10000</f>
        <v>5.67E-2</v>
      </c>
      <c r="V3" s="15" t="s">
        <v>53</v>
      </c>
      <c r="W3" s="15">
        <f>T3/10000</f>
        <v>1.7999999999999999E-2</v>
      </c>
      <c r="X3" s="15">
        <f>(I3/AVERAGE(I17:I20)-1)*100</f>
        <v>68.260038240917794</v>
      </c>
      <c r="Y3" s="15">
        <f>(J3/AVERAGE(J17:J20)-1)*100</f>
        <v>-88.481675392670155</v>
      </c>
      <c r="Z3" s="15">
        <f>(K3/AVERAGE(K17:K20)-1)*100</f>
        <v>55.642023346303525</v>
      </c>
      <c r="AA3" s="15">
        <f>Y3/-0.61</f>
        <v>145.05192687322977</v>
      </c>
      <c r="AB3" s="15">
        <f>AA3*0.0032</f>
        <v>0.4641661659943353</v>
      </c>
      <c r="AC3" s="15">
        <f>AA3*0.000044</f>
        <v>6.38228478242211E-3</v>
      </c>
      <c r="AD3" s="15">
        <f>AVERAGE(I17:I20)*(100-AB3)/100</f>
        <v>3.4437631540508296</v>
      </c>
      <c r="AE3" s="15">
        <f>AVERAGE(K17:K20)*(100-AC3)/100</f>
        <v>1.1551568123054241</v>
      </c>
      <c r="AF3" s="15">
        <f>AD3/AE3</f>
        <v>2.9812083670076617</v>
      </c>
      <c r="AG3" s="15">
        <f>AF3/AVERAGE(AH17:AH20)-1</f>
        <v>-4.7038485366909244E-3</v>
      </c>
      <c r="AH3" s="15">
        <f>I3/K3</f>
        <v>3.2377198580580568</v>
      </c>
      <c r="AI3" s="15">
        <f>J3/K3</f>
        <v>0.18446344882494586</v>
      </c>
      <c r="AJ3" s="15">
        <f>L3/K3</f>
        <v>0.25041664366312461</v>
      </c>
      <c r="AK3" s="15">
        <f>U3/K3</f>
        <v>3.1534614661457794E-2</v>
      </c>
      <c r="AL3" s="15" t="s">
        <v>53</v>
      </c>
      <c r="AM3" s="15">
        <f>W3/K3</f>
        <v>1.0010988781415171E-2</v>
      </c>
      <c r="AN3" s="15" t="s">
        <v>53</v>
      </c>
      <c r="AO3" s="15">
        <f>AH3/AVERAGE(AH17:AH20)-1</f>
        <v>8.0934211074966234E-2</v>
      </c>
      <c r="AP3" s="15">
        <f>AI3/AVERAGE(AI17:AI20)-1</f>
        <v>-0.92595419455550454</v>
      </c>
      <c r="AQ3" s="15">
        <f>AJ3/AVERAGE(AJ17:AJ20)-1</f>
        <v>-0.93246305584458655</v>
      </c>
      <c r="AR3" s="15">
        <f>AK3/AVERAGE(AK17:AK20)-1</f>
        <v>0.38689332931652731</v>
      </c>
      <c r="AS3" s="15" t="s">
        <v>53</v>
      </c>
      <c r="AT3" s="15">
        <f>AM3/AVERAGE(AM17:AM20)-1</f>
        <v>-0.55106296434127355</v>
      </c>
      <c r="AU3" s="15" t="s">
        <v>53</v>
      </c>
    </row>
    <row r="4" spans="1:47" s="15" customFormat="1">
      <c r="A4" s="15" t="s">
        <v>233</v>
      </c>
      <c r="B4" s="15">
        <v>7</v>
      </c>
      <c r="C4" s="15">
        <v>25.4</v>
      </c>
      <c r="D4" s="15">
        <v>0.61</v>
      </c>
      <c r="E4" s="15">
        <v>3.15</v>
      </c>
      <c r="F4" s="15">
        <v>0.37</v>
      </c>
      <c r="G4" s="15">
        <v>9.3800000000000008</v>
      </c>
      <c r="H4" s="15">
        <v>0.2</v>
      </c>
      <c r="I4" s="15">
        <f>C4*26.98/101.96</f>
        <v>6.7211847783444485</v>
      </c>
      <c r="J4" s="15">
        <f t="shared" ref="J4:J20" si="0">D4*24.305/40.3044</f>
        <v>0.36785189706334787</v>
      </c>
      <c r="K4" s="15">
        <f t="shared" ref="K4:K20" si="1">E4*47.867/79.866</f>
        <v>1.8879254000450754</v>
      </c>
      <c r="L4" s="15">
        <f t="shared" ref="L4:L20" si="2">F4*40.078/56.0774</f>
        <v>0.26443558367542008</v>
      </c>
      <c r="M4" s="15">
        <f t="shared" ref="M4:M20" si="3">G4*39.0983/94.2</f>
        <v>3.8932277494692147</v>
      </c>
      <c r="N4" s="15">
        <f t="shared" ref="N4:N20" si="4">H4*22.989769/61.9789</f>
        <v>7.4185792261559982E-2</v>
      </c>
      <c r="O4" s="15">
        <f t="shared" ref="O4:O16" si="5">100*(I4/(I4+L4+M4+N4))</f>
        <v>61.363680943623457</v>
      </c>
      <c r="P4" s="15">
        <f t="shared" ref="P4:P16" si="6">100*(I4/(I4+L4+N4))</f>
        <v>95.203531534196259</v>
      </c>
      <c r="Q4" s="15">
        <v>630</v>
      </c>
      <c r="R4" s="15">
        <v>5</v>
      </c>
      <c r="S4" s="15">
        <v>403</v>
      </c>
      <c r="T4" s="15">
        <v>160</v>
      </c>
      <c r="U4" s="15">
        <f t="shared" ref="U4:U20" si="7">Q4/10000</f>
        <v>6.3E-2</v>
      </c>
      <c r="V4" s="15">
        <f t="shared" ref="V4:V20" si="8">R4/10000</f>
        <v>5.0000000000000001E-4</v>
      </c>
      <c r="W4" s="15">
        <f t="shared" ref="W4:W20" si="9">T4/10000</f>
        <v>1.6E-2</v>
      </c>
      <c r="X4" s="15">
        <f>(I4/AVERAGE(I17:I20)-1)*100</f>
        <v>94.263862332695965</v>
      </c>
      <c r="Y4" s="15">
        <f>(J4/AVERAGE(J17:J20)-1)*100</f>
        <v>-87.225130890052355</v>
      </c>
      <c r="Z4" s="15">
        <f>(K4/AVERAGE(K17:K20)-1)*100</f>
        <v>63.424124513618693</v>
      </c>
      <c r="AA4" s="15">
        <f t="shared" ref="AA4:AA16" si="10">Y4/-0.61</f>
        <v>142.99201785254485</v>
      </c>
      <c r="AB4" s="15">
        <f t="shared" ref="AB4:AB16" si="11">AA4*0.0032</f>
        <v>0.45757445712814354</v>
      </c>
      <c r="AC4" s="15">
        <f t="shared" ref="AC4:AC16" si="12">AA4*0.000044</f>
        <v>6.2916487855119736E-3</v>
      </c>
      <c r="AD4" s="15">
        <f>AVERAGE(I17:I20)*(100-AB4)/100</f>
        <v>3.4439912154759589</v>
      </c>
      <c r="AE4" s="15">
        <f>AVERAGE(K17:K20)*(100-AC4)/100</f>
        <v>1.1551578593601428</v>
      </c>
      <c r="AF4" s="15">
        <f t="shared" ref="AF4:AF16" si="13">AD4/AE4</f>
        <v>2.9814030935855218</v>
      </c>
      <c r="AG4" s="15">
        <f>AF4/AVERAGE(AH17:AH20)-1</f>
        <v>-4.6388377794166491E-3</v>
      </c>
      <c r="AH4" s="15">
        <f t="shared" ref="AH4:AH20" si="14">I4/K4</f>
        <v>3.5600902335356981</v>
      </c>
      <c r="AI4" s="15">
        <f t="shared" ref="AI4:AI20" si="15">J4/K4</f>
        <v>0.19484450871552719</v>
      </c>
      <c r="AJ4" s="15">
        <f t="shared" ref="AJ4:AJ20" si="16">L4/K4</f>
        <v>0.14006675458103721</v>
      </c>
      <c r="AK4" s="15">
        <f t="shared" ref="AK4:AK20" si="17">U4/K4</f>
        <v>3.3369962604717238E-2</v>
      </c>
      <c r="AL4" s="15">
        <f t="shared" ref="AL4:AL20" si="18">V4/K4</f>
        <v>2.6484097305331145E-4</v>
      </c>
      <c r="AM4" s="15">
        <f t="shared" ref="AM4:AM20" si="19">W4/K4</f>
        <v>8.4749111377059663E-3</v>
      </c>
      <c r="AN4" s="15">
        <f t="shared" ref="AN4:AN20" si="20">W4/V4</f>
        <v>32</v>
      </c>
      <c r="AO4" s="15">
        <f t="shared" ref="AO4:AU4" si="21">AH4/AVERAGE(AH17:AH20)-1</f>
        <v>0.18855969529455141</v>
      </c>
      <c r="AP4" s="15">
        <f t="shared" si="21"/>
        <v>-0.92178711459542462</v>
      </c>
      <c r="AQ4" s="15">
        <f t="shared" si="21"/>
        <v>-0.96222423380573996</v>
      </c>
      <c r="AR4" s="15">
        <f t="shared" si="21"/>
        <v>0.46761198869473763</v>
      </c>
      <c r="AS4" s="15">
        <f t="shared" si="21"/>
        <v>-0.22091345104575766</v>
      </c>
      <c r="AT4" s="15">
        <f t="shared" si="21"/>
        <v>-0.61994748304023151</v>
      </c>
      <c r="AU4" s="15">
        <f t="shared" si="21"/>
        <v>-0.51319762947693892</v>
      </c>
    </row>
    <row r="5" spans="1:47" s="6" customFormat="1">
      <c r="A5" s="6" t="s">
        <v>233</v>
      </c>
      <c r="B5" s="6">
        <v>19</v>
      </c>
      <c r="C5" s="6">
        <v>29.6</v>
      </c>
      <c r="D5" s="6">
        <v>0.69</v>
      </c>
      <c r="E5" s="6">
        <v>4.5199999999999996</v>
      </c>
      <c r="F5" s="6">
        <v>0.21</v>
      </c>
      <c r="G5" s="6">
        <v>10.18</v>
      </c>
      <c r="H5" s="6">
        <v>0.2</v>
      </c>
      <c r="I5" s="6">
        <f>C5*26.98/101.96</f>
        <v>7.8325617889368386</v>
      </c>
      <c r="J5" s="6">
        <f t="shared" si="0"/>
        <v>0.41609476880936069</v>
      </c>
      <c r="K5" s="6">
        <f t="shared" si="1"/>
        <v>2.7090231137154728</v>
      </c>
      <c r="L5" s="6">
        <f t="shared" si="2"/>
        <v>0.15008506100496816</v>
      </c>
      <c r="M5" s="6">
        <f t="shared" si="3"/>
        <v>4.2252727600849251</v>
      </c>
      <c r="N5" s="6">
        <f t="shared" si="4"/>
        <v>7.4185792261559982E-2</v>
      </c>
      <c r="O5" s="6">
        <f t="shared" si="5"/>
        <v>63.772142742542712</v>
      </c>
      <c r="P5" s="6">
        <f t="shared" si="6"/>
        <v>97.216389327838954</v>
      </c>
      <c r="Q5" s="6">
        <v>578</v>
      </c>
      <c r="R5" s="6">
        <v>8.3000000000000007</v>
      </c>
      <c r="S5" s="6">
        <v>451</v>
      </c>
      <c r="T5" s="6">
        <v>550</v>
      </c>
      <c r="U5" s="6">
        <f t="shared" si="7"/>
        <v>5.7799999999999997E-2</v>
      </c>
      <c r="V5" s="6">
        <f t="shared" si="8"/>
        <v>8.3000000000000012E-4</v>
      </c>
      <c r="W5" s="6">
        <f t="shared" si="9"/>
        <v>5.5E-2</v>
      </c>
      <c r="X5" s="6">
        <f>(I5/AVERAGE(I17:I20)-1)*100</f>
        <v>126.38623326959851</v>
      </c>
      <c r="Y5" s="6">
        <f>(J5/AVERAGE(J17:J20)-1)*100</f>
        <v>-85.549738219895289</v>
      </c>
      <c r="Z5" s="6">
        <f>(K5/AVERAGE(K17:K20)-1)*100</f>
        <v>134.50064850843063</v>
      </c>
      <c r="AA5" s="6">
        <f t="shared" si="10"/>
        <v>140.24547249163163</v>
      </c>
      <c r="AB5" s="6">
        <f t="shared" si="11"/>
        <v>0.44878551197322125</v>
      </c>
      <c r="AC5" s="6">
        <f t="shared" si="12"/>
        <v>6.170800789631792E-3</v>
      </c>
      <c r="AD5" s="6">
        <f>AVERAGE(I17:I20)*(100-AB5)/100</f>
        <v>3.4442952973761312</v>
      </c>
      <c r="AE5" s="6">
        <f>AVERAGE(K17:K20)*(100-AC5)/100</f>
        <v>1.1551592554331009</v>
      </c>
      <c r="AF5" s="6">
        <f t="shared" si="13"/>
        <v>2.9816627284735473</v>
      </c>
      <c r="AG5" s="6">
        <f>AF5/AVERAGE(AH17:AH20)-1</f>
        <v>-4.5521569530452277E-3</v>
      </c>
      <c r="AH5" s="6">
        <f t="shared" si="14"/>
        <v>2.8912864380084016</v>
      </c>
      <c r="AI5" s="6">
        <f t="shared" si="15"/>
        <v>0.1535958725131287</v>
      </c>
      <c r="AJ5" s="6">
        <f t="shared" si="16"/>
        <v>5.5401912314850595E-2</v>
      </c>
      <c r="AK5" s="6">
        <f t="shared" si="17"/>
        <v>2.1336104408768326E-2</v>
      </c>
      <c r="AL5" s="6">
        <f t="shared" si="18"/>
        <v>3.063835062158774E-4</v>
      </c>
      <c r="AM5" s="6">
        <f t="shared" si="19"/>
        <v>2.0302521496232837E-2</v>
      </c>
      <c r="AN5" s="6">
        <f t="shared" si="20"/>
        <v>66.265060240963848</v>
      </c>
      <c r="AO5" s="6">
        <f t="shared" ref="AO5:AU5" si="22">AH5/AVERAGE(AH17:AH20)-1</f>
        <v>-3.4724879892829796E-2</v>
      </c>
      <c r="AP5" s="6">
        <f t="shared" si="22"/>
        <v>-0.93834480399432596</v>
      </c>
      <c r="AQ5" s="6">
        <f t="shared" si="22"/>
        <v>-0.98505819819570495</v>
      </c>
      <c r="AR5" s="6">
        <f t="shared" si="22"/>
        <v>-6.1637467405355584E-2</v>
      </c>
      <c r="AS5" s="6">
        <f t="shared" si="22"/>
        <v>-9.8707175999616314E-2</v>
      </c>
      <c r="AT5" s="6">
        <f t="shared" si="22"/>
        <v>-8.9545097299780219E-2</v>
      </c>
      <c r="AU5" s="6">
        <f t="shared" si="22"/>
        <v>8.0621377548326656E-3</v>
      </c>
    </row>
    <row r="6" spans="1:47" s="6" customFormat="1">
      <c r="A6" s="6" t="s">
        <v>233</v>
      </c>
      <c r="B6" s="6">
        <v>30</v>
      </c>
      <c r="C6" s="6">
        <v>25.7</v>
      </c>
      <c r="D6" s="6">
        <v>0.65</v>
      </c>
      <c r="E6" s="6">
        <v>4.05</v>
      </c>
      <c r="F6" s="6">
        <v>0.83</v>
      </c>
      <c r="G6" s="6">
        <v>9.02</v>
      </c>
      <c r="H6" s="6">
        <v>0.2</v>
      </c>
      <c r="I6" s="6">
        <f t="shared" ref="I6:I20" si="23">C6*26.98/101.96</f>
        <v>6.8005688505296193</v>
      </c>
      <c r="J6" s="6">
        <f t="shared" si="0"/>
        <v>0.39197333293635439</v>
      </c>
      <c r="K6" s="6">
        <f t="shared" si="1"/>
        <v>2.4273326572008114</v>
      </c>
      <c r="L6" s="6">
        <f t="shared" si="2"/>
        <v>0.59319333635296934</v>
      </c>
      <c r="M6" s="6">
        <f t="shared" si="3"/>
        <v>3.7438074946921445</v>
      </c>
      <c r="N6" s="6">
        <f t="shared" si="4"/>
        <v>7.4185792261559982E-2</v>
      </c>
      <c r="O6" s="6">
        <f t="shared" si="5"/>
        <v>60.655700763358603</v>
      </c>
      <c r="P6" s="6">
        <f t="shared" si="6"/>
        <v>91.063420226301403</v>
      </c>
      <c r="Q6" s="6">
        <v>559</v>
      </c>
      <c r="R6" s="6">
        <v>9.1</v>
      </c>
      <c r="S6" s="6">
        <v>409</v>
      </c>
      <c r="T6" s="6">
        <v>410</v>
      </c>
      <c r="U6" s="6">
        <f t="shared" si="7"/>
        <v>5.5899999999999998E-2</v>
      </c>
      <c r="V6" s="6">
        <f t="shared" si="8"/>
        <v>9.1E-4</v>
      </c>
      <c r="W6" s="6">
        <f t="shared" si="9"/>
        <v>4.1000000000000002E-2</v>
      </c>
      <c r="X6" s="6">
        <f>(I6/AVERAGE(I17:I20)-1)*100</f>
        <v>96.558317399617579</v>
      </c>
      <c r="Y6" s="6">
        <f>(J6/AVERAGE(J17:J20)-1)*100</f>
        <v>-86.387434554973822</v>
      </c>
      <c r="Z6" s="6">
        <f>(K6/AVERAGE(K17:K20)-1)*100</f>
        <v>110.11673151750978</v>
      </c>
      <c r="AA6" s="6">
        <f t="shared" si="10"/>
        <v>141.61874517208824</v>
      </c>
      <c r="AB6" s="6">
        <f t="shared" si="11"/>
        <v>0.45317998455068237</v>
      </c>
      <c r="AC6" s="6">
        <f t="shared" si="12"/>
        <v>6.2312247875718823E-3</v>
      </c>
      <c r="AD6" s="6">
        <f>AVERAGE(I17:I20)*(100-AB6)/100</f>
        <v>3.4441432564260452</v>
      </c>
      <c r="AE6" s="6">
        <f>AVERAGE(K17:K20)*(100-AC6)/100</f>
        <v>1.1551585573966221</v>
      </c>
      <c r="AF6" s="6">
        <f t="shared" si="13"/>
        <v>2.9815329111079798</v>
      </c>
      <c r="AG6" s="6">
        <f>AF6/AVERAGE(AH17:AH20)-1</f>
        <v>-4.5954973400414989E-3</v>
      </c>
      <c r="AH6" s="6">
        <f t="shared" si="14"/>
        <v>2.8016633115182503</v>
      </c>
      <c r="AI6" s="6">
        <f t="shared" si="15"/>
        <v>0.16148315385348797</v>
      </c>
      <c r="AJ6" s="6">
        <f t="shared" si="16"/>
        <v>0.24438073396871654</v>
      </c>
      <c r="AK6" s="6">
        <f t="shared" si="17"/>
        <v>2.3029393945724612E-2</v>
      </c>
      <c r="AL6" s="6">
        <f t="shared" si="18"/>
        <v>3.7489711074435413E-4</v>
      </c>
      <c r="AM6" s="6">
        <f t="shared" si="19"/>
        <v>1.689096872584453E-2</v>
      </c>
      <c r="AN6" s="6">
        <f t="shared" si="20"/>
        <v>45.054945054945058</v>
      </c>
      <c r="AO6" s="6">
        <f t="shared" ref="AO6:AU6" si="24">AH6/AVERAGE(AH17:AH20)-1</f>
        <v>-6.464615405297558E-2</v>
      </c>
      <c r="AP6" s="6">
        <f t="shared" si="24"/>
        <v>-0.9351787561765359</v>
      </c>
      <c r="AQ6" s="6">
        <f t="shared" si="24"/>
        <v>-0.93409093045385871</v>
      </c>
      <c r="AR6" s="6">
        <f t="shared" si="24"/>
        <v>1.2833458864639935E-2</v>
      </c>
      <c r="AS6" s="6">
        <f t="shared" si="24"/>
        <v>0.10284029263078298</v>
      </c>
      <c r="AT6" s="6">
        <f t="shared" si="24"/>
        <v>-0.2425342196704614</v>
      </c>
      <c r="AU6" s="6">
        <f t="shared" si="24"/>
        <v>-0.31459831073332745</v>
      </c>
    </row>
    <row r="7" spans="1:47" s="6" customFormat="1">
      <c r="A7" s="6" t="s">
        <v>233</v>
      </c>
      <c r="B7" s="6">
        <v>65</v>
      </c>
      <c r="C7" s="6">
        <v>27.9</v>
      </c>
      <c r="D7" s="6">
        <v>0.76</v>
      </c>
      <c r="E7" s="6">
        <v>4.34</v>
      </c>
      <c r="F7" s="6">
        <v>1.26</v>
      </c>
      <c r="G7" s="6">
        <v>9.9499999999999993</v>
      </c>
      <c r="H7" s="6">
        <v>0.2</v>
      </c>
      <c r="I7" s="6">
        <f t="shared" si="23"/>
        <v>7.3827187132208714</v>
      </c>
      <c r="J7" s="6">
        <f t="shared" si="0"/>
        <v>0.45830728158712203</v>
      </c>
      <c r="K7" s="6">
        <f t="shared" si="1"/>
        <v>2.6011416622843262</v>
      </c>
      <c r="L7" s="6">
        <f t="shared" si="2"/>
        <v>0.90051036602980883</v>
      </c>
      <c r="M7" s="6">
        <f t="shared" si="3"/>
        <v>4.129809819532908</v>
      </c>
      <c r="N7" s="6">
        <f t="shared" si="4"/>
        <v>7.4185792261559982E-2</v>
      </c>
      <c r="O7" s="6">
        <f t="shared" si="5"/>
        <v>59.122174028911111</v>
      </c>
      <c r="P7" s="6">
        <f t="shared" si="6"/>
        <v>88.337348650552244</v>
      </c>
      <c r="Q7" s="6">
        <v>593</v>
      </c>
      <c r="R7" s="6">
        <v>9.1999999999999993</v>
      </c>
      <c r="S7" s="6">
        <v>473</v>
      </c>
      <c r="T7" s="6">
        <v>510</v>
      </c>
      <c r="U7" s="6">
        <f t="shared" si="7"/>
        <v>5.9299999999999999E-2</v>
      </c>
      <c r="V7" s="6">
        <f t="shared" si="8"/>
        <v>9.1999999999999992E-4</v>
      </c>
      <c r="W7" s="6">
        <f t="shared" si="9"/>
        <v>5.0999999999999997E-2</v>
      </c>
      <c r="X7" s="6">
        <f>(I7/AVERAGE(I17:I20)-1)*100</f>
        <v>113.38432122370938</v>
      </c>
      <c r="Y7" s="6">
        <f>(J7/AVERAGE(J17:J20)-1)*100</f>
        <v>-84.083769633507856</v>
      </c>
      <c r="Z7" s="6">
        <f>(K7/AVERAGE(K17:K20)-1)*100</f>
        <v>125.16212710765244</v>
      </c>
      <c r="AA7" s="6">
        <f t="shared" si="10"/>
        <v>137.84224530083256</v>
      </c>
      <c r="AB7" s="6">
        <f t="shared" si="11"/>
        <v>0.4410951849626642</v>
      </c>
      <c r="AC7" s="6">
        <f t="shared" si="12"/>
        <v>6.0650587932366325E-3</v>
      </c>
      <c r="AD7" s="6">
        <f>AVERAGE(I17:I20)*(100-AB7)/100</f>
        <v>3.4445613690387824</v>
      </c>
      <c r="AE7" s="6">
        <f>AVERAGE(K17:K20)*(100-AC7)/100</f>
        <v>1.1551604769969395</v>
      </c>
      <c r="AF7" s="6">
        <f t="shared" si="13"/>
        <v>2.98188990848577</v>
      </c>
      <c r="AG7" s="6">
        <f>AF7/AVERAGE(AH17:AH20)-1</f>
        <v>-4.4763114018395722E-3</v>
      </c>
      <c r="AH7" s="6">
        <f t="shared" si="14"/>
        <v>2.8382609145314128</v>
      </c>
      <c r="AI7" s="6">
        <f t="shared" si="15"/>
        <v>0.17619466414783266</v>
      </c>
      <c r="AJ7" s="6">
        <f t="shared" si="16"/>
        <v>0.34619812487989576</v>
      </c>
      <c r="AK7" s="6">
        <f t="shared" si="17"/>
        <v>2.279768182557295E-2</v>
      </c>
      <c r="AL7" s="6">
        <f t="shared" si="18"/>
        <v>3.5369084788409972E-4</v>
      </c>
      <c r="AM7" s="6">
        <f t="shared" si="19"/>
        <v>1.9606775263140312E-2</v>
      </c>
      <c r="AN7" s="6">
        <f t="shared" si="20"/>
        <v>55.434782608695656</v>
      </c>
      <c r="AO7" s="6">
        <f t="shared" ref="AO7:AU7" si="25">AH7/AVERAGE(AH17:AH20)-1</f>
        <v>-5.242780197973762E-2</v>
      </c>
      <c r="AP7" s="6">
        <f t="shared" si="25"/>
        <v>-0.92927338231527035</v>
      </c>
      <c r="AQ7" s="6">
        <f t="shared" si="25"/>
        <v>-0.90663095278053429</v>
      </c>
      <c r="AR7" s="6">
        <f t="shared" si="25"/>
        <v>2.6427526451375805E-3</v>
      </c>
      <c r="AS7" s="6">
        <f t="shared" si="25"/>
        <v>4.0457520216310439E-2</v>
      </c>
      <c r="AT7" s="6">
        <f t="shared" si="25"/>
        <v>-0.12074543707392282</v>
      </c>
      <c r="AU7" s="6">
        <f t="shared" si="25"/>
        <v>-0.15669426302051237</v>
      </c>
    </row>
    <row r="8" spans="1:47" s="6" customFormat="1">
      <c r="A8" s="6" t="s">
        <v>233</v>
      </c>
      <c r="B8" s="6">
        <v>76</v>
      </c>
      <c r="C8" s="6">
        <v>26.7</v>
      </c>
      <c r="D8" s="6">
        <v>1.02</v>
      </c>
      <c r="E8" s="6">
        <v>4.07</v>
      </c>
      <c r="F8" s="6">
        <v>1</v>
      </c>
      <c r="G8" s="6">
        <v>9.06</v>
      </c>
      <c r="H8" s="6">
        <v>0.2</v>
      </c>
      <c r="I8" s="6">
        <f t="shared" si="23"/>
        <v>7.0651824244801888</v>
      </c>
      <c r="J8" s="6">
        <f t="shared" si="0"/>
        <v>0.61509661476166377</v>
      </c>
      <c r="K8" s="6">
        <f t="shared" si="1"/>
        <v>2.4393194851376054</v>
      </c>
      <c r="L8" s="6">
        <f t="shared" si="2"/>
        <v>0.7146907666903245</v>
      </c>
      <c r="M8" s="6">
        <f t="shared" si="3"/>
        <v>3.7604097452229301</v>
      </c>
      <c r="N8" s="6">
        <f t="shared" si="4"/>
        <v>7.4185792261559982E-2</v>
      </c>
      <c r="O8" s="6">
        <f t="shared" si="5"/>
        <v>60.830870438775221</v>
      </c>
      <c r="P8" s="6">
        <f t="shared" si="6"/>
        <v>89.955810611863257</v>
      </c>
      <c r="Q8" s="6">
        <v>532</v>
      </c>
      <c r="R8" s="6">
        <v>8.6999999999999993</v>
      </c>
      <c r="S8" s="6">
        <v>460</v>
      </c>
      <c r="T8" s="6">
        <v>500</v>
      </c>
      <c r="U8" s="6">
        <f t="shared" si="7"/>
        <v>5.3199999999999997E-2</v>
      </c>
      <c r="V8" s="6">
        <f t="shared" si="8"/>
        <v>8.699999999999999E-4</v>
      </c>
      <c r="W8" s="6">
        <f t="shared" si="9"/>
        <v>0.05</v>
      </c>
      <c r="X8" s="6">
        <f>(I8/AVERAGE(I17:I20)-1)*100</f>
        <v>104.20650095602295</v>
      </c>
      <c r="Y8" s="6">
        <f>(J8/AVERAGE(J17:J20)-1)*100</f>
        <v>-78.638743455497391</v>
      </c>
      <c r="Z8" s="6">
        <f>(K8/AVERAGE(K17:K20)-1)*100</f>
        <v>111.15434500648513</v>
      </c>
      <c r="AA8" s="6">
        <f t="shared" si="10"/>
        <v>128.91597287786459</v>
      </c>
      <c r="AB8" s="6">
        <f t="shared" si="11"/>
        <v>0.41253111320916669</v>
      </c>
      <c r="AC8" s="6">
        <f t="shared" si="12"/>
        <v>5.6723028066260417E-3</v>
      </c>
      <c r="AD8" s="6">
        <f>AVERAGE(I17:I20)*(100-AB8)/100</f>
        <v>3.4455496352143427</v>
      </c>
      <c r="AE8" s="6">
        <f>AVERAGE(K17:K20)*(100-AC8)/100</f>
        <v>1.1551650142340539</v>
      </c>
      <c r="AF8" s="6">
        <f t="shared" si="13"/>
        <v>2.9827337157531177</v>
      </c>
      <c r="AG8" s="6">
        <f>AF8/AVERAGE(AH17:AH20)-1</f>
        <v>-4.1946007589129808E-3</v>
      </c>
      <c r="AH8" s="6">
        <f t="shared" si="14"/>
        <v>2.8963743648698941</v>
      </c>
      <c r="AI8" s="6">
        <f t="shared" si="15"/>
        <v>0.2521591035980944</v>
      </c>
      <c r="AJ8" s="6">
        <f t="shared" si="16"/>
        <v>0.29298776607362187</v>
      </c>
      <c r="AK8" s="6">
        <f t="shared" si="17"/>
        <v>2.1809361309225516E-2</v>
      </c>
      <c r="AL8" s="6">
        <f t="shared" si="18"/>
        <v>3.5665684847793603E-4</v>
      </c>
      <c r="AM8" s="6">
        <f t="shared" si="19"/>
        <v>2.0497520027467592E-2</v>
      </c>
      <c r="AN8" s="6">
        <f t="shared" si="20"/>
        <v>57.471264367816104</v>
      </c>
      <c r="AO8" s="6">
        <f t="shared" ref="AO8:AU8" si="26">AH8/AVERAGE(AH17:AH20)-1</f>
        <v>-3.3026241823712499E-2</v>
      </c>
      <c r="AP8" s="6">
        <f t="shared" si="26"/>
        <v>-0.89878035976763182</v>
      </c>
      <c r="AQ8" s="6">
        <f t="shared" si="26"/>
        <v>-0.92098169631986249</v>
      </c>
      <c r="AR8" s="6">
        <f t="shared" si="26"/>
        <v>-4.0823614268304165E-2</v>
      </c>
      <c r="AS8" s="6">
        <f t="shared" si="26"/>
        <v>4.9182647375479505E-2</v>
      </c>
      <c r="AT8" s="6">
        <f t="shared" si="26"/>
        <v>-8.0800500289257782E-2</v>
      </c>
      <c r="AU8" s="6">
        <f t="shared" si="26"/>
        <v>-0.12571413339967463</v>
      </c>
    </row>
    <row r="9" spans="1:47" s="6" customFormat="1">
      <c r="A9" s="6" t="s">
        <v>216</v>
      </c>
      <c r="B9" s="6">
        <v>101</v>
      </c>
      <c r="C9" s="6">
        <v>17.7</v>
      </c>
      <c r="D9" s="6">
        <v>1.31</v>
      </c>
      <c r="E9" s="6">
        <v>2.72</v>
      </c>
      <c r="F9" s="6">
        <v>0.79</v>
      </c>
      <c r="G9" s="6">
        <v>4.51</v>
      </c>
      <c r="H9" s="6">
        <v>0.2</v>
      </c>
      <c r="I9" s="6">
        <f t="shared" si="23"/>
        <v>4.6836602589250687</v>
      </c>
      <c r="J9" s="6">
        <f t="shared" si="0"/>
        <v>0.78997702484096033</v>
      </c>
      <c r="K9" s="6">
        <f t="shared" si="1"/>
        <v>1.6302085994040016</v>
      </c>
      <c r="L9" s="6">
        <f t="shared" si="2"/>
        <v>0.5646057056853564</v>
      </c>
      <c r="M9" s="6">
        <f t="shared" si="3"/>
        <v>1.8719037473460722</v>
      </c>
      <c r="N9" s="6">
        <f t="shared" si="4"/>
        <v>7.4185792261559982E-2</v>
      </c>
      <c r="O9" s="6">
        <f t="shared" si="5"/>
        <v>65.101874048051059</v>
      </c>
      <c r="P9" s="6">
        <f t="shared" si="6"/>
        <v>87.998172137076622</v>
      </c>
      <c r="Q9" s="6">
        <v>336</v>
      </c>
      <c r="R9" s="6">
        <v>5.0999999999999996</v>
      </c>
      <c r="S9" s="6">
        <v>219</v>
      </c>
      <c r="T9" s="6">
        <v>330</v>
      </c>
      <c r="U9" s="6">
        <f t="shared" si="7"/>
        <v>3.3599999999999998E-2</v>
      </c>
      <c r="V9" s="6">
        <f t="shared" si="8"/>
        <v>5.0999999999999993E-4</v>
      </c>
      <c r="W9" s="6">
        <f t="shared" si="9"/>
        <v>3.3000000000000002E-2</v>
      </c>
      <c r="X9" s="6">
        <f>(I9/AVERAGE(I17:I20)-1)*100</f>
        <v>35.372848948374759</v>
      </c>
      <c r="Y9" s="6">
        <f>(J9/AVERAGE(J17:J20)-1)*100</f>
        <v>-72.565445026178011</v>
      </c>
      <c r="Z9" s="6">
        <f>(K9/AVERAGE(K17:K20)-1)*100</f>
        <v>41.11543450064854</v>
      </c>
      <c r="AA9" s="6">
        <f t="shared" si="10"/>
        <v>118.95974594455411</v>
      </c>
      <c r="AB9" s="6">
        <f t="shared" si="11"/>
        <v>0.38067118702257319</v>
      </c>
      <c r="AC9" s="6">
        <f t="shared" si="12"/>
        <v>5.234228821560381E-3</v>
      </c>
      <c r="AD9" s="6">
        <f>AVERAGE(I17:I20)*(100-AB9)/100</f>
        <v>3.4466519321024678</v>
      </c>
      <c r="AE9" s="6">
        <f>AVERAGE(K17:K20)*(100-AC9)/100</f>
        <v>1.1551700749985279</v>
      </c>
      <c r="AF9" s="6">
        <f t="shared" si="13"/>
        <v>2.9836748775775379</v>
      </c>
      <c r="AG9" s="6">
        <f>AF9/AVERAGE(AH17:AH20)-1</f>
        <v>-3.8803876525376202E-3</v>
      </c>
      <c r="AH9" s="6">
        <f t="shared" si="14"/>
        <v>2.8730435237781213</v>
      </c>
      <c r="AI9" s="6">
        <f t="shared" si="15"/>
        <v>0.48458646649868797</v>
      </c>
      <c r="AJ9" s="6">
        <f t="shared" si="16"/>
        <v>0.34633954568254283</v>
      </c>
      <c r="AK9" s="6">
        <f t="shared" si="17"/>
        <v>2.0610859255854763E-2</v>
      </c>
      <c r="AL9" s="6">
        <f t="shared" si="18"/>
        <v>3.1284339941922408E-4</v>
      </c>
      <c r="AM9" s="6">
        <f t="shared" si="19"/>
        <v>2.0242808197714502E-2</v>
      </c>
      <c r="AN9" s="6">
        <f t="shared" si="20"/>
        <v>64.705882352941188</v>
      </c>
      <c r="AO9" s="6">
        <f t="shared" ref="AO9:AU9" si="27">AH9/AVERAGE(AH17:AH20)-1</f>
        <v>-4.0815397592234404E-2</v>
      </c>
      <c r="AP9" s="6">
        <f t="shared" si="27"/>
        <v>-0.80548127313043627</v>
      </c>
      <c r="AQ9" s="6">
        <f t="shared" si="27"/>
        <v>-0.90659281182987272</v>
      </c>
      <c r="AR9" s="6">
        <f t="shared" si="27"/>
        <v>-9.3533771688544376E-2</v>
      </c>
      <c r="AS9" s="6">
        <f t="shared" si="27"/>
        <v>-7.9704014047801364E-2</v>
      </c>
      <c r="AT9" s="6">
        <f t="shared" si="27"/>
        <v>-9.2222905837133884E-2</v>
      </c>
      <c r="AU9" s="6">
        <f t="shared" si="27"/>
        <v>-1.565697136881028E-2</v>
      </c>
    </row>
    <row r="10" spans="1:47">
      <c r="A10" s="6" t="s">
        <v>216</v>
      </c>
      <c r="B10" s="6">
        <v>121</v>
      </c>
      <c r="C10" s="6">
        <v>17.3</v>
      </c>
      <c r="D10" s="6">
        <v>1.77</v>
      </c>
      <c r="E10" s="6">
        <v>2.35</v>
      </c>
      <c r="F10" s="6">
        <v>1.95</v>
      </c>
      <c r="G10" s="6">
        <v>3.05</v>
      </c>
      <c r="H10" s="6">
        <v>0.7</v>
      </c>
      <c r="I10" s="6">
        <f t="shared" si="23"/>
        <v>4.5778148293448417</v>
      </c>
      <c r="J10" s="6">
        <f t="shared" si="0"/>
        <v>1.067373537380534</v>
      </c>
      <c r="K10" s="6">
        <f t="shared" si="1"/>
        <v>1.4084522825733103</v>
      </c>
      <c r="L10" s="6">
        <f t="shared" si="2"/>
        <v>1.3936469950461328</v>
      </c>
      <c r="M10" s="6">
        <f t="shared" si="3"/>
        <v>1.2659216029723992</v>
      </c>
      <c r="N10" s="6">
        <f t="shared" si="4"/>
        <v>0.25965027291545989</v>
      </c>
      <c r="O10" s="6">
        <f t="shared" si="5"/>
        <v>61.061681357715933</v>
      </c>
      <c r="P10" s="6">
        <f t="shared" si="6"/>
        <v>73.467059456749709</v>
      </c>
      <c r="Q10" s="6">
        <v>291</v>
      </c>
      <c r="R10" s="6">
        <v>4.4000000000000004</v>
      </c>
      <c r="S10" s="6">
        <v>145</v>
      </c>
      <c r="T10" s="6">
        <v>260</v>
      </c>
      <c r="U10" s="6">
        <f t="shared" si="7"/>
        <v>2.9100000000000001E-2</v>
      </c>
      <c r="V10" s="6">
        <f t="shared" si="8"/>
        <v>4.4000000000000002E-4</v>
      </c>
      <c r="W10" s="6">
        <f t="shared" si="9"/>
        <v>2.5999999999999999E-2</v>
      </c>
      <c r="X10" s="6">
        <f>(I10/AVERAGE(I17:I20)-1)*100</f>
        <v>32.313575525812645</v>
      </c>
      <c r="Y10" s="6">
        <f>(J10/AVERAGE(J17:J20)-1)*100</f>
        <v>-62.93193717277488</v>
      </c>
      <c r="Z10" s="6">
        <f>(K10/AVERAGE(K17:K20)-1)*100</f>
        <v>21.919584954604442</v>
      </c>
      <c r="AA10" s="6">
        <f t="shared" si="10"/>
        <v>103.16711011930309</v>
      </c>
      <c r="AB10" s="6">
        <f t="shared" si="11"/>
        <v>0.33013475238176992</v>
      </c>
      <c r="AC10" s="6">
        <f t="shared" si="12"/>
        <v>4.5393528452493358E-3</v>
      </c>
      <c r="AD10" s="6">
        <f>AVERAGE(I17:I20)*(100-AB10)/100</f>
        <v>3.4484004030284598</v>
      </c>
      <c r="AE10" s="6">
        <f>AVERAGE(K17:K20)*(100-AC10)/100</f>
        <v>1.1551781024180381</v>
      </c>
      <c r="AF10" s="6">
        <f t="shared" si="13"/>
        <v>2.9851677380398836</v>
      </c>
      <c r="AG10" s="6">
        <f>AF10/AVERAGE(AH17:AH20)-1</f>
        <v>-3.3819863031762099E-3</v>
      </c>
      <c r="AH10" s="6">
        <f t="shared" si="14"/>
        <v>3.2502448865224975</v>
      </c>
      <c r="AI10" s="6">
        <f t="shared" si="15"/>
        <v>0.75783436229049306</v>
      </c>
      <c r="AJ10" s="6">
        <f t="shared" si="16"/>
        <v>0.98948825763544679</v>
      </c>
      <c r="AK10" s="6">
        <f t="shared" si="17"/>
        <v>2.0660976846750459E-2</v>
      </c>
      <c r="AL10" s="6">
        <f t="shared" si="18"/>
        <v>3.1239964991650179E-4</v>
      </c>
      <c r="AM10" s="6">
        <f t="shared" si="19"/>
        <v>1.8459979313247832E-2</v>
      </c>
      <c r="AN10" s="6">
        <f t="shared" si="20"/>
        <v>59.090909090909086</v>
      </c>
      <c r="AO10" s="6">
        <f t="shared" ref="AO10:AU10" si="28">AH10/AVERAGE(AH17:AH20)-1</f>
        <v>8.5115774754172868E-2</v>
      </c>
      <c r="AP10" s="6">
        <f t="shared" si="28"/>
        <v>-0.69579634281603786</v>
      </c>
      <c r="AQ10" s="6">
        <f t="shared" si="28"/>
        <v>-0.73313669482663357</v>
      </c>
      <c r="AR10" s="6">
        <f t="shared" si="28"/>
        <v>-9.1329598489002906E-2</v>
      </c>
      <c r="AS10" s="6">
        <f t="shared" si="28"/>
        <v>-8.1009398425038515E-2</v>
      </c>
      <c r="AT10" s="6">
        <f t="shared" si="28"/>
        <v>-0.17217284204773853</v>
      </c>
      <c r="AU10" s="6">
        <f t="shared" si="28"/>
        <v>-0.10107516806821126</v>
      </c>
    </row>
    <row r="11" spans="1:47">
      <c r="A11" s="6" t="s">
        <v>216</v>
      </c>
      <c r="B11" s="6">
        <v>156</v>
      </c>
      <c r="C11" s="6">
        <v>17.8</v>
      </c>
      <c r="D11" s="6">
        <v>1.64</v>
      </c>
      <c r="E11" s="6">
        <v>2.46</v>
      </c>
      <c r="F11" s="6">
        <v>7.21</v>
      </c>
      <c r="G11" s="6">
        <v>1.83</v>
      </c>
      <c r="H11" s="6">
        <v>3.4</v>
      </c>
      <c r="I11" s="6">
        <f t="shared" si="23"/>
        <v>4.7101216163201265</v>
      </c>
      <c r="J11" s="6">
        <f t="shared" si="0"/>
        <v>0.98897887079326319</v>
      </c>
      <c r="K11" s="6">
        <f t="shared" si="1"/>
        <v>1.4743798362256779</v>
      </c>
      <c r="L11" s="6">
        <f t="shared" si="2"/>
        <v>5.1529204278372394</v>
      </c>
      <c r="M11" s="6">
        <f t="shared" si="3"/>
        <v>0.75955296178343956</v>
      </c>
      <c r="N11" s="6">
        <f t="shared" si="4"/>
        <v>1.2611584684465196</v>
      </c>
      <c r="O11" s="6">
        <f t="shared" si="5"/>
        <v>39.634965724185555</v>
      </c>
      <c r="P11" s="6">
        <f t="shared" si="6"/>
        <v>42.341214642647699</v>
      </c>
      <c r="Q11" s="6">
        <v>319</v>
      </c>
      <c r="R11" s="6">
        <v>5.3</v>
      </c>
      <c r="S11" s="6">
        <v>81</v>
      </c>
      <c r="T11" s="6">
        <v>300</v>
      </c>
      <c r="U11" s="6">
        <f t="shared" si="7"/>
        <v>3.1899999999999998E-2</v>
      </c>
      <c r="V11" s="6">
        <f t="shared" si="8"/>
        <v>5.2999999999999998E-4</v>
      </c>
      <c r="W11" s="6">
        <f t="shared" si="9"/>
        <v>0.03</v>
      </c>
      <c r="X11" s="6">
        <f>(I11/AVERAGE(I17:I20)-1)*100</f>
        <v>36.137667304015331</v>
      </c>
      <c r="Y11" s="6">
        <f>(J11/AVERAGE(J17:J20)-1)*100</f>
        <v>-65.654450261780113</v>
      </c>
      <c r="Z11" s="6">
        <f>(K11/AVERAGE(K17:K20)-1)*100</f>
        <v>27.626459143968884</v>
      </c>
      <c r="AA11" s="6">
        <f t="shared" si="10"/>
        <v>107.63024633078707</v>
      </c>
      <c r="AB11" s="6">
        <f t="shared" si="11"/>
        <v>0.34441678825851868</v>
      </c>
      <c r="AC11" s="6">
        <f t="shared" si="12"/>
        <v>4.7357308385546307E-3</v>
      </c>
      <c r="AD11" s="6">
        <f>AVERAGE(I17:I20)*(100-AB11)/100</f>
        <v>3.4479062699406797</v>
      </c>
      <c r="AE11" s="6">
        <f>AVERAGE(K17:K20)*(100-AC11)/100</f>
        <v>1.1551758337994809</v>
      </c>
      <c r="AF11" s="6">
        <f t="shared" si="13"/>
        <v>2.9847458447950692</v>
      </c>
      <c r="AG11" s="6">
        <f>AF11/AVERAGE(AH17:AH20)-1</f>
        <v>-3.5228381562499855E-3</v>
      </c>
      <c r="AH11" s="6">
        <f t="shared" si="14"/>
        <v>3.1946459796803444</v>
      </c>
      <c r="AI11" s="6">
        <f t="shared" si="15"/>
        <v>0.67077617754525765</v>
      </c>
      <c r="AJ11" s="6">
        <f t="shared" si="16"/>
        <v>3.4949748370327689</v>
      </c>
      <c r="AK11" s="6">
        <f t="shared" si="17"/>
        <v>2.1636215591269915E-2</v>
      </c>
      <c r="AL11" s="6">
        <f t="shared" si="18"/>
        <v>3.5947317440040928E-4</v>
      </c>
      <c r="AM11" s="6">
        <f t="shared" si="19"/>
        <v>2.0347538173608071E-2</v>
      </c>
      <c r="AN11" s="6">
        <f t="shared" si="20"/>
        <v>56.60377358490566</v>
      </c>
      <c r="AO11" s="6">
        <f t="shared" ref="AO11:AU11" si="29">AH11/AVERAGE(AH17:AH20)-1</f>
        <v>6.6553711592815867E-2</v>
      </c>
      <c r="AP11" s="6">
        <f t="shared" si="29"/>
        <v>-0.73074252565637998</v>
      </c>
      <c r="AQ11" s="6">
        <f t="shared" si="29"/>
        <v>-5.7411213007101503E-2</v>
      </c>
      <c r="AR11" s="6">
        <f t="shared" si="29"/>
        <v>-4.8438568305647745E-2</v>
      </c>
      <c r="AS11" s="6">
        <f t="shared" si="29"/>
        <v>5.7467474373258165E-2</v>
      </c>
      <c r="AT11" s="6">
        <f t="shared" si="29"/>
        <v>-8.7526350287141397E-2</v>
      </c>
      <c r="AU11" s="6">
        <f t="shared" si="29"/>
        <v>-0.13891090119741567</v>
      </c>
    </row>
    <row r="12" spans="1:47" s="6" customFormat="1">
      <c r="A12" s="6" t="s">
        <v>216</v>
      </c>
      <c r="B12" s="6">
        <v>196</v>
      </c>
      <c r="C12" s="6">
        <v>13.6</v>
      </c>
      <c r="D12" s="6">
        <v>1.31</v>
      </c>
      <c r="E12" s="6">
        <v>2.2599999999999998</v>
      </c>
      <c r="F12" s="6">
        <v>8.8800000000000008</v>
      </c>
      <c r="G12" s="6">
        <v>0.62</v>
      </c>
      <c r="H12" s="6">
        <v>4</v>
      </c>
      <c r="I12" s="6">
        <f t="shared" si="23"/>
        <v>3.5987446057277364</v>
      </c>
      <c r="J12" s="6">
        <f t="shared" si="0"/>
        <v>0.78997702484096033</v>
      </c>
      <c r="K12" s="6">
        <f t="shared" si="1"/>
        <v>1.3545115568577364</v>
      </c>
      <c r="L12" s="6">
        <f t="shared" si="2"/>
        <v>6.3464540082100829</v>
      </c>
      <c r="M12" s="6">
        <f t="shared" si="3"/>
        <v>0.25733488322717624</v>
      </c>
      <c r="N12" s="6">
        <f t="shared" si="4"/>
        <v>1.4837158452311996</v>
      </c>
      <c r="O12" s="6">
        <f t="shared" si="5"/>
        <v>30.794692978798238</v>
      </c>
      <c r="P12" s="6">
        <f t="shared" si="6"/>
        <v>31.488070180108746</v>
      </c>
      <c r="Q12" s="6">
        <v>278</v>
      </c>
      <c r="R12" s="6">
        <v>4.4000000000000004</v>
      </c>
      <c r="S12" s="6">
        <v>39</v>
      </c>
      <c r="T12" s="6">
        <v>260</v>
      </c>
      <c r="U12" s="6">
        <f t="shared" si="7"/>
        <v>2.7799999999999998E-2</v>
      </c>
      <c r="V12" s="6">
        <f t="shared" si="8"/>
        <v>4.4000000000000002E-4</v>
      </c>
      <c r="W12" s="6">
        <f t="shared" si="9"/>
        <v>2.5999999999999999E-2</v>
      </c>
      <c r="X12" s="6">
        <f>(I12/AVERAGE(I17:I20)-1)*100</f>
        <v>4.0152963671127972</v>
      </c>
      <c r="Y12" s="6">
        <f>(J12/AVERAGE(J17:J20)-1)*100</f>
        <v>-72.565445026178011</v>
      </c>
      <c r="Z12" s="6">
        <f>(K12/AVERAGE(K17:K20)-1)*100</f>
        <v>17.250324254215311</v>
      </c>
      <c r="AA12" s="6">
        <f t="shared" si="10"/>
        <v>118.95974594455411</v>
      </c>
      <c r="AB12" s="6">
        <f t="shared" si="11"/>
        <v>0.38067118702257319</v>
      </c>
      <c r="AC12" s="6">
        <f t="shared" si="12"/>
        <v>5.234228821560381E-3</v>
      </c>
      <c r="AD12" s="6">
        <f>AVERAGE(I17:I20)*(100-AB12)/100</f>
        <v>3.4466519321024678</v>
      </c>
      <c r="AE12" s="6">
        <f>AVERAGE(K17:K20)*(100-AC12)/100</f>
        <v>1.1551700749985279</v>
      </c>
      <c r="AF12" s="6">
        <f t="shared" si="13"/>
        <v>2.9836748775775379</v>
      </c>
      <c r="AG12" s="6">
        <f>AF12/AVERAGE(AH17:AH20)-1</f>
        <v>-3.8803876525376202E-3</v>
      </c>
      <c r="AH12" s="6">
        <f t="shared" si="14"/>
        <v>2.6568578078996121</v>
      </c>
      <c r="AI12" s="6">
        <f t="shared" si="15"/>
        <v>0.58321911012231487</v>
      </c>
      <c r="AJ12" s="6">
        <f t="shared" si="16"/>
        <v>4.6854188700559369</v>
      </c>
      <c r="AK12" s="6">
        <f t="shared" si="17"/>
        <v>2.0524003548919013E-2</v>
      </c>
      <c r="AL12" s="6">
        <f t="shared" si="18"/>
        <v>3.248403439397254E-4</v>
      </c>
      <c r="AM12" s="6">
        <f t="shared" si="19"/>
        <v>1.9195111232801956E-2</v>
      </c>
      <c r="AN12" s="6">
        <f t="shared" si="20"/>
        <v>59.090909090909086</v>
      </c>
      <c r="AO12" s="6">
        <f t="shared" ref="AO12:AU12" si="30">AH12/AVERAGE(AH17:AH20)-1</f>
        <v>-0.11299043017178956</v>
      </c>
      <c r="AP12" s="6">
        <f t="shared" si="30"/>
        <v>-0.76588896589149846</v>
      </c>
      <c r="AQ12" s="6">
        <f t="shared" si="30"/>
        <v>0.26364952402037978</v>
      </c>
      <c r="AR12" s="6">
        <f t="shared" si="30"/>
        <v>-9.7353688369165581E-2</v>
      </c>
      <c r="AS12" s="6">
        <f t="shared" si="30"/>
        <v>-4.4412427565858392E-2</v>
      </c>
      <c r="AT12" s="6">
        <f t="shared" si="30"/>
        <v>-0.13920627381070128</v>
      </c>
      <c r="AU12" s="6">
        <f t="shared" si="30"/>
        <v>-0.10107516806821126</v>
      </c>
    </row>
    <row r="13" spans="1:47" s="6" customFormat="1">
      <c r="A13" s="6" t="s">
        <v>216</v>
      </c>
      <c r="B13" s="6">
        <v>296</v>
      </c>
      <c r="C13" s="6">
        <v>13</v>
      </c>
      <c r="D13" s="6">
        <v>2.5299999999999998</v>
      </c>
      <c r="E13" s="6">
        <v>1.92</v>
      </c>
      <c r="F13" s="6">
        <v>9.01</v>
      </c>
      <c r="G13" s="6">
        <v>0.35</v>
      </c>
      <c r="H13" s="6">
        <v>3.7</v>
      </c>
      <c r="I13" s="6">
        <f t="shared" si="23"/>
        <v>3.4399764613573955</v>
      </c>
      <c r="J13" s="6">
        <f t="shared" si="0"/>
        <v>1.5256808189676558</v>
      </c>
      <c r="K13" s="6">
        <f t="shared" si="1"/>
        <v>1.1507354819322364</v>
      </c>
      <c r="L13" s="6">
        <f t="shared" si="2"/>
        <v>6.4393638078798237</v>
      </c>
      <c r="M13" s="6">
        <f t="shared" si="3"/>
        <v>0.14526969214437366</v>
      </c>
      <c r="N13" s="6">
        <f t="shared" si="4"/>
        <v>1.3724371568388596</v>
      </c>
      <c r="O13" s="6">
        <f t="shared" si="5"/>
        <v>30.183050273240582</v>
      </c>
      <c r="P13" s="6">
        <f t="shared" si="6"/>
        <v>30.572738253648922</v>
      </c>
      <c r="Q13" s="6">
        <v>255</v>
      </c>
      <c r="R13" s="6">
        <v>4.7</v>
      </c>
      <c r="S13" s="6">
        <v>28</v>
      </c>
      <c r="T13" s="6">
        <v>240</v>
      </c>
      <c r="U13" s="6">
        <f t="shared" si="7"/>
        <v>2.5499999999999998E-2</v>
      </c>
      <c r="V13" s="6">
        <f t="shared" si="8"/>
        <v>4.7000000000000004E-4</v>
      </c>
      <c r="W13" s="6">
        <f t="shared" si="9"/>
        <v>2.4E-2</v>
      </c>
      <c r="X13" s="6">
        <f>(I13/AVERAGE(I17:I20)-1)*100</f>
        <v>-0.57361376673038533</v>
      </c>
      <c r="Y13" s="6">
        <f>(J13/AVERAGE(J17:J20)-1)*100</f>
        <v>-47.015706806282729</v>
      </c>
      <c r="Z13" s="6">
        <f>(K13/AVERAGE(K17:K20)-1)*100</f>
        <v>-0.38910505836574627</v>
      </c>
      <c r="AA13" s="6">
        <f t="shared" si="10"/>
        <v>77.074929190627429</v>
      </c>
      <c r="AB13" s="6">
        <f t="shared" si="11"/>
        <v>0.24663977341000778</v>
      </c>
      <c r="AC13" s="6">
        <f t="shared" si="12"/>
        <v>3.3912968843876068E-3</v>
      </c>
      <c r="AD13" s="6">
        <f>AVERAGE(I17:I20)*(100-AB13)/100</f>
        <v>3.4512891810800976</v>
      </c>
      <c r="AE13" s="6">
        <f>AVERAGE(K17:K20)*(100-AC13)/100</f>
        <v>1.1551913651111418</v>
      </c>
      <c r="AF13" s="6">
        <f t="shared" si="13"/>
        <v>2.98763415769477</v>
      </c>
      <c r="AG13" s="6">
        <f>AF13/AVERAGE(AH17:AH20)-1</f>
        <v>-2.5585557715941398E-3</v>
      </c>
      <c r="AH13" s="6">
        <f t="shared" si="14"/>
        <v>2.9893720280365579</v>
      </c>
      <c r="AI13" s="6">
        <f t="shared" si="15"/>
        <v>1.3258310384292982</v>
      </c>
      <c r="AJ13" s="6">
        <f t="shared" si="16"/>
        <v>5.5958679548728991</v>
      </c>
      <c r="AK13" s="6">
        <f t="shared" si="17"/>
        <v>2.2159740792195039E-2</v>
      </c>
      <c r="AL13" s="6">
        <f t="shared" si="18"/>
        <v>4.0843443813065377E-4</v>
      </c>
      <c r="AM13" s="6">
        <f t="shared" si="19"/>
        <v>2.0856226627948275E-2</v>
      </c>
      <c r="AN13" s="6">
        <f t="shared" si="20"/>
        <v>51.063829787234042</v>
      </c>
      <c r="AO13" s="6">
        <f t="shared" ref="AO13:AU13" si="31">AH13/AVERAGE(AH17:AH20)-1</f>
        <v>-1.9783562518068676E-3</v>
      </c>
      <c r="AP13" s="6">
        <f t="shared" si="31"/>
        <v>-0.46779577336768863</v>
      </c>
      <c r="AQ13" s="6">
        <f t="shared" si="31"/>
        <v>0.50919609831417589</v>
      </c>
      <c r="AR13" s="6">
        <f t="shared" si="31"/>
        <v>-2.5413913757400763E-2</v>
      </c>
      <c r="AS13" s="6">
        <f t="shared" si="31"/>
        <v>0.20149753721537067</v>
      </c>
      <c r="AT13" s="6">
        <f t="shared" si="31"/>
        <v>-6.4714509044319746E-2</v>
      </c>
      <c r="AU13" s="6">
        <f t="shared" si="31"/>
        <v>-0.2231877066121366</v>
      </c>
    </row>
    <row r="14" spans="1:47" s="6" customFormat="1">
      <c r="A14" s="6" t="s">
        <v>216</v>
      </c>
      <c r="B14" s="6">
        <v>396</v>
      </c>
      <c r="C14" s="6">
        <v>12.6</v>
      </c>
      <c r="D14" s="6">
        <v>4.1100000000000003</v>
      </c>
      <c r="E14" s="6">
        <v>1.89</v>
      </c>
      <c r="F14" s="6">
        <v>7.44</v>
      </c>
      <c r="G14" s="6">
        <v>0.39</v>
      </c>
      <c r="H14" s="6">
        <v>2.8</v>
      </c>
      <c r="I14" s="6">
        <f t="shared" si="23"/>
        <v>3.3341310317771673</v>
      </c>
      <c r="J14" s="6">
        <f t="shared" si="0"/>
        <v>2.4784775359514097</v>
      </c>
      <c r="K14" s="6">
        <f t="shared" si="1"/>
        <v>1.1327552400270451</v>
      </c>
      <c r="L14" s="6">
        <f t="shared" si="2"/>
        <v>5.3172993041760153</v>
      </c>
      <c r="M14" s="6">
        <f t="shared" si="3"/>
        <v>0.16187194267515925</v>
      </c>
      <c r="N14" s="6">
        <f t="shared" si="4"/>
        <v>1.0386010916618396</v>
      </c>
      <c r="O14" s="6">
        <f t="shared" si="5"/>
        <v>33.842506432124729</v>
      </c>
      <c r="P14" s="6">
        <f t="shared" si="6"/>
        <v>34.40784538918453</v>
      </c>
      <c r="Q14" s="6">
        <v>263</v>
      </c>
      <c r="R14" s="6">
        <v>3.9</v>
      </c>
      <c r="S14" s="6">
        <v>59</v>
      </c>
      <c r="T14" s="6">
        <v>240</v>
      </c>
      <c r="U14" s="6">
        <f t="shared" si="7"/>
        <v>2.63E-2</v>
      </c>
      <c r="V14" s="6">
        <f t="shared" si="8"/>
        <v>3.8999999999999999E-4</v>
      </c>
      <c r="W14" s="6">
        <f t="shared" si="9"/>
        <v>2.4E-2</v>
      </c>
      <c r="X14" s="6">
        <f>(I14/AVERAGE(I17:I20)-1)*100</f>
        <v>-3.6328871892925552</v>
      </c>
      <c r="Y14" s="6">
        <f>(J14/AVERAGE(J17:J20)-1)*100</f>
        <v>-13.926701570680633</v>
      </c>
      <c r="Z14" s="6">
        <f>(K14/AVERAGE(K17:K20)-1)*100</f>
        <v>-1.945525291828798</v>
      </c>
      <c r="AA14" s="6">
        <f t="shared" si="10"/>
        <v>22.830658312591201</v>
      </c>
      <c r="AB14" s="6">
        <f t="shared" si="11"/>
        <v>7.3058106600291842E-2</v>
      </c>
      <c r="AC14" s="6">
        <f t="shared" si="12"/>
        <v>1.0045489657540129E-3</v>
      </c>
      <c r="AD14" s="6">
        <f>AVERAGE(I17:I20)*(100-AB14)/100</f>
        <v>3.4572947986085047</v>
      </c>
      <c r="AE14" s="6">
        <f>AVERAGE(K17:K20)*(100-AC14)/100</f>
        <v>1.1552189375520683</v>
      </c>
      <c r="AF14" s="6">
        <f t="shared" si="13"/>
        <v>2.9927615330948267</v>
      </c>
      <c r="AG14" s="6">
        <f>AF14/AVERAGE(AH17:AH20)-1</f>
        <v>-8.4674754669422647E-4</v>
      </c>
      <c r="AH14" s="6">
        <f t="shared" si="14"/>
        <v>2.9433816891436875</v>
      </c>
      <c r="AI14" s="6">
        <f t="shared" si="15"/>
        <v>2.1880080077071504</v>
      </c>
      <c r="AJ14" s="6">
        <f t="shared" si="16"/>
        <v>4.6941290724455724</v>
      </c>
      <c r="AK14" s="6">
        <f t="shared" si="17"/>
        <v>2.3217725304340305E-2</v>
      </c>
      <c r="AL14" s="6">
        <f t="shared" si="18"/>
        <v>3.4429326496930487E-4</v>
      </c>
      <c r="AM14" s="6">
        <f t="shared" si="19"/>
        <v>2.1187277844264916E-2</v>
      </c>
      <c r="AN14" s="6">
        <f t="shared" si="20"/>
        <v>61.53846153846154</v>
      </c>
      <c r="AO14" s="6">
        <f t="shared" ref="AO14:AU14" si="32">AH14/AVERAGE(AH17:AH20)-1</f>
        <v>-1.7332535386394565E-2</v>
      </c>
      <c r="AP14" s="6">
        <f t="shared" si="32"/>
        <v>-0.12170776226009639</v>
      </c>
      <c r="AQ14" s="6">
        <f t="shared" si="32"/>
        <v>0.26599865083466012</v>
      </c>
      <c r="AR14" s="6">
        <f t="shared" si="32"/>
        <v>2.1116277848455267E-2</v>
      </c>
      <c r="AS14" s="6">
        <f t="shared" si="32"/>
        <v>1.2812513640515055E-2</v>
      </c>
      <c r="AT14" s="6">
        <f t="shared" si="32"/>
        <v>-4.986870760057871E-2</v>
      </c>
      <c r="AU14" s="6">
        <f t="shared" si="32"/>
        <v>-6.3841595147959507E-2</v>
      </c>
    </row>
    <row r="15" spans="1:47" s="6" customFormat="1">
      <c r="A15" s="6" t="s">
        <v>216</v>
      </c>
      <c r="B15" s="6">
        <v>496</v>
      </c>
      <c r="C15" s="6">
        <v>12.6</v>
      </c>
      <c r="D15" s="6">
        <v>4.74</v>
      </c>
      <c r="E15" s="6">
        <v>1.89</v>
      </c>
      <c r="F15" s="6">
        <v>6.99</v>
      </c>
      <c r="G15" s="6">
        <v>0.89</v>
      </c>
      <c r="H15" s="6">
        <v>2.8</v>
      </c>
      <c r="I15" s="6">
        <f t="shared" si="23"/>
        <v>3.3341310317771673</v>
      </c>
      <c r="J15" s="6">
        <f t="shared" si="0"/>
        <v>2.8583901509512608</v>
      </c>
      <c r="K15" s="6">
        <f t="shared" si="1"/>
        <v>1.1327552400270451</v>
      </c>
      <c r="L15" s="6">
        <f t="shared" si="2"/>
        <v>4.9956884591653692</v>
      </c>
      <c r="M15" s="6">
        <f t="shared" si="3"/>
        <v>0.36940007430997879</v>
      </c>
      <c r="N15" s="6">
        <f t="shared" si="4"/>
        <v>1.0386010916618396</v>
      </c>
      <c r="O15" s="6">
        <f t="shared" si="5"/>
        <v>34.238985798221307</v>
      </c>
      <c r="P15" s="6">
        <f t="shared" si="6"/>
        <v>35.589040888792958</v>
      </c>
      <c r="Q15" s="6">
        <v>263</v>
      </c>
      <c r="R15" s="6">
        <v>3.6</v>
      </c>
      <c r="S15" s="6">
        <v>90</v>
      </c>
      <c r="T15" s="6">
        <v>240</v>
      </c>
      <c r="U15" s="6">
        <f t="shared" si="7"/>
        <v>2.63E-2</v>
      </c>
      <c r="V15" s="6">
        <f t="shared" si="8"/>
        <v>3.6000000000000002E-4</v>
      </c>
      <c r="W15" s="6">
        <f t="shared" si="9"/>
        <v>2.4E-2</v>
      </c>
      <c r="X15" s="6">
        <f>(I15/AVERAGE(I17:I20)-1)*100</f>
        <v>-3.6328871892925552</v>
      </c>
      <c r="Y15" s="6">
        <f>(J15/AVERAGE(J17:J20)-1)*100</f>
        <v>-0.73298429319372804</v>
      </c>
      <c r="Z15" s="6">
        <f>(K15/AVERAGE(K17:K20)-1)*100</f>
        <v>-1.945525291828798</v>
      </c>
      <c r="AA15" s="6">
        <f t="shared" si="10"/>
        <v>1.2016135953995541</v>
      </c>
      <c r="AB15" s="6">
        <f t="shared" si="11"/>
        <v>3.8451635052785733E-3</v>
      </c>
      <c r="AC15" s="6">
        <f t="shared" si="12"/>
        <v>5.2870998197580379E-5</v>
      </c>
      <c r="AD15" s="6">
        <f>AVERAGE(I17:I20)*(100-AB15)/100</f>
        <v>3.4596894435723624</v>
      </c>
      <c r="AE15" s="6">
        <f>AVERAGE(K17:K20)*(100-AC15)/100</f>
        <v>1.1552299316266148</v>
      </c>
      <c r="AF15" s="6">
        <f t="shared" si="13"/>
        <v>2.9948059246534298</v>
      </c>
      <c r="AG15" s="6">
        <f>AF15/AVERAGE(AH17:AH20)-1</f>
        <v>-1.6421388924170444E-4</v>
      </c>
      <c r="AH15" s="6">
        <f t="shared" si="14"/>
        <v>2.9433816891436875</v>
      </c>
      <c r="AI15" s="6">
        <f t="shared" si="15"/>
        <v>2.5233960964797792</v>
      </c>
      <c r="AJ15" s="6">
        <f t="shared" si="16"/>
        <v>4.4102099753218482</v>
      </c>
      <c r="AK15" s="6">
        <f t="shared" si="17"/>
        <v>2.3217725304340305E-2</v>
      </c>
      <c r="AL15" s="6">
        <f t="shared" si="18"/>
        <v>3.1780916766397375E-4</v>
      </c>
      <c r="AM15" s="6">
        <f t="shared" si="19"/>
        <v>2.1187277844264916E-2</v>
      </c>
      <c r="AN15" s="6">
        <f t="shared" si="20"/>
        <v>66.666666666666657</v>
      </c>
      <c r="AO15" s="6">
        <f t="shared" ref="AO15:AU15" si="33">AH15/AVERAGE(AH17:AH20)-1</f>
        <v>-1.7332535386394565E-2</v>
      </c>
      <c r="AP15" s="6">
        <f t="shared" si="33"/>
        <v>1.2920974911713623E-2</v>
      </c>
      <c r="AQ15" s="6">
        <f t="shared" si="33"/>
        <v>0.18942615179224109</v>
      </c>
      <c r="AR15" s="6">
        <f t="shared" si="33"/>
        <v>2.1116277848455267E-2</v>
      </c>
      <c r="AS15" s="6">
        <f t="shared" si="33"/>
        <v>-6.5096141254909146E-2</v>
      </c>
      <c r="AT15" s="6">
        <f t="shared" si="33"/>
        <v>-4.986870760057871E-2</v>
      </c>
      <c r="AU15" s="6">
        <f t="shared" si="33"/>
        <v>1.4171605256376951E-2</v>
      </c>
    </row>
    <row r="16" spans="1:47" s="6" customFormat="1">
      <c r="A16" s="6" t="s">
        <v>216</v>
      </c>
      <c r="B16" s="6">
        <v>596</v>
      </c>
      <c r="C16" s="6">
        <v>13</v>
      </c>
      <c r="D16" s="6">
        <v>2.92</v>
      </c>
      <c r="E16" s="6">
        <v>1.92</v>
      </c>
      <c r="F16" s="6">
        <v>8.2899999999999991</v>
      </c>
      <c r="G16" s="6">
        <v>0.59</v>
      </c>
      <c r="H16" s="6">
        <v>3.8</v>
      </c>
      <c r="I16" s="6">
        <f t="shared" si="23"/>
        <v>3.4399764613573955</v>
      </c>
      <c r="J16" s="6">
        <f t="shared" si="0"/>
        <v>1.7608648187294684</v>
      </c>
      <c r="K16" s="6">
        <f t="shared" si="1"/>
        <v>1.1507354819322364</v>
      </c>
      <c r="L16" s="6">
        <f t="shared" si="2"/>
        <v>5.9247864558627903</v>
      </c>
      <c r="M16" s="6">
        <f t="shared" si="3"/>
        <v>0.24488319532908703</v>
      </c>
      <c r="N16" s="6">
        <f t="shared" si="4"/>
        <v>1.4095300529696395</v>
      </c>
      <c r="O16" s="6">
        <f t="shared" si="5"/>
        <v>31.218091168391808</v>
      </c>
      <c r="P16" s="6">
        <f t="shared" si="6"/>
        <v>31.927630619244134</v>
      </c>
      <c r="Q16" s="6">
        <v>261</v>
      </c>
      <c r="R16" s="6">
        <v>3.5</v>
      </c>
      <c r="S16" s="6">
        <v>66</v>
      </c>
      <c r="T16" s="6">
        <v>260</v>
      </c>
      <c r="U16" s="6">
        <f t="shared" si="7"/>
        <v>2.6100000000000002E-2</v>
      </c>
      <c r="V16" s="6">
        <f t="shared" si="8"/>
        <v>3.5E-4</v>
      </c>
      <c r="W16" s="6">
        <f t="shared" si="9"/>
        <v>2.5999999999999999E-2</v>
      </c>
      <c r="X16" s="6">
        <f>(I16/AVERAGE(I17:I20)-1)*100</f>
        <v>-0.57361376673038533</v>
      </c>
      <c r="Y16" s="6">
        <f>(J16/AVERAGE(J17:J20)-1)*100</f>
        <v>-38.848167539267031</v>
      </c>
      <c r="Z16" s="6">
        <f>(K16/AVERAGE(K17:K20)-1)*100</f>
        <v>-0.38910505836574627</v>
      </c>
      <c r="AA16" s="6">
        <f t="shared" si="10"/>
        <v>63.685520556175462</v>
      </c>
      <c r="AB16" s="6">
        <f t="shared" si="11"/>
        <v>0.20379366577976149</v>
      </c>
      <c r="AC16" s="6">
        <f t="shared" si="12"/>
        <v>2.8021629044717201E-3</v>
      </c>
      <c r="AD16" s="6">
        <f>AVERAGE(I17:I20)*(100-AB16)/100</f>
        <v>3.4527715803434393</v>
      </c>
      <c r="AE16" s="6">
        <f>AVERAGE(K17:K20)*(100-AC16)/100</f>
        <v>1.1551981709668135</v>
      </c>
      <c r="AF16" s="6">
        <f t="shared" si="13"/>
        <v>2.9888997984248284</v>
      </c>
      <c r="AG16" s="6">
        <f>AF16/AVERAGE(AH17:AH20)-1</f>
        <v>-2.1360132342448379E-3</v>
      </c>
      <c r="AH16" s="6">
        <f t="shared" si="14"/>
        <v>2.9893720280365579</v>
      </c>
      <c r="AI16" s="6">
        <f t="shared" si="15"/>
        <v>1.5302081550251188</v>
      </c>
      <c r="AJ16" s="6">
        <f t="shared" si="16"/>
        <v>5.1486953769030341</v>
      </c>
      <c r="AK16" s="6">
        <f t="shared" si="17"/>
        <v>2.268114645789375E-2</v>
      </c>
      <c r="AL16" s="6">
        <f t="shared" si="18"/>
        <v>3.0415330499091234E-4</v>
      </c>
      <c r="AM16" s="6">
        <f t="shared" si="19"/>
        <v>2.2594245513610629E-2</v>
      </c>
      <c r="AN16" s="6">
        <f t="shared" si="20"/>
        <v>74.285714285714278</v>
      </c>
      <c r="AO16" s="6">
        <f t="shared" ref="AO16:AU16" si="34">AH16/AVERAGE(AH17:AH20)-1</f>
        <v>-1.9783562518068676E-3</v>
      </c>
      <c r="AP16" s="6">
        <f t="shared" si="34"/>
        <v>-0.38575638665361689</v>
      </c>
      <c r="AQ16" s="6">
        <f t="shared" si="34"/>
        <v>0.38859441232236613</v>
      </c>
      <c r="AR16" s="6">
        <f t="shared" si="34"/>
        <v>-2.4824764340453109E-3</v>
      </c>
      <c r="AS16" s="6">
        <f t="shared" si="34"/>
        <v>-0.10526779143536236</v>
      </c>
      <c r="AT16" s="6">
        <f t="shared" si="34"/>
        <v>1.3225948535320109E-2</v>
      </c>
      <c r="AU16" s="6">
        <f t="shared" si="34"/>
        <v>0.13007693157139166</v>
      </c>
    </row>
    <row r="17" spans="1:41" s="2" customFormat="1">
      <c r="A17" s="2" t="s">
        <v>42</v>
      </c>
      <c r="B17" s="2">
        <v>696</v>
      </c>
      <c r="C17" s="2">
        <v>12.9</v>
      </c>
      <c r="D17" s="2">
        <v>4.26</v>
      </c>
      <c r="E17" s="2">
        <v>1.89</v>
      </c>
      <c r="F17" s="2">
        <v>6.07</v>
      </c>
      <c r="G17" s="2">
        <v>0.76</v>
      </c>
      <c r="H17" s="2">
        <v>3.1</v>
      </c>
      <c r="I17" s="2">
        <f t="shared" si="23"/>
        <v>3.4135151039623386</v>
      </c>
      <c r="J17" s="2">
        <f t="shared" si="0"/>
        <v>2.5689329204751838</v>
      </c>
      <c r="K17" s="2">
        <f t="shared" si="1"/>
        <v>1.1327552400270451</v>
      </c>
      <c r="L17" s="2">
        <f t="shared" si="2"/>
        <v>4.33817295381027</v>
      </c>
      <c r="M17" s="2">
        <f t="shared" si="3"/>
        <v>0.31544276008492572</v>
      </c>
      <c r="N17" s="2">
        <f t="shared" si="4"/>
        <v>1.1498797800541796</v>
      </c>
      <c r="Q17" s="2">
        <v>257</v>
      </c>
      <c r="R17" s="2">
        <v>3.6</v>
      </c>
      <c r="S17" s="2">
        <v>73</v>
      </c>
      <c r="T17" s="2">
        <v>250</v>
      </c>
      <c r="U17" s="2">
        <f t="shared" si="7"/>
        <v>2.5700000000000001E-2</v>
      </c>
      <c r="V17" s="2">
        <f t="shared" si="8"/>
        <v>3.6000000000000002E-4</v>
      </c>
      <c r="W17" s="2">
        <f t="shared" si="9"/>
        <v>2.5000000000000001E-2</v>
      </c>
      <c r="AH17" s="2">
        <f t="shared" si="14"/>
        <v>3.0134622055518712</v>
      </c>
      <c r="AI17" s="2">
        <f t="shared" si="15"/>
        <v>2.2678623145577763</v>
      </c>
      <c r="AJ17" s="2">
        <f t="shared" si="16"/>
        <v>3.8297531545355676</v>
      </c>
      <c r="AK17" s="2">
        <f t="shared" si="17"/>
        <v>2.2688043358233684E-2</v>
      </c>
      <c r="AL17" s="2">
        <f t="shared" si="18"/>
        <v>3.1780916766397375E-4</v>
      </c>
      <c r="AM17" s="2">
        <f t="shared" si="19"/>
        <v>2.2070081087775955E-2</v>
      </c>
      <c r="AN17" s="2">
        <f t="shared" si="20"/>
        <v>69.444444444444443</v>
      </c>
    </row>
    <row r="18" spans="1:41" s="2" customFormat="1">
      <c r="A18" s="2" t="s">
        <v>42</v>
      </c>
      <c r="B18" s="2">
        <v>796</v>
      </c>
      <c r="C18" s="2">
        <v>12.7</v>
      </c>
      <c r="D18" s="2">
        <v>4.82</v>
      </c>
      <c r="E18" s="2">
        <v>1.9</v>
      </c>
      <c r="F18" s="2">
        <v>6.226</v>
      </c>
      <c r="G18" s="2">
        <v>1.66</v>
      </c>
      <c r="H18" s="2">
        <v>3.1</v>
      </c>
      <c r="I18" s="2">
        <f t="shared" si="23"/>
        <v>3.3605923891722242</v>
      </c>
      <c r="J18" s="2">
        <f t="shared" si="0"/>
        <v>2.9066330226972741</v>
      </c>
      <c r="K18" s="2">
        <f t="shared" si="1"/>
        <v>1.1387486539954421</v>
      </c>
      <c r="L18" s="2">
        <f t="shared" si="2"/>
        <v>4.4496647134139602</v>
      </c>
      <c r="M18" s="2">
        <f t="shared" si="3"/>
        <v>0.68899339702760076</v>
      </c>
      <c r="N18" s="2">
        <f t="shared" si="4"/>
        <v>1.1498797800541796</v>
      </c>
      <c r="Q18" s="2">
        <v>258</v>
      </c>
      <c r="R18" s="2">
        <v>4.0999999999999996</v>
      </c>
      <c r="S18" s="2">
        <v>180</v>
      </c>
      <c r="T18" s="2">
        <v>260</v>
      </c>
      <c r="U18" s="2">
        <f t="shared" si="7"/>
        <v>2.58E-2</v>
      </c>
      <c r="V18" s="2">
        <f t="shared" si="8"/>
        <v>4.0999999999999999E-4</v>
      </c>
      <c r="W18" s="2">
        <f t="shared" si="9"/>
        <v>2.5999999999999999E-2</v>
      </c>
      <c r="AH18" s="2">
        <f t="shared" si="14"/>
        <v>2.9511274304309079</v>
      </c>
      <c r="AI18" s="2">
        <f t="shared" si="15"/>
        <v>2.5524798756064286</v>
      </c>
      <c r="AJ18" s="2">
        <f t="shared" si="16"/>
        <v>3.9075038181619401</v>
      </c>
      <c r="AK18" s="2">
        <f t="shared" si="17"/>
        <v>2.2656448294781709E-2</v>
      </c>
      <c r="AL18" s="2">
        <f t="shared" si="18"/>
        <v>3.6004433336668605E-4</v>
      </c>
      <c r="AM18" s="2">
        <f t="shared" si="19"/>
        <v>2.2832079676911799E-2</v>
      </c>
      <c r="AN18" s="2">
        <f t="shared" si="20"/>
        <v>63.414634146341463</v>
      </c>
    </row>
    <row r="19" spans="1:41" s="2" customFormat="1">
      <c r="A19" s="2" t="s">
        <v>42</v>
      </c>
      <c r="B19" s="2">
        <v>896</v>
      </c>
      <c r="C19" s="2">
        <v>13.2</v>
      </c>
      <c r="D19" s="2">
        <v>4.91</v>
      </c>
      <c r="E19" s="2">
        <v>1.91</v>
      </c>
      <c r="F19" s="2">
        <v>6.07</v>
      </c>
      <c r="G19" s="2">
        <v>1.49</v>
      </c>
      <c r="H19" s="2">
        <v>3.4</v>
      </c>
      <c r="I19" s="2">
        <f t="shared" si="23"/>
        <v>3.4928991761475086</v>
      </c>
      <c r="J19" s="2">
        <f t="shared" si="0"/>
        <v>2.9609062534115385</v>
      </c>
      <c r="K19" s="2">
        <f t="shared" si="1"/>
        <v>1.1447420679638394</v>
      </c>
      <c r="L19" s="2">
        <f t="shared" si="2"/>
        <v>4.33817295381027</v>
      </c>
      <c r="M19" s="2">
        <f t="shared" si="3"/>
        <v>0.61843383227176218</v>
      </c>
      <c r="N19" s="2">
        <f t="shared" si="4"/>
        <v>1.2611584684465196</v>
      </c>
      <c r="Q19" s="2">
        <v>256</v>
      </c>
      <c r="R19" s="2">
        <v>4.0999999999999996</v>
      </c>
      <c r="S19" s="2">
        <v>139</v>
      </c>
      <c r="T19" s="2">
        <v>260</v>
      </c>
      <c r="U19" s="2">
        <f t="shared" si="7"/>
        <v>2.5600000000000001E-2</v>
      </c>
      <c r="V19" s="2">
        <f t="shared" si="8"/>
        <v>4.0999999999999999E-4</v>
      </c>
      <c r="W19" s="2">
        <f t="shared" si="9"/>
        <v>2.5999999999999999E-2</v>
      </c>
      <c r="AH19" s="2">
        <f t="shared" si="14"/>
        <v>3.0512543164945027</v>
      </c>
      <c r="AI19" s="2">
        <f t="shared" si="15"/>
        <v>2.5865269882831536</v>
      </c>
      <c r="AJ19" s="2">
        <f t="shared" si="16"/>
        <v>3.7896510272629436</v>
      </c>
      <c r="AK19" s="2">
        <f t="shared" si="17"/>
        <v>2.2363116300543492E-2</v>
      </c>
      <c r="AL19" s="2">
        <f t="shared" si="18"/>
        <v>3.5815928450089185E-4</v>
      </c>
      <c r="AM19" s="2">
        <f t="shared" si="19"/>
        <v>2.2712539992739481E-2</v>
      </c>
      <c r="AN19" s="2">
        <f t="shared" si="20"/>
        <v>63.414634146341463</v>
      </c>
    </row>
    <row r="20" spans="1:41" s="2" customFormat="1">
      <c r="A20" s="2" t="s">
        <v>42</v>
      </c>
      <c r="B20" s="2">
        <v>996</v>
      </c>
      <c r="C20" s="2">
        <v>13.5</v>
      </c>
      <c r="D20" s="2">
        <v>5.1100000000000003</v>
      </c>
      <c r="E20" s="2">
        <v>2.0099999999999998</v>
      </c>
      <c r="F20" s="2">
        <v>5.57</v>
      </c>
      <c r="G20" s="2">
        <v>1.41</v>
      </c>
      <c r="H20" s="2">
        <v>3.6</v>
      </c>
      <c r="I20" s="2">
        <f t="shared" si="23"/>
        <v>3.5722832483326799</v>
      </c>
      <c r="J20" s="2">
        <f t="shared" si="0"/>
        <v>3.0815134327765703</v>
      </c>
      <c r="K20" s="2">
        <f t="shared" si="1"/>
        <v>1.2046762076478099</v>
      </c>
      <c r="L20" s="2">
        <f t="shared" si="2"/>
        <v>3.9808275704651082</v>
      </c>
      <c r="M20" s="2">
        <f t="shared" si="3"/>
        <v>0.58522933121019105</v>
      </c>
      <c r="N20" s="2">
        <f t="shared" si="4"/>
        <v>1.3353442607080797</v>
      </c>
      <c r="Q20" s="2">
        <v>280</v>
      </c>
      <c r="R20" s="2">
        <v>3.9</v>
      </c>
      <c r="S20" s="2">
        <v>134</v>
      </c>
      <c r="T20" s="2">
        <v>260</v>
      </c>
      <c r="U20" s="2">
        <f t="shared" si="7"/>
        <v>2.8000000000000001E-2</v>
      </c>
      <c r="V20" s="2">
        <f t="shared" si="8"/>
        <v>3.8999999999999999E-4</v>
      </c>
      <c r="W20" s="2">
        <f t="shared" si="9"/>
        <v>2.5999999999999999E-2</v>
      </c>
      <c r="AH20" s="2">
        <f t="shared" si="14"/>
        <v>2.9653472241372976</v>
      </c>
      <c r="AI20" s="2">
        <f t="shared" si="15"/>
        <v>2.5579599009375125</v>
      </c>
      <c r="AJ20" s="2">
        <f t="shared" si="16"/>
        <v>3.3044792826429865</v>
      </c>
      <c r="AK20" s="2">
        <f t="shared" si="17"/>
        <v>2.3242760023186138E-2</v>
      </c>
      <c r="AL20" s="2">
        <f t="shared" si="18"/>
        <v>3.2373844318009262E-4</v>
      </c>
      <c r="AM20" s="2">
        <f t="shared" si="19"/>
        <v>2.1582562878672842E-2</v>
      </c>
      <c r="AN20" s="2">
        <f t="shared" si="20"/>
        <v>66.666666666666671</v>
      </c>
    </row>
    <row r="21" spans="1:41">
      <c r="AF21" s="39"/>
      <c r="AG21" s="6"/>
      <c r="AI21" s="39"/>
      <c r="AJ21" s="39"/>
      <c r="AK21" s="39"/>
      <c r="AL21" s="39"/>
      <c r="AM21" s="39"/>
      <c r="AN21" s="39" t="s">
        <v>97</v>
      </c>
      <c r="AO21" s="6">
        <f>_xlfn.VAR.P(AO5:AO16)</f>
        <v>2.6415990111699488E-3</v>
      </c>
    </row>
    <row r="22" spans="1:41">
      <c r="AN22" s="39" t="s">
        <v>98</v>
      </c>
      <c r="AO22">
        <f>AVERAGE(AO5:AO16)</f>
        <v>-1.8798600203557798E-2</v>
      </c>
    </row>
  </sheetData>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65"/>
  <sheetViews>
    <sheetView topLeftCell="A47" zoomScale="70" zoomScaleNormal="70" workbookViewId="0">
      <selection activeCell="X67" sqref="X67"/>
    </sheetView>
  </sheetViews>
  <sheetFormatPr defaultRowHeight="14.5"/>
  <cols>
    <col min="1" max="2" width="12.1796875" style="6" customWidth="1"/>
    <col min="3" max="3" width="9.7265625" customWidth="1"/>
    <col min="4" max="4" width="7.26953125" customWidth="1"/>
    <col min="7" max="9" width="8.7265625" style="6"/>
    <col min="13" max="28" width="8.7265625" style="6"/>
    <col min="29" max="29" width="13.26953125" customWidth="1"/>
    <col min="30" max="31" width="12.54296875" customWidth="1"/>
    <col min="32" max="32" width="17.90625" customWidth="1"/>
    <col min="33" max="34" width="20" customWidth="1"/>
    <col min="35" max="36" width="11.90625" customWidth="1"/>
    <col min="37" max="37" width="13.81640625" customWidth="1"/>
    <col min="38" max="38" width="18.36328125" customWidth="1"/>
    <col min="41" max="43" width="8.7265625" style="6"/>
    <col min="44" max="44" width="11.6328125" style="6" bestFit="1" customWidth="1"/>
    <col min="45" max="45" width="11.6328125" style="6" customWidth="1"/>
    <col min="47" max="47" width="11" customWidth="1"/>
    <col min="48" max="48" width="13.26953125" customWidth="1"/>
    <col min="49" max="49" width="12" customWidth="1"/>
  </cols>
  <sheetData>
    <row r="1" spans="1:52" s="6" customFormat="1">
      <c r="A1" s="81" t="s">
        <v>177</v>
      </c>
      <c r="B1" s="81"/>
      <c r="C1" s="81"/>
      <c r="D1" s="81"/>
      <c r="E1" s="81"/>
      <c r="F1" s="81"/>
      <c r="G1" s="81"/>
      <c r="H1" s="81"/>
      <c r="I1" s="81"/>
      <c r="J1" s="81"/>
      <c r="K1" s="81"/>
      <c r="L1" s="81"/>
      <c r="M1" s="81"/>
      <c r="N1" s="81"/>
      <c r="O1" s="81"/>
      <c r="P1" s="81"/>
      <c r="Q1" s="81"/>
      <c r="R1" s="81"/>
      <c r="S1" s="81"/>
      <c r="T1" s="92"/>
      <c r="U1" s="81"/>
      <c r="V1" s="81"/>
    </row>
    <row r="2" spans="1:52">
      <c r="A2" s="1" t="s">
        <v>197</v>
      </c>
      <c r="B2" s="1" t="s">
        <v>196</v>
      </c>
      <c r="C2" s="1" t="s">
        <v>18</v>
      </c>
      <c r="D2" s="1" t="s">
        <v>1</v>
      </c>
      <c r="E2" s="1" t="s">
        <v>2</v>
      </c>
      <c r="F2" s="1" t="s">
        <v>3</v>
      </c>
      <c r="G2" s="1" t="s">
        <v>48</v>
      </c>
      <c r="H2" s="1" t="s">
        <v>49</v>
      </c>
      <c r="I2" s="1" t="s">
        <v>50</v>
      </c>
      <c r="J2" s="1" t="s">
        <v>4</v>
      </c>
      <c r="K2" s="1" t="s">
        <v>5</v>
      </c>
      <c r="L2" s="1" t="s">
        <v>6</v>
      </c>
      <c r="M2" s="1" t="s">
        <v>45</v>
      </c>
      <c r="N2" s="1" t="s">
        <v>46</v>
      </c>
      <c r="O2" s="1" t="s">
        <v>47</v>
      </c>
      <c r="P2" s="1" t="s">
        <v>51</v>
      </c>
      <c r="Q2" s="1" t="s">
        <v>52</v>
      </c>
      <c r="R2" s="1" t="s">
        <v>130</v>
      </c>
      <c r="S2" s="1" t="s">
        <v>131</v>
      </c>
      <c r="T2" s="1" t="s">
        <v>523</v>
      </c>
      <c r="U2" s="1" t="s">
        <v>132</v>
      </c>
      <c r="V2" s="1" t="s">
        <v>110</v>
      </c>
      <c r="W2" s="1" t="s">
        <v>109</v>
      </c>
      <c r="X2" s="1" t="s">
        <v>378</v>
      </c>
      <c r="Y2" s="1" t="s">
        <v>108</v>
      </c>
      <c r="Z2" s="1" t="s">
        <v>120</v>
      </c>
      <c r="AA2" s="1" t="s">
        <v>121</v>
      </c>
      <c r="AB2" s="1" t="s">
        <v>122</v>
      </c>
      <c r="AC2" s="1" t="s">
        <v>7</v>
      </c>
      <c r="AD2" s="1" t="s">
        <v>8</v>
      </c>
      <c r="AE2" s="1" t="s">
        <v>9</v>
      </c>
      <c r="AF2" s="1" t="s">
        <v>10</v>
      </c>
      <c r="AG2" s="1" t="s">
        <v>11</v>
      </c>
      <c r="AH2" s="1" t="s">
        <v>12</v>
      </c>
      <c r="AI2" s="1" t="s">
        <v>13</v>
      </c>
      <c r="AJ2" s="1" t="s">
        <v>14</v>
      </c>
      <c r="AK2" s="1" t="s">
        <v>15</v>
      </c>
      <c r="AL2" s="1" t="s">
        <v>460</v>
      </c>
      <c r="AM2" s="1" t="s">
        <v>16</v>
      </c>
      <c r="AN2" s="1" t="s">
        <v>17</v>
      </c>
      <c r="AO2" s="1" t="s">
        <v>107</v>
      </c>
      <c r="AP2" s="1" t="s">
        <v>134</v>
      </c>
      <c r="AQ2" s="1" t="s">
        <v>136</v>
      </c>
      <c r="AR2" s="1" t="s">
        <v>135</v>
      </c>
      <c r="AS2" s="1" t="s">
        <v>106</v>
      </c>
      <c r="AT2" s="1" t="s">
        <v>459</v>
      </c>
      <c r="AU2" s="1" t="s">
        <v>461</v>
      </c>
      <c r="AV2" s="1" t="s">
        <v>462</v>
      </c>
      <c r="AW2" s="1" t="s">
        <v>465</v>
      </c>
      <c r="AX2" s="1" t="s">
        <v>464</v>
      </c>
      <c r="AY2" s="1" t="s">
        <v>463</v>
      </c>
      <c r="AZ2" s="1" t="s">
        <v>466</v>
      </c>
    </row>
    <row r="3" spans="1:52">
      <c r="A3" s="6" t="s">
        <v>234</v>
      </c>
      <c r="B3" s="6" t="s">
        <v>240</v>
      </c>
      <c r="C3">
        <v>22.5</v>
      </c>
      <c r="D3">
        <v>22.16</v>
      </c>
      <c r="E3">
        <v>3.63</v>
      </c>
      <c r="F3">
        <v>2.2200000000000002</v>
      </c>
      <c r="G3" s="6">
        <v>0.44</v>
      </c>
      <c r="H3" s="6">
        <v>5.99</v>
      </c>
      <c r="I3" s="6">
        <v>0.09</v>
      </c>
      <c r="J3">
        <f>D3*26.98/101.96</f>
        <v>5.8638367987446065</v>
      </c>
      <c r="K3">
        <f>E3*24.305/40.3044</f>
        <v>2.1890203054753323</v>
      </c>
      <c r="L3">
        <f>F3*79.866/47.867</f>
        <v>3.704065849123614</v>
      </c>
      <c r="M3" s="6">
        <f>G3*40.078/56.0774</f>
        <v>0.31446393734374284</v>
      </c>
      <c r="N3" s="6">
        <f>H3*39.0983/94.2</f>
        <v>2.4861870169851383</v>
      </c>
      <c r="O3" s="6">
        <f>I3*22.989769/61.9789</f>
        <v>3.3383606517701989E-2</v>
      </c>
      <c r="P3" s="6">
        <f>100*(J3/(J3+M3+N3+O3))</f>
        <v>67.416917959800841</v>
      </c>
      <c r="Q3" s="6">
        <f>100*(J3/(J3+M3+O3))</f>
        <v>94.400109138264611</v>
      </c>
      <c r="R3" s="6">
        <v>237700</v>
      </c>
      <c r="S3" s="6">
        <v>6752</v>
      </c>
      <c r="T3" s="6">
        <v>277300</v>
      </c>
      <c r="U3" s="6">
        <v>3352</v>
      </c>
      <c r="V3" s="6">
        <f>R3/1000</f>
        <v>237.7</v>
      </c>
      <c r="W3" s="6">
        <f>S3/1000</f>
        <v>6.7519999999999998</v>
      </c>
      <c r="X3" s="6">
        <f>T3/1000</f>
        <v>277.3</v>
      </c>
      <c r="Y3" s="6">
        <f>U3/1000</f>
        <v>3.3519999999999999</v>
      </c>
      <c r="Z3" s="6">
        <f>R3/10000000</f>
        <v>2.3769999999999999E-2</v>
      </c>
      <c r="AA3" s="6">
        <f>S3/10000000</f>
        <v>6.7520000000000004E-4</v>
      </c>
      <c r="AB3" s="6">
        <f>U3/10000000</f>
        <v>3.3520000000000002E-4</v>
      </c>
      <c r="AC3">
        <f>(J3/J56-1)*100</f>
        <v>30.891907855877143</v>
      </c>
      <c r="AD3">
        <f>(K3/K56-1)*100</f>
        <v>-37.73584905660379</v>
      </c>
      <c r="AE3">
        <f>(L3/L56-1)*100</f>
        <v>37.888198757763988</v>
      </c>
      <c r="AF3">
        <f>AD3/-0.61</f>
        <v>61.862047633776704</v>
      </c>
      <c r="AG3">
        <f>AF3*0.0032</f>
        <v>0.19795855242808547</v>
      </c>
      <c r="AH3">
        <f>AF3*0.000044</f>
        <v>2.7219300958861749E-3</v>
      </c>
      <c r="AI3">
        <f>J56*(100-AG3)/100</f>
        <v>4.4710394463383141</v>
      </c>
      <c r="AJ3">
        <f>L56*(100-AH3)/100</f>
        <v>2.6862088709618002</v>
      </c>
      <c r="AK3">
        <f>AI3/AJ3</f>
        <v>1.6644422161920169</v>
      </c>
      <c r="AL3">
        <f>AK3/AM56-1</f>
        <v>-1.9524193668122303E-3</v>
      </c>
      <c r="AM3">
        <f>J3/L3</f>
        <v>1.5830811431530021</v>
      </c>
      <c r="AN3">
        <f>K3/L3</f>
        <v>0.59097769711444437</v>
      </c>
      <c r="AO3" s="6">
        <f>M3/L3</f>
        <v>8.4896961920411143E-2</v>
      </c>
      <c r="AP3" s="6">
        <f>Z3/L3</f>
        <v>6.4172725238197392E-3</v>
      </c>
      <c r="AQ3" s="6">
        <f>AA3/L3</f>
        <v>1.8228617619196836E-4</v>
      </c>
      <c r="AR3" s="6">
        <f>AB3/L3</f>
        <v>9.0495151450752066E-5</v>
      </c>
      <c r="AS3" s="6">
        <f>AB3/AA3</f>
        <v>0.49644549763033174</v>
      </c>
      <c r="AT3">
        <f t="shared" ref="AT3:AZ3" si="0">AM3/AM56-1</f>
        <v>-5.0738866450620757E-2</v>
      </c>
      <c r="AU3">
        <f t="shared" si="0"/>
        <v>-0.54844467108618056</v>
      </c>
      <c r="AV3" s="6">
        <f t="shared" si="0"/>
        <v>0.18184851518184852</v>
      </c>
      <c r="AW3" s="6">
        <f t="shared" si="0"/>
        <v>9.2859252695316474E-3</v>
      </c>
      <c r="AX3" s="6">
        <f t="shared" si="0"/>
        <v>2.5061905112145677E-2</v>
      </c>
      <c r="AY3" s="6">
        <f t="shared" si="0"/>
        <v>-0.10757894458334993</v>
      </c>
      <c r="AZ3" s="6">
        <f t="shared" si="0"/>
        <v>-0.12939789200437046</v>
      </c>
    </row>
    <row r="4" spans="1:52">
      <c r="A4" s="6" t="s">
        <v>236</v>
      </c>
      <c r="B4" s="6" t="s">
        <v>240</v>
      </c>
      <c r="C4">
        <v>31.5</v>
      </c>
      <c r="D4">
        <v>21.28</v>
      </c>
      <c r="E4">
        <v>3.68</v>
      </c>
      <c r="F4">
        <v>2.0099999999999998</v>
      </c>
      <c r="G4" s="6">
        <v>0.39</v>
      </c>
      <c r="H4" s="6">
        <v>5.6</v>
      </c>
      <c r="I4" s="6">
        <v>7.0000000000000007E-2</v>
      </c>
      <c r="J4">
        <f t="shared" ref="J4:J56" si="1">D4*26.98/101.96</f>
        <v>5.6309768536681055</v>
      </c>
      <c r="K4">
        <f t="shared" ref="K4:K56" si="2">E4*24.305/40.3044</f>
        <v>2.219172100316591</v>
      </c>
      <c r="L4">
        <f t="shared" ref="L4:L56" si="3">F4*79.866/47.867</f>
        <v>3.353681241774082</v>
      </c>
      <c r="M4" s="6">
        <f t="shared" ref="M4:M56" si="4">G4*40.078/56.0774</f>
        <v>0.27872939900922655</v>
      </c>
      <c r="N4" s="6">
        <f t="shared" ref="N4:N56" si="5">H4*39.0983/94.2</f>
        <v>2.3243150743099785</v>
      </c>
      <c r="O4" s="6">
        <f t="shared" ref="O4:O56" si="6">I4*22.989769/61.9789</f>
        <v>2.5965027291545994E-2</v>
      </c>
      <c r="P4" s="6">
        <f t="shared" ref="P4:P55" si="7">100*(J4/(J4+M4+N4+O4))</f>
        <v>68.171745232377219</v>
      </c>
      <c r="Q4" s="6">
        <f t="shared" ref="Q4:Q55" si="8">100*(J4/(J4+M4+O4))</f>
        <v>94.866723375854292</v>
      </c>
      <c r="R4" s="6">
        <v>214700</v>
      </c>
      <c r="S4" s="6">
        <v>5842</v>
      </c>
      <c r="T4" s="6">
        <v>257300</v>
      </c>
      <c r="U4" s="6">
        <v>3209</v>
      </c>
      <c r="V4" s="6">
        <f t="shared" ref="V4:V56" si="9">R4/1000</f>
        <v>214.7</v>
      </c>
      <c r="W4" s="6">
        <f t="shared" ref="W4:W56" si="10">S4/1000</f>
        <v>5.8419999999999996</v>
      </c>
      <c r="X4" s="6">
        <f t="shared" ref="X4:X55" si="11">T4/1000</f>
        <v>257.3</v>
      </c>
      <c r="Y4" s="6">
        <f t="shared" ref="Y4:Y56" si="12">U4/1000</f>
        <v>3.2090000000000001</v>
      </c>
      <c r="Z4" s="6">
        <f t="shared" ref="Z4:Z56" si="13">R4/10000000</f>
        <v>2.147E-2</v>
      </c>
      <c r="AA4" s="6">
        <f t="shared" ref="AA4:AA18" si="14">S4/10000000</f>
        <v>5.842E-4</v>
      </c>
      <c r="AB4" s="6">
        <f t="shared" ref="AB4:AB18" si="15">U4/10000000</f>
        <v>3.2089999999999999E-4</v>
      </c>
      <c r="AC4">
        <f>(J4/J56-1)*100</f>
        <v>25.69403425871235</v>
      </c>
      <c r="AD4">
        <f>(K4/K56-1)*100</f>
        <v>-36.878216123499129</v>
      </c>
      <c r="AE4">
        <f>(L4/L56-1)*100</f>
        <v>24.844720496894389</v>
      </c>
      <c r="AF4">
        <f t="shared" ref="AF4:AF55" si="16">AD4/-0.61</f>
        <v>60.456092005736281</v>
      </c>
      <c r="AG4">
        <f t="shared" ref="AG4:AG55" si="17">AF4*0.0032</f>
        <v>0.19345949441835611</v>
      </c>
      <c r="AH4">
        <f t="shared" ref="AH4:AH55" si="18">AF4*0.000044</f>
        <v>2.6600680482523962E-3</v>
      </c>
      <c r="AI4">
        <f>J56*(100-AG4)/100</f>
        <v>4.471240999989333</v>
      </c>
      <c r="AJ4">
        <f>L56*(100-AH4)/100</f>
        <v>2.6862105327508443</v>
      </c>
      <c r="AK4">
        <f t="shared" ref="AK4:AK55" si="19">AI4/AJ4</f>
        <v>1.6645162192147718</v>
      </c>
      <c r="AL4">
        <f>AK4/AM56-1</f>
        <v>-1.9080450189967735E-3</v>
      </c>
      <c r="AM4">
        <f t="shared" ref="AM4:AM56" si="20">J4/L4</f>
        <v>1.6790435487808451</v>
      </c>
      <c r="AN4">
        <f t="shared" ref="AN4:AN16" si="21">K4/L4</f>
        <v>0.6617122917569408</v>
      </c>
      <c r="AO4" s="6">
        <f t="shared" ref="AO4:AO56" si="22">M4/L4</f>
        <v>8.311147628979193E-2</v>
      </c>
      <c r="AP4" s="6">
        <f t="shared" ref="AP4:AP56" si="23">Z4/L4</f>
        <v>6.4019202936062185E-3</v>
      </c>
      <c r="AQ4" s="6">
        <f t="shared" ref="AQ4:AQ56" si="24">AA4/L4</f>
        <v>1.7419663882276446E-4</v>
      </c>
      <c r="AR4" s="6">
        <f t="shared" ref="AR4:AR56" si="25">AB4/L4</f>
        <v>9.5685897634757136E-5</v>
      </c>
      <c r="AS4" s="6">
        <f t="shared" ref="AS4:AS56" si="26">AB4/AA4</f>
        <v>0.54929818555289289</v>
      </c>
      <c r="AT4">
        <f t="shared" ref="AT4:AZ4" si="27">AM4/AM56-1</f>
        <v>6.8029609777460198E-3</v>
      </c>
      <c r="AU4">
        <f t="shared" si="27"/>
        <v>-0.49439765153648552</v>
      </c>
      <c r="AV4" s="6">
        <f t="shared" si="27"/>
        <v>0.15699281370923179</v>
      </c>
      <c r="AW4" s="6">
        <f t="shared" si="27"/>
        <v>6.8713808009135402E-3</v>
      </c>
      <c r="AX4" s="6">
        <f t="shared" si="27"/>
        <v>-2.0428525157340616E-2</v>
      </c>
      <c r="AY4" s="6">
        <f t="shared" si="27"/>
        <v>-5.6390222163777093E-2</v>
      </c>
      <c r="AZ4" s="6">
        <f t="shared" si="27"/>
        <v>-3.6711662119614741E-2</v>
      </c>
    </row>
    <row r="5" spans="1:52">
      <c r="A5" s="6" t="s">
        <v>235</v>
      </c>
      <c r="B5" s="6" t="s">
        <v>240</v>
      </c>
      <c r="C5">
        <v>47</v>
      </c>
      <c r="D5">
        <v>22.72</v>
      </c>
      <c r="E5">
        <v>2.54</v>
      </c>
      <c r="F5">
        <v>2.0099999999999998</v>
      </c>
      <c r="G5" s="6">
        <v>0.34</v>
      </c>
      <c r="H5" s="6">
        <v>7.34</v>
      </c>
      <c r="I5" s="6">
        <v>0.09</v>
      </c>
      <c r="J5">
        <f t="shared" si="1"/>
        <v>6.0120204001569242</v>
      </c>
      <c r="K5">
        <f t="shared" si="2"/>
        <v>1.5317111779359078</v>
      </c>
      <c r="L5">
        <f t="shared" si="3"/>
        <v>3.353681241774082</v>
      </c>
      <c r="M5" s="6">
        <f t="shared" si="4"/>
        <v>0.24299486067471038</v>
      </c>
      <c r="N5" s="6">
        <f t="shared" si="5"/>
        <v>3.0465129723991504</v>
      </c>
      <c r="O5" s="6">
        <f t="shared" si="6"/>
        <v>3.3383606517701989E-2</v>
      </c>
      <c r="P5" s="6">
        <f t="shared" si="7"/>
        <v>64.403611982252073</v>
      </c>
      <c r="Q5" s="6">
        <f t="shared" si="8"/>
        <v>95.604946934466483</v>
      </c>
      <c r="R5" s="6">
        <v>213100</v>
      </c>
      <c r="S5" s="6">
        <v>5893</v>
      </c>
      <c r="T5" s="6">
        <v>337800</v>
      </c>
      <c r="U5" s="6">
        <v>3208</v>
      </c>
      <c r="V5" s="6">
        <f t="shared" si="9"/>
        <v>213.1</v>
      </c>
      <c r="W5" s="6">
        <f t="shared" si="10"/>
        <v>5.8929999999999998</v>
      </c>
      <c r="X5" s="6">
        <f t="shared" si="11"/>
        <v>337.8</v>
      </c>
      <c r="Y5" s="6">
        <f t="shared" si="12"/>
        <v>3.2080000000000002</v>
      </c>
      <c r="Z5" s="6">
        <f t="shared" si="13"/>
        <v>2.1309999999999999E-2</v>
      </c>
      <c r="AA5" s="6">
        <f t="shared" si="14"/>
        <v>5.8929999999999996E-4</v>
      </c>
      <c r="AB5" s="6">
        <f t="shared" si="15"/>
        <v>3.2079999999999999E-4</v>
      </c>
      <c r="AC5">
        <f>(J5/J56-1)*100</f>
        <v>34.199645599527464</v>
      </c>
      <c r="AD5">
        <f>(K5/K56-1)*100</f>
        <v>-56.432246998284732</v>
      </c>
      <c r="AE5">
        <f>(L5/L56-1)*100</f>
        <v>24.844720496894389</v>
      </c>
      <c r="AF5">
        <f t="shared" si="16"/>
        <v>92.511880325056936</v>
      </c>
      <c r="AG5">
        <f t="shared" si="17"/>
        <v>0.29603801704018223</v>
      </c>
      <c r="AH5">
        <f t="shared" si="18"/>
        <v>4.0705227343025051E-3</v>
      </c>
      <c r="AI5">
        <f>J56*(100-AG5)/100</f>
        <v>4.4666455767461093</v>
      </c>
      <c r="AJ5">
        <f>L56*(100-AH5)/100</f>
        <v>2.6861726439606404</v>
      </c>
      <c r="AK5">
        <f t="shared" si="19"/>
        <v>1.662828927540652</v>
      </c>
      <c r="AL5">
        <f>AK5/AM56-1</f>
        <v>-2.9197937939290375E-3</v>
      </c>
      <c r="AM5">
        <f t="shared" si="20"/>
        <v>1.7926630370442103</v>
      </c>
      <c r="AN5">
        <f t="shared" si="21"/>
        <v>0.45672533181049718</v>
      </c>
      <c r="AO5" s="6">
        <f t="shared" si="22"/>
        <v>7.2456158816741695E-2</v>
      </c>
      <c r="AP5" s="6">
        <f t="shared" si="23"/>
        <v>6.3542115256985804E-3</v>
      </c>
      <c r="AQ5" s="6">
        <f t="shared" si="24"/>
        <v>1.7571735579982042E-4</v>
      </c>
      <c r="AR5" s="6">
        <f t="shared" si="25"/>
        <v>9.5656079654814856E-5</v>
      </c>
      <c r="AS5" s="6">
        <f t="shared" si="26"/>
        <v>0.5443746818258951</v>
      </c>
      <c r="AT5">
        <f t="shared" ref="AT5:AZ5" si="28">AM5/AM56-1</f>
        <v>7.4932484652931564E-2</v>
      </c>
      <c r="AU5">
        <f t="shared" si="28"/>
        <v>-0.65102446600616126</v>
      </c>
      <c r="AV5" s="6">
        <f t="shared" si="28"/>
        <v>8.6604016952278595E-3</v>
      </c>
      <c r="AW5" s="6">
        <f t="shared" si="28"/>
        <v>-6.3208547426785167E-4</v>
      </c>
      <c r="AX5" s="6">
        <f t="shared" si="28"/>
        <v>-1.1876976849060084E-2</v>
      </c>
      <c r="AY5" s="6">
        <f t="shared" si="28"/>
        <v>-5.6684273200809376E-2</v>
      </c>
      <c r="AZ5" s="6">
        <f t="shared" si="28"/>
        <v>-4.5345868178303661E-2</v>
      </c>
    </row>
    <row r="6" spans="1:52">
      <c r="A6" s="6" t="s">
        <v>239</v>
      </c>
      <c r="B6" s="6" t="s">
        <v>240</v>
      </c>
      <c r="C6">
        <v>60</v>
      </c>
      <c r="D6">
        <v>19.239999999999998</v>
      </c>
      <c r="E6">
        <v>4.34</v>
      </c>
      <c r="F6">
        <v>1.71</v>
      </c>
      <c r="G6" s="6">
        <v>0.31</v>
      </c>
      <c r="H6" s="6">
        <v>4.1100000000000003</v>
      </c>
      <c r="I6" s="6">
        <v>0.08</v>
      </c>
      <c r="J6">
        <f t="shared" si="1"/>
        <v>5.0911651628089452</v>
      </c>
      <c r="K6">
        <f t="shared" si="2"/>
        <v>2.6171757922211967</v>
      </c>
      <c r="L6">
        <f t="shared" si="3"/>
        <v>2.8531318027033241</v>
      </c>
      <c r="M6" s="6">
        <f t="shared" si="4"/>
        <v>0.22155413767400062</v>
      </c>
      <c r="N6" s="6">
        <f t="shared" si="5"/>
        <v>1.7058812420382166</v>
      </c>
      <c r="O6" s="6">
        <f t="shared" si="6"/>
        <v>2.9674316904623989E-2</v>
      </c>
      <c r="P6" s="6">
        <f t="shared" si="7"/>
        <v>72.23278411170979</v>
      </c>
      <c r="Q6" s="6">
        <f t="shared" si="8"/>
        <v>95.297455175130366</v>
      </c>
      <c r="R6" s="6">
        <v>178100</v>
      </c>
      <c r="S6" s="6">
        <v>4911</v>
      </c>
      <c r="T6" s="6">
        <v>187800</v>
      </c>
      <c r="U6" s="6">
        <v>2624</v>
      </c>
      <c r="V6" s="6">
        <f t="shared" si="9"/>
        <v>178.1</v>
      </c>
      <c r="W6" s="6">
        <f t="shared" si="10"/>
        <v>4.9109999999999996</v>
      </c>
      <c r="X6" s="6">
        <f t="shared" si="11"/>
        <v>187.8</v>
      </c>
      <c r="Y6" s="6">
        <f t="shared" si="12"/>
        <v>2.6240000000000001</v>
      </c>
      <c r="Z6" s="6">
        <f t="shared" si="13"/>
        <v>1.7809999999999999E-2</v>
      </c>
      <c r="AA6" s="6">
        <f t="shared" si="14"/>
        <v>4.9109999999999996E-4</v>
      </c>
      <c r="AB6" s="6">
        <f t="shared" si="15"/>
        <v>2.6239999999999998E-4</v>
      </c>
      <c r="AC6">
        <f>(J6/J56-1)*100</f>
        <v>13.644418192557595</v>
      </c>
      <c r="AD6">
        <f>(K6/K56-1)*100</f>
        <v>-25.557461406518012</v>
      </c>
      <c r="AE6">
        <f>(L6/L56-1)*100</f>
        <v>6.2111801242236142</v>
      </c>
      <c r="AF6">
        <f t="shared" si="16"/>
        <v>41.897477715603301</v>
      </c>
      <c r="AG6">
        <f t="shared" si="17"/>
        <v>0.13407192868993056</v>
      </c>
      <c r="AH6">
        <f t="shared" si="18"/>
        <v>1.8434890194865452E-3</v>
      </c>
      <c r="AI6">
        <f>J56*(100-AG6)/100</f>
        <v>4.4739015081827782</v>
      </c>
      <c r="AJ6">
        <f>L56*(100-AH6)/100</f>
        <v>2.6862324683662258</v>
      </c>
      <c r="AK6">
        <f t="shared" si="19"/>
        <v>1.6654930505340135</v>
      </c>
      <c r="AL6">
        <f>AK6/AM56-1</f>
        <v>-1.3223087733214012E-3</v>
      </c>
      <c r="AM6">
        <f t="shared" si="20"/>
        <v>1.7844128890172892</v>
      </c>
      <c r="AN6">
        <f t="shared" si="21"/>
        <v>0.91729929537129673</v>
      </c>
      <c r="AO6" s="6">
        <f t="shared" si="22"/>
        <v>7.7652962777281967E-2</v>
      </c>
      <c r="AP6" s="6">
        <f t="shared" si="23"/>
        <v>6.2422633203012695E-3</v>
      </c>
      <c r="AQ6" s="6">
        <f t="shared" si="24"/>
        <v>1.7212664326782444E-4</v>
      </c>
      <c r="AR6" s="6">
        <f t="shared" si="25"/>
        <v>9.196911259107542E-5</v>
      </c>
      <c r="AS6" s="6">
        <f t="shared" si="26"/>
        <v>0.53431073101201387</v>
      </c>
      <c r="AT6">
        <f t="shared" ref="AT6:AZ6" si="29">AM6/AM56-1</f>
        <v>6.9985457836361009E-2</v>
      </c>
      <c r="AU6">
        <f t="shared" si="29"/>
        <v>-0.29910826236546195</v>
      </c>
      <c r="AV6" s="6">
        <f t="shared" si="29"/>
        <v>8.100498158977687E-2</v>
      </c>
      <c r="AW6" s="6">
        <f t="shared" si="29"/>
        <v>-1.8238903269101825E-2</v>
      </c>
      <c r="AX6" s="6">
        <f t="shared" si="29"/>
        <v>-3.2068868004216267E-2</v>
      </c>
      <c r="AY6" s="6">
        <f t="shared" si="29"/>
        <v>-9.3043425990330775E-2</v>
      </c>
      <c r="AZ6" s="6">
        <f t="shared" si="29"/>
        <v>-6.2994727590165112E-2</v>
      </c>
    </row>
    <row r="7" spans="1:52">
      <c r="A7" s="6" t="s">
        <v>237</v>
      </c>
      <c r="B7" s="6" t="s">
        <v>240</v>
      </c>
      <c r="C7">
        <v>73</v>
      </c>
      <c r="D7">
        <v>17.62</v>
      </c>
      <c r="E7">
        <v>4.9000000000000004</v>
      </c>
      <c r="F7">
        <v>1.59</v>
      </c>
      <c r="G7" s="6">
        <v>0.43</v>
      </c>
      <c r="H7" s="6">
        <v>3.59</v>
      </c>
      <c r="I7" s="6">
        <v>0.12</v>
      </c>
      <c r="J7">
        <f t="shared" si="1"/>
        <v>4.6624911730090233</v>
      </c>
      <c r="K7">
        <f t="shared" si="2"/>
        <v>2.9548758944432869</v>
      </c>
      <c r="L7">
        <f t="shared" si="3"/>
        <v>2.6529120270750206</v>
      </c>
      <c r="M7" s="6">
        <f t="shared" si="4"/>
        <v>0.30731702967683955</v>
      </c>
      <c r="N7" s="6">
        <f t="shared" si="5"/>
        <v>1.4900519851380043</v>
      </c>
      <c r="O7" s="6">
        <f t="shared" si="6"/>
        <v>4.4511475356935983E-2</v>
      </c>
      <c r="P7" s="6">
        <f t="shared" si="7"/>
        <v>71.68242244522888</v>
      </c>
      <c r="Q7" s="6">
        <f t="shared" si="8"/>
        <v>92.983524632974692</v>
      </c>
      <c r="R7" s="6">
        <v>168400</v>
      </c>
      <c r="S7" s="6">
        <v>4694</v>
      </c>
      <c r="T7" s="6">
        <v>117800</v>
      </c>
      <c r="U7" s="6">
        <v>2510</v>
      </c>
      <c r="V7" s="6">
        <f t="shared" si="9"/>
        <v>168.4</v>
      </c>
      <c r="W7" s="6">
        <f t="shared" si="10"/>
        <v>4.694</v>
      </c>
      <c r="X7" s="6">
        <f t="shared" si="11"/>
        <v>117.8</v>
      </c>
      <c r="Y7" s="6">
        <f t="shared" si="12"/>
        <v>2.5099999999999998</v>
      </c>
      <c r="Z7" s="6">
        <f t="shared" si="13"/>
        <v>1.6840000000000001E-2</v>
      </c>
      <c r="AA7" s="6">
        <f t="shared" si="14"/>
        <v>4.6940000000000003E-4</v>
      </c>
      <c r="AB7" s="6">
        <f t="shared" si="15"/>
        <v>2.5099999999999998E-4</v>
      </c>
      <c r="AC7">
        <f>(J7/J56-1)*100</f>
        <v>4.0756054341405834</v>
      </c>
      <c r="AD7">
        <f>(K7/K56-1)*100</f>
        <v>-15.95197255574613</v>
      </c>
      <c r="AE7">
        <f>(L7/L56-1)*100</f>
        <v>-1.2422360248447228</v>
      </c>
      <c r="AF7">
        <f t="shared" si="16"/>
        <v>26.150774681551034</v>
      </c>
      <c r="AG7">
        <f t="shared" si="17"/>
        <v>8.3682478980963315E-2</v>
      </c>
      <c r="AH7">
        <f t="shared" si="18"/>
        <v>1.1506340859882456E-3</v>
      </c>
      <c r="AI7">
        <f>J56*(100-AG7)/100</f>
        <v>4.4761589090741856</v>
      </c>
      <c r="AJ7">
        <f>L56*(100-AH7)/100</f>
        <v>2.6862510804035189</v>
      </c>
      <c r="AK7">
        <f t="shared" si="19"/>
        <v>1.6663218645971818</v>
      </c>
      <c r="AL7">
        <f>AK7/AM56-1</f>
        <v>-8.2532794545442378E-4</v>
      </c>
      <c r="AM7">
        <f t="shared" si="20"/>
        <v>1.7574993537006474</v>
      </c>
      <c r="AN7">
        <f t="shared" si="21"/>
        <v>1.1138235509834067</v>
      </c>
      <c r="AO7" s="6">
        <f t="shared" si="22"/>
        <v>0.11584139486738776</v>
      </c>
      <c r="AP7" s="6">
        <f t="shared" si="23"/>
        <v>6.3477415866545015E-3</v>
      </c>
      <c r="AQ7" s="6">
        <f t="shared" si="24"/>
        <v>1.769376425638731E-4</v>
      </c>
      <c r="AR7" s="6">
        <f t="shared" si="25"/>
        <v>9.4613012960230379E-5</v>
      </c>
      <c r="AS7" s="6">
        <f t="shared" si="26"/>
        <v>0.53472518108223255</v>
      </c>
      <c r="AT7">
        <f t="shared" ref="AT7:AZ7" si="30">AM7/AM56-1</f>
        <v>5.3847325465196993E-2</v>
      </c>
      <c r="AU7">
        <f t="shared" si="30"/>
        <v>-0.14894764663365578</v>
      </c>
      <c r="AV7" s="6">
        <f t="shared" si="30"/>
        <v>0.61262520382017227</v>
      </c>
      <c r="AW7" s="6">
        <f t="shared" si="30"/>
        <v>-1.6496546035673632E-3</v>
      </c>
      <c r="AX7" s="6">
        <f t="shared" si="30"/>
        <v>-5.0148576183309812E-3</v>
      </c>
      <c r="AY7" s="6">
        <f t="shared" si="30"/>
        <v>-6.6970511364161212E-2</v>
      </c>
      <c r="AZ7" s="6">
        <f t="shared" si="30"/>
        <v>-6.2267918491253682E-2</v>
      </c>
    </row>
    <row r="8" spans="1:52">
      <c r="A8" s="6" t="s">
        <v>241</v>
      </c>
      <c r="B8" s="6" t="s">
        <v>240</v>
      </c>
      <c r="C8">
        <v>89.5</v>
      </c>
      <c r="D8">
        <v>16.36</v>
      </c>
      <c r="E8">
        <v>4.6900000000000004</v>
      </c>
      <c r="F8">
        <v>1.57</v>
      </c>
      <c r="G8" s="6">
        <v>0.72</v>
      </c>
      <c r="H8" s="6">
        <v>2.91</v>
      </c>
      <c r="I8" s="6">
        <v>0.55000000000000004</v>
      </c>
      <c r="J8">
        <f t="shared" si="1"/>
        <v>4.3290780698313061</v>
      </c>
      <c r="K8">
        <f t="shared" si="2"/>
        <v>2.8282383561100031</v>
      </c>
      <c r="L8">
        <f t="shared" si="3"/>
        <v>2.6195420644703034</v>
      </c>
      <c r="M8" s="6">
        <f t="shared" si="4"/>
        <v>0.5145773520170337</v>
      </c>
      <c r="N8" s="6">
        <f t="shared" si="5"/>
        <v>1.2078137261146498</v>
      </c>
      <c r="O8" s="6">
        <f t="shared" si="6"/>
        <v>0.20401092871928997</v>
      </c>
      <c r="P8" s="6">
        <f t="shared" si="7"/>
        <v>69.204569701504354</v>
      </c>
      <c r="Q8" s="6">
        <f t="shared" si="8"/>
        <v>85.763950490596201</v>
      </c>
      <c r="R8" s="6">
        <v>166900</v>
      </c>
      <c r="S8" s="6">
        <v>4636</v>
      </c>
      <c r="T8" s="6">
        <v>76270</v>
      </c>
      <c r="U8" s="6">
        <v>2355</v>
      </c>
      <c r="V8" s="6">
        <f t="shared" si="9"/>
        <v>166.9</v>
      </c>
      <c r="W8" s="6">
        <f t="shared" si="10"/>
        <v>4.6360000000000001</v>
      </c>
      <c r="X8" s="6">
        <f t="shared" si="11"/>
        <v>76.27</v>
      </c>
      <c r="Y8" s="6">
        <f t="shared" si="12"/>
        <v>2.355</v>
      </c>
      <c r="Z8" s="6">
        <f t="shared" si="13"/>
        <v>1.669E-2</v>
      </c>
      <c r="AA8" s="6">
        <f t="shared" si="14"/>
        <v>4.6359999999999999E-4</v>
      </c>
      <c r="AB8" s="6">
        <f t="shared" si="15"/>
        <v>2.3550000000000001E-4</v>
      </c>
      <c r="AC8">
        <f>(J8/J56-1)*100</f>
        <v>-3.3668044890726612</v>
      </c>
      <c r="AD8">
        <f>(K8/K56-1)*100</f>
        <v>-19.554030874785589</v>
      </c>
      <c r="AE8">
        <f>(L8/L56-1)*100</f>
        <v>-2.4844720496894457</v>
      </c>
      <c r="AF8">
        <f t="shared" si="16"/>
        <v>32.055788319320641</v>
      </c>
      <c r="AG8">
        <f t="shared" si="17"/>
        <v>0.10257852262182605</v>
      </c>
      <c r="AH8">
        <f t="shared" si="18"/>
        <v>1.4104546860501082E-3</v>
      </c>
      <c r="AI8">
        <f>J56*(100-AG8)/100</f>
        <v>4.475312383739908</v>
      </c>
      <c r="AJ8">
        <f>L56*(100-AH8)/100</f>
        <v>2.6862441008895335</v>
      </c>
      <c r="AK8">
        <f t="shared" si="19"/>
        <v>1.6660110606694065</v>
      </c>
      <c r="AL8">
        <f>AK8/AM56-1</f>
        <v>-1.0116949488563343E-3</v>
      </c>
      <c r="AM8">
        <f t="shared" si="20"/>
        <v>1.6526087244591308</v>
      </c>
      <c r="AN8">
        <f t="shared" si="21"/>
        <v>1.0796689980551619</v>
      </c>
      <c r="AO8" s="6">
        <f t="shared" si="22"/>
        <v>0.19643790378341802</v>
      </c>
      <c r="AP8" s="6">
        <f t="shared" si="23"/>
        <v>6.371342619907453E-3</v>
      </c>
      <c r="AQ8" s="6">
        <f t="shared" si="24"/>
        <v>1.7697749781839993E-4</v>
      </c>
      <c r="AR8" s="6">
        <f t="shared" si="25"/>
        <v>8.9901209525955971E-5</v>
      </c>
      <c r="AS8" s="6">
        <f t="shared" si="26"/>
        <v>0.50798101811906815</v>
      </c>
      <c r="AT8">
        <f t="shared" ref="AT8:AZ8" si="31">AM8/AM56-1</f>
        <v>-9.0481224675604821E-3</v>
      </c>
      <c r="AU8">
        <f t="shared" si="31"/>
        <v>-0.1750445204356994</v>
      </c>
      <c r="AV8" s="6">
        <f t="shared" si="31"/>
        <v>1.7346072186836516</v>
      </c>
      <c r="AW8" s="6">
        <f t="shared" si="31"/>
        <v>2.062232431867983E-3</v>
      </c>
      <c r="AX8" s="6">
        <f t="shared" si="31"/>
        <v>-4.790736930808448E-3</v>
      </c>
      <c r="AY8" s="6">
        <f t="shared" si="31"/>
        <v>-0.11343612334801756</v>
      </c>
      <c r="AZ8" s="6">
        <f t="shared" si="31"/>
        <v>-0.10916838342335222</v>
      </c>
    </row>
    <row r="9" spans="1:52">
      <c r="A9" s="6" t="s">
        <v>242</v>
      </c>
      <c r="B9" s="6" t="s">
        <v>240</v>
      </c>
      <c r="C9">
        <v>97</v>
      </c>
      <c r="D9">
        <v>16.190000000000001</v>
      </c>
      <c r="E9">
        <v>4.45</v>
      </c>
      <c r="F9">
        <v>1.47</v>
      </c>
      <c r="G9" s="6">
        <v>0.36</v>
      </c>
      <c r="H9" s="6">
        <v>2.78</v>
      </c>
      <c r="I9" s="6">
        <v>1.1200000000000001</v>
      </c>
      <c r="J9">
        <f t="shared" si="1"/>
        <v>4.2840937622597108</v>
      </c>
      <c r="K9">
        <f t="shared" si="2"/>
        <v>2.6835097408719646</v>
      </c>
      <c r="L9">
        <f t="shared" si="3"/>
        <v>2.4526922514467171</v>
      </c>
      <c r="M9" s="6">
        <f t="shared" si="4"/>
        <v>0.25728867600851685</v>
      </c>
      <c r="N9" s="6">
        <f t="shared" si="5"/>
        <v>1.1538564118895966</v>
      </c>
      <c r="O9" s="6">
        <f t="shared" si="6"/>
        <v>0.4154404366647359</v>
      </c>
      <c r="P9" s="6">
        <f t="shared" si="7"/>
        <v>70.108306477451549</v>
      </c>
      <c r="Q9" s="6">
        <f t="shared" si="8"/>
        <v>86.428219655067849</v>
      </c>
      <c r="R9" s="6">
        <v>151700</v>
      </c>
      <c r="S9" s="6">
        <v>4296</v>
      </c>
      <c r="T9" s="6">
        <v>62500</v>
      </c>
      <c r="U9" s="6">
        <v>2162</v>
      </c>
      <c r="V9" s="6">
        <f t="shared" si="9"/>
        <v>151.69999999999999</v>
      </c>
      <c r="W9" s="6">
        <f t="shared" si="10"/>
        <v>4.2960000000000003</v>
      </c>
      <c r="X9" s="6">
        <f t="shared" si="11"/>
        <v>62.5</v>
      </c>
      <c r="Y9" s="6">
        <f t="shared" si="12"/>
        <v>2.1619999999999999</v>
      </c>
      <c r="Z9" s="6">
        <f t="shared" si="13"/>
        <v>1.5169999999999999E-2</v>
      </c>
      <c r="AA9" s="6">
        <f t="shared" si="14"/>
        <v>4.2959999999999998E-4</v>
      </c>
      <c r="AB9" s="6">
        <f t="shared" si="15"/>
        <v>2.162E-4</v>
      </c>
      <c r="AC9">
        <f>(J9/J56-1)*100</f>
        <v>-4.3709391612521964</v>
      </c>
      <c r="AD9">
        <f>(K9/K56-1)*100</f>
        <v>-23.670668953687812</v>
      </c>
      <c r="AE9">
        <f>(L9/L56-1)*100</f>
        <v>-8.6956521739130483</v>
      </c>
      <c r="AF9">
        <f t="shared" si="16"/>
        <v>38.80437533391445</v>
      </c>
      <c r="AG9">
        <f t="shared" si="17"/>
        <v>0.12417400106852625</v>
      </c>
      <c r="AH9">
        <f t="shared" si="18"/>
        <v>1.7073925146922357E-3</v>
      </c>
      <c r="AI9">
        <f>J56*(100-AG9)/100</f>
        <v>4.4743449262150188</v>
      </c>
      <c r="AJ9">
        <f>L56*(100-AH9)/100</f>
        <v>2.6862361243021229</v>
      </c>
      <c r="AK9">
        <f t="shared" si="19"/>
        <v>1.6656558542028548</v>
      </c>
      <c r="AL9">
        <f>AK9/AM56-1</f>
        <v>-1.2246869957526219E-3</v>
      </c>
      <c r="AM9">
        <f t="shared" si="20"/>
        <v>1.7466902990918425</v>
      </c>
      <c r="AN9">
        <f t="shared" si="21"/>
        <v>1.0941078071613346</v>
      </c>
      <c r="AO9" s="6">
        <f t="shared" si="22"/>
        <v>0.1049005132448865</v>
      </c>
      <c r="AP9" s="6">
        <f t="shared" si="23"/>
        <v>6.185040129291392E-3</v>
      </c>
      <c r="AQ9" s="6">
        <f t="shared" si="24"/>
        <v>1.7515446536213461E-4</v>
      </c>
      <c r="AR9" s="6">
        <f t="shared" si="25"/>
        <v>8.8148034011390842E-5</v>
      </c>
      <c r="AS9" s="6">
        <f t="shared" si="26"/>
        <v>0.50325884543761645</v>
      </c>
      <c r="AT9">
        <f t="shared" ref="AT9:AZ9" si="32">AM9/AM56-1</f>
        <v>4.7365904424380822E-2</v>
      </c>
      <c r="AU9">
        <f t="shared" si="32"/>
        <v>-0.1640120885403904</v>
      </c>
      <c r="AV9" s="6">
        <f t="shared" si="32"/>
        <v>0.46031746031746024</v>
      </c>
      <c r="AW9" s="6">
        <f t="shared" si="32"/>
        <v>-2.7238764358202383E-2</v>
      </c>
      <c r="AX9" s="6">
        <f t="shared" si="32"/>
        <v>-1.504231585872795E-2</v>
      </c>
      <c r="AY9" s="6">
        <f t="shared" si="32"/>
        <v>-0.13072512411719461</v>
      </c>
      <c r="AZ9" s="6">
        <f t="shared" si="32"/>
        <v>-0.1174495210515808</v>
      </c>
    </row>
    <row r="10" spans="1:52">
      <c r="A10" s="6" t="s">
        <v>243</v>
      </c>
      <c r="B10" s="6" t="s">
        <v>240</v>
      </c>
      <c r="C10">
        <v>106.5</v>
      </c>
      <c r="D10">
        <v>15.71</v>
      </c>
      <c r="E10">
        <v>3.71</v>
      </c>
      <c r="F10">
        <v>1.46</v>
      </c>
      <c r="G10" s="6">
        <v>0.33</v>
      </c>
      <c r="H10" s="6">
        <v>2.36</v>
      </c>
      <c r="I10" s="6">
        <v>2.0099999999999998</v>
      </c>
      <c r="J10">
        <f t="shared" si="1"/>
        <v>4.1570792467634377</v>
      </c>
      <c r="K10">
        <f t="shared" si="2"/>
        <v>2.2372631772213456</v>
      </c>
      <c r="L10">
        <f t="shared" si="3"/>
        <v>2.4360072701443585</v>
      </c>
      <c r="M10" s="6">
        <f t="shared" si="4"/>
        <v>0.23584795300780712</v>
      </c>
      <c r="N10" s="6">
        <f t="shared" si="5"/>
        <v>0.97953278131634813</v>
      </c>
      <c r="O10" s="6">
        <f t="shared" si="6"/>
        <v>0.74556721222867761</v>
      </c>
      <c r="P10" s="6">
        <f t="shared" si="7"/>
        <v>67.948034806136519</v>
      </c>
      <c r="Q10" s="6">
        <f t="shared" si="8"/>
        <v>80.900725260212653</v>
      </c>
      <c r="R10" s="6">
        <v>150900</v>
      </c>
      <c r="S10" s="6">
        <v>4263</v>
      </c>
      <c r="T10" s="6">
        <v>64660</v>
      </c>
      <c r="U10" s="6">
        <v>2162</v>
      </c>
      <c r="V10" s="6">
        <f t="shared" si="9"/>
        <v>150.9</v>
      </c>
      <c r="W10" s="6">
        <f t="shared" si="10"/>
        <v>4.2629999999999999</v>
      </c>
      <c r="X10" s="6">
        <f t="shared" si="11"/>
        <v>64.66</v>
      </c>
      <c r="Y10" s="6">
        <f t="shared" si="12"/>
        <v>2.1619999999999999</v>
      </c>
      <c r="Z10" s="6">
        <f t="shared" si="13"/>
        <v>1.5089999999999999E-2</v>
      </c>
      <c r="AA10" s="6">
        <f t="shared" si="14"/>
        <v>4.2630000000000001E-4</v>
      </c>
      <c r="AB10" s="6">
        <f t="shared" si="15"/>
        <v>2.162E-4</v>
      </c>
      <c r="AC10">
        <f>(J10/J56-1)*100</f>
        <v>-7.2061429415239076</v>
      </c>
      <c r="AD10">
        <f>(K10/K56-1)*100</f>
        <v>-36.363636363636367</v>
      </c>
      <c r="AE10">
        <f>(L10/L56-1)*100</f>
        <v>-9.3167701863354111</v>
      </c>
      <c r="AF10">
        <f t="shared" si="16"/>
        <v>59.612518628912078</v>
      </c>
      <c r="AG10">
        <f t="shared" si="17"/>
        <v>0.19076005961251866</v>
      </c>
      <c r="AH10">
        <f t="shared" si="18"/>
        <v>2.6229508196721311E-3</v>
      </c>
      <c r="AI10">
        <f>J56*(100-AG10)/100</f>
        <v>4.4713619321799438</v>
      </c>
      <c r="AJ10">
        <f>L56*(100-AH10)/100</f>
        <v>2.6862115298242708</v>
      </c>
      <c r="AK10">
        <f t="shared" si="19"/>
        <v>1.6645606209844745</v>
      </c>
      <c r="AL10">
        <f>AK10/AM56-1</f>
        <v>-1.8814204366612852E-3</v>
      </c>
      <c r="AM10">
        <f t="shared" si="20"/>
        <v>1.7065134811839409</v>
      </c>
      <c r="AN10">
        <f t="shared" si="21"/>
        <v>0.91841399844786376</v>
      </c>
      <c r="AO10" s="6">
        <f t="shared" si="22"/>
        <v>9.6817425751701755E-2</v>
      </c>
      <c r="AP10" s="6">
        <f t="shared" si="23"/>
        <v>6.1945627933638154E-3</v>
      </c>
      <c r="AQ10" s="6">
        <f t="shared" si="24"/>
        <v>1.7499947772107321E-4</v>
      </c>
      <c r="AR10" s="6">
        <f t="shared" si="25"/>
        <v>8.8751787669003106E-5</v>
      </c>
      <c r="AS10" s="6">
        <f t="shared" si="26"/>
        <v>0.50715458597231999</v>
      </c>
      <c r="AT10">
        <f t="shared" ref="AT10:AZ10" si="33">AM10/AM56-1</f>
        <v>2.32747250968941E-2</v>
      </c>
      <c r="AU10">
        <f t="shared" si="33"/>
        <v>-0.29825653798256535</v>
      </c>
      <c r="AV10" s="6">
        <f t="shared" si="33"/>
        <v>0.34779299847792999</v>
      </c>
      <c r="AW10" s="6">
        <f t="shared" si="33"/>
        <v>-2.5741073433640294E-2</v>
      </c>
      <c r="AX10" s="6">
        <f t="shared" si="33"/>
        <v>-1.5913868106595119E-2</v>
      </c>
      <c r="AY10" s="6">
        <f t="shared" si="33"/>
        <v>-0.12477118661114805</v>
      </c>
      <c r="AZ10" s="6">
        <f t="shared" si="33"/>
        <v>-0.11061767357203645</v>
      </c>
    </row>
    <row r="11" spans="1:52">
      <c r="A11" s="6" t="s">
        <v>238</v>
      </c>
      <c r="B11" s="6" t="s">
        <v>240</v>
      </c>
      <c r="C11">
        <v>111.5</v>
      </c>
      <c r="D11">
        <v>15.59</v>
      </c>
      <c r="E11">
        <v>3.97</v>
      </c>
      <c r="F11">
        <v>1.42</v>
      </c>
      <c r="G11" s="6">
        <v>0.28999999999999998</v>
      </c>
      <c r="H11" s="6">
        <v>1.86</v>
      </c>
      <c r="I11" s="6">
        <v>2.0499999999999998</v>
      </c>
      <c r="J11">
        <f t="shared" si="1"/>
        <v>4.1253256178893682</v>
      </c>
      <c r="K11">
        <f t="shared" si="2"/>
        <v>2.3940525103958876</v>
      </c>
      <c r="L11">
        <f t="shared" si="3"/>
        <v>2.369267344934924</v>
      </c>
      <c r="M11" s="6">
        <f t="shared" si="4"/>
        <v>0.20726032234019409</v>
      </c>
      <c r="N11" s="6">
        <f t="shared" si="5"/>
        <v>0.77200464968152871</v>
      </c>
      <c r="O11" s="6">
        <f t="shared" si="6"/>
        <v>0.76040437068098965</v>
      </c>
      <c r="P11" s="6">
        <f t="shared" si="7"/>
        <v>70.338093137473209</v>
      </c>
      <c r="Q11" s="6">
        <f t="shared" si="8"/>
        <v>81.000068055339</v>
      </c>
      <c r="R11" s="6">
        <v>145300</v>
      </c>
      <c r="S11" s="6">
        <v>4121</v>
      </c>
      <c r="T11" s="6">
        <v>48340</v>
      </c>
      <c r="U11" s="6">
        <v>2216</v>
      </c>
      <c r="V11" s="6">
        <f t="shared" si="9"/>
        <v>145.30000000000001</v>
      </c>
      <c r="W11" s="6">
        <f t="shared" si="10"/>
        <v>4.1210000000000004</v>
      </c>
      <c r="X11" s="6">
        <f t="shared" si="11"/>
        <v>48.34</v>
      </c>
      <c r="Y11" s="6">
        <f t="shared" si="12"/>
        <v>2.2160000000000002</v>
      </c>
      <c r="Z11" s="6">
        <f t="shared" si="13"/>
        <v>1.453E-2</v>
      </c>
      <c r="AA11" s="6">
        <f t="shared" si="14"/>
        <v>4.1209999999999999E-4</v>
      </c>
      <c r="AB11" s="6">
        <f t="shared" si="15"/>
        <v>2.2159999999999999E-4</v>
      </c>
      <c r="AC11">
        <f>(J11/J56-1)*100</f>
        <v>-7.9149438865918516</v>
      </c>
      <c r="AD11">
        <f>(K11/K56-1)*100</f>
        <v>-31.90394511149227</v>
      </c>
      <c r="AE11">
        <f>(L11/L56-1)*100</f>
        <v>-11.801242236024844</v>
      </c>
      <c r="AF11">
        <f t="shared" si="16"/>
        <v>52.301549363102083</v>
      </c>
      <c r="AG11">
        <f t="shared" si="17"/>
        <v>0.16736495796192669</v>
      </c>
      <c r="AH11">
        <f t="shared" si="18"/>
        <v>2.3012681719764916E-3</v>
      </c>
      <c r="AI11">
        <f>J56*(100-AG11)/100</f>
        <v>4.4724100111652403</v>
      </c>
      <c r="AJ11">
        <f>L56*(100-AH11)/100</f>
        <v>2.6862201711272995</v>
      </c>
      <c r="AK11">
        <f t="shared" si="19"/>
        <v>1.664945434941153</v>
      </c>
      <c r="AL11">
        <f>AK11/AM56-1</f>
        <v>-1.6506748843552188E-3</v>
      </c>
      <c r="AM11">
        <f t="shared" si="20"/>
        <v>1.7411819846791825</v>
      </c>
      <c r="AN11">
        <f t="shared" si="21"/>
        <v>1.0104611096396319</v>
      </c>
      <c r="AO11" s="6">
        <f t="shared" si="22"/>
        <v>8.7478655704802635E-2</v>
      </c>
      <c r="AP11" s="6">
        <f t="shared" si="23"/>
        <v>6.1326975324513628E-3</v>
      </c>
      <c r="AQ11" s="6">
        <f t="shared" si="24"/>
        <v>1.7393562650538241E-4</v>
      </c>
      <c r="AR11" s="6">
        <f t="shared" si="25"/>
        <v>9.3531023619492222E-5</v>
      </c>
      <c r="AS11" s="6">
        <f t="shared" si="26"/>
        <v>0.53773355981557869</v>
      </c>
      <c r="AT11">
        <f t="shared" ref="AT11:AZ11" si="34">AM11/AM56-1</f>
        <v>4.406296015906408E-2</v>
      </c>
      <c r="AU11">
        <f t="shared" si="34"/>
        <v>-0.22792501147537003</v>
      </c>
      <c r="AV11" s="6">
        <f t="shared" si="34"/>
        <v>0.217788210745957</v>
      </c>
      <c r="AW11" s="6">
        <f t="shared" si="34"/>
        <v>-3.5471022858462264E-2</v>
      </c>
      <c r="AX11" s="6">
        <f t="shared" si="34"/>
        <v>-2.1896292976616327E-2</v>
      </c>
      <c r="AY11" s="6">
        <f t="shared" si="34"/>
        <v>-7.7640586544228674E-2</v>
      </c>
      <c r="AZ11" s="6">
        <f t="shared" si="34"/>
        <v>-5.699221173310598E-2</v>
      </c>
    </row>
    <row r="12" spans="1:52">
      <c r="A12" s="6" t="s">
        <v>244</v>
      </c>
      <c r="B12" s="6" t="s">
        <v>240</v>
      </c>
      <c r="C12">
        <v>120</v>
      </c>
      <c r="D12">
        <v>16.38</v>
      </c>
      <c r="E12">
        <v>5.32</v>
      </c>
      <c r="F12">
        <v>1.43</v>
      </c>
      <c r="G12" s="6">
        <v>0.25</v>
      </c>
      <c r="H12" s="6">
        <v>1.58</v>
      </c>
      <c r="I12" s="6">
        <v>1.1399999999999999</v>
      </c>
      <c r="J12">
        <f t="shared" si="1"/>
        <v>4.3343703413103176</v>
      </c>
      <c r="K12">
        <f t="shared" si="2"/>
        <v>3.2081509711098541</v>
      </c>
      <c r="L12">
        <f t="shared" si="3"/>
        <v>2.3859523262372826</v>
      </c>
      <c r="M12" s="6">
        <f t="shared" si="4"/>
        <v>0.17867269167258112</v>
      </c>
      <c r="N12" s="6">
        <f t="shared" si="5"/>
        <v>0.65578889596602985</v>
      </c>
      <c r="O12" s="6">
        <f t="shared" si="6"/>
        <v>0.42285901589089181</v>
      </c>
      <c r="P12" s="6">
        <f t="shared" si="7"/>
        <v>77.514483258596485</v>
      </c>
      <c r="Q12" s="6">
        <f t="shared" si="8"/>
        <v>87.813135236329842</v>
      </c>
      <c r="R12" s="6">
        <v>146300</v>
      </c>
      <c r="S12" s="6">
        <v>4113</v>
      </c>
      <c r="T12" s="6">
        <v>25150</v>
      </c>
      <c r="U12" s="6">
        <v>2292</v>
      </c>
      <c r="V12" s="6">
        <f t="shared" si="9"/>
        <v>146.30000000000001</v>
      </c>
      <c r="W12" s="6">
        <f t="shared" si="10"/>
        <v>4.1130000000000004</v>
      </c>
      <c r="X12" s="6">
        <f t="shared" si="11"/>
        <v>25.15</v>
      </c>
      <c r="Y12" s="6">
        <f t="shared" si="12"/>
        <v>2.2919999999999998</v>
      </c>
      <c r="Z12" s="6">
        <f t="shared" si="13"/>
        <v>1.4630000000000001E-2</v>
      </c>
      <c r="AA12" s="6">
        <f t="shared" si="14"/>
        <v>4.1130000000000002E-4</v>
      </c>
      <c r="AB12" s="6">
        <f t="shared" si="15"/>
        <v>2.2919999999999999E-4</v>
      </c>
      <c r="AC12">
        <f>(J12/J56-1)*100</f>
        <v>-3.2486709982280093</v>
      </c>
      <c r="AD12">
        <f>(K12/K56-1)*100</f>
        <v>-8.7478559176672359</v>
      </c>
      <c r="AE12">
        <f>(L12/L56-1)*100</f>
        <v>-11.180124223602483</v>
      </c>
      <c r="AF12">
        <f t="shared" si="16"/>
        <v>14.340747406011863</v>
      </c>
      <c r="AG12">
        <f t="shared" si="17"/>
        <v>4.5890391699237962E-2</v>
      </c>
      <c r="AH12">
        <f t="shared" si="18"/>
        <v>6.3099288586452196E-4</v>
      </c>
      <c r="AI12">
        <f>J56*(100-AG12)/100</f>
        <v>4.4778519597427415</v>
      </c>
      <c r="AJ12">
        <f>L56*(100-AH12)/100</f>
        <v>2.6862650394314884</v>
      </c>
      <c r="AK12">
        <f t="shared" si="19"/>
        <v>1.6669434676075068</v>
      </c>
      <c r="AL12">
        <f>AK12/AM56-1</f>
        <v>-4.5259684398757383E-4</v>
      </c>
      <c r="AM12">
        <f t="shared" si="20"/>
        <v>1.8166206816653994</v>
      </c>
      <c r="AN12">
        <f t="shared" si="21"/>
        <v>1.3445997792291196</v>
      </c>
      <c r="AO12" s="6">
        <f t="shared" si="22"/>
        <v>7.4885273149758722E-2</v>
      </c>
      <c r="AP12" s="6">
        <f t="shared" si="23"/>
        <v>6.1317235215139201E-3</v>
      </c>
      <c r="AQ12" s="6">
        <f t="shared" si="24"/>
        <v>1.7238399756655334E-4</v>
      </c>
      <c r="AR12" s="6">
        <f t="shared" si="25"/>
        <v>9.606227143752498E-5</v>
      </c>
      <c r="AS12" s="6">
        <f t="shared" si="26"/>
        <v>0.55725747629467537</v>
      </c>
      <c r="AT12">
        <f t="shared" ref="AT12:AZ12" si="35">AM12/AM56-1</f>
        <v>8.9298179670300071E-2</v>
      </c>
      <c r="AU12">
        <f t="shared" si="35"/>
        <v>2.7384279528362088E-2</v>
      </c>
      <c r="AV12" s="6">
        <f t="shared" si="35"/>
        <v>4.2476042476042419E-2</v>
      </c>
      <c r="AW12" s="6">
        <f t="shared" si="35"/>
        <v>-3.562421185372E-2</v>
      </c>
      <c r="AX12" s="6">
        <f t="shared" si="35"/>
        <v>-3.0621670563056425E-2</v>
      </c>
      <c r="AY12" s="6">
        <f t="shared" si="35"/>
        <v>-5.2678598934105536E-2</v>
      </c>
      <c r="AZ12" s="6">
        <f t="shared" si="35"/>
        <v>-2.2753684192487467E-2</v>
      </c>
    </row>
    <row r="13" spans="1:52">
      <c r="A13" s="6" t="s">
        <v>245</v>
      </c>
      <c r="B13" s="6" t="s">
        <v>240</v>
      </c>
      <c r="C13">
        <v>129.5</v>
      </c>
      <c r="D13">
        <v>17</v>
      </c>
      <c r="E13">
        <v>6.24</v>
      </c>
      <c r="F13">
        <v>1.45</v>
      </c>
      <c r="G13" s="6">
        <v>0.24</v>
      </c>
      <c r="H13" s="6">
        <v>1.38</v>
      </c>
      <c r="I13" s="6">
        <v>0.41</v>
      </c>
      <c r="J13">
        <f t="shared" si="1"/>
        <v>4.4984307571596709</v>
      </c>
      <c r="K13">
        <f t="shared" si="2"/>
        <v>3.7629439961890019</v>
      </c>
      <c r="L13">
        <f t="shared" si="3"/>
        <v>2.4193222888419998</v>
      </c>
      <c r="M13" s="6">
        <f t="shared" si="4"/>
        <v>0.17152578400567786</v>
      </c>
      <c r="N13" s="6">
        <f t="shared" si="5"/>
        <v>0.57277764331210179</v>
      </c>
      <c r="O13" s="6">
        <f t="shared" si="6"/>
        <v>0.15208087413619795</v>
      </c>
      <c r="P13" s="6">
        <f t="shared" si="7"/>
        <v>83.384336780502551</v>
      </c>
      <c r="Q13" s="6">
        <f t="shared" si="8"/>
        <v>93.289005657339146</v>
      </c>
      <c r="R13" s="6">
        <v>148600</v>
      </c>
      <c r="S13" s="6">
        <v>4205</v>
      </c>
      <c r="T13" s="6">
        <v>21050</v>
      </c>
      <c r="U13" s="6">
        <v>2448</v>
      </c>
      <c r="V13" s="6">
        <f t="shared" si="9"/>
        <v>148.6</v>
      </c>
      <c r="W13" s="6">
        <f t="shared" si="10"/>
        <v>4.2050000000000001</v>
      </c>
      <c r="X13" s="6">
        <f t="shared" si="11"/>
        <v>21.05</v>
      </c>
      <c r="Y13" s="6">
        <f t="shared" si="12"/>
        <v>2.448</v>
      </c>
      <c r="Z13" s="6">
        <f t="shared" si="13"/>
        <v>1.486E-2</v>
      </c>
      <c r="AA13" s="6">
        <f t="shared" si="14"/>
        <v>4.2049999999999998E-4</v>
      </c>
      <c r="AB13" s="6">
        <f t="shared" si="15"/>
        <v>2.4479999999999999E-4</v>
      </c>
      <c r="AC13">
        <f>(J13/J56-1)*100</f>
        <v>0.41346721795629815</v>
      </c>
      <c r="AD13">
        <f>(K13/K56-1)*100</f>
        <v>7.0325900514579764</v>
      </c>
      <c r="AE13">
        <f>(L13/L56-1)*100</f>
        <v>-9.9378881987577721</v>
      </c>
      <c r="AF13">
        <f t="shared" si="16"/>
        <v>-11.528836149931109</v>
      </c>
      <c r="AG13">
        <f t="shared" si="17"/>
        <v>-3.6892275679779554E-2</v>
      </c>
      <c r="AH13">
        <f t="shared" si="18"/>
        <v>-5.0726879059696881E-4</v>
      </c>
      <c r="AI13">
        <f>J56*(100-AG13)/100</f>
        <v>4.4815605469214832</v>
      </c>
      <c r="AJ13">
        <f>L56*(100-AH13)/100</f>
        <v>2.686295616349899</v>
      </c>
      <c r="AK13">
        <f t="shared" si="19"/>
        <v>1.6683050516275513</v>
      </c>
      <c r="AL13">
        <f>AK13/AM56-1</f>
        <v>3.6384822320334465E-4</v>
      </c>
      <c r="AM13">
        <f t="shared" si="20"/>
        <v>1.8593763955743279</v>
      </c>
      <c r="AN13">
        <f t="shared" si="21"/>
        <v>1.5553711109693127</v>
      </c>
      <c r="AO13" s="6">
        <f t="shared" si="22"/>
        <v>7.0898277917233618E-2</v>
      </c>
      <c r="AP13" s="6">
        <f t="shared" si="23"/>
        <v>6.1422159703710608E-3</v>
      </c>
      <c r="AQ13" s="6">
        <f t="shared" si="24"/>
        <v>1.7380900508351486E-4</v>
      </c>
      <c r="AR13" s="6">
        <f t="shared" si="25"/>
        <v>1.0118536134231734E-4</v>
      </c>
      <c r="AS13" s="6">
        <f t="shared" si="26"/>
        <v>0.58216409036860883</v>
      </c>
      <c r="AT13">
        <f t="shared" ref="AT13:AZ13" si="36">AM13/AM56-1</f>
        <v>0.11493573945454916</v>
      </c>
      <c r="AU13">
        <f t="shared" si="36"/>
        <v>0.18843082746791273</v>
      </c>
      <c r="AV13" s="6">
        <f t="shared" si="36"/>
        <v>-1.3026819923371846E-2</v>
      </c>
      <c r="AW13" s="6">
        <f t="shared" si="36"/>
        <v>-3.3973996608253287E-2</v>
      </c>
      <c r="AX13" s="6">
        <f t="shared" si="36"/>
        <v>-2.260833158886344E-2</v>
      </c>
      <c r="AY13" s="6">
        <f t="shared" si="36"/>
        <v>-2.1570712441135731E-3</v>
      </c>
      <c r="AZ13" s="6">
        <f t="shared" si="36"/>
        <v>2.0924324409267392E-2</v>
      </c>
    </row>
    <row r="14" spans="1:52">
      <c r="A14" s="6" t="s">
        <v>246</v>
      </c>
      <c r="B14" s="6" t="s">
        <v>240</v>
      </c>
      <c r="C14">
        <v>142</v>
      </c>
      <c r="D14">
        <v>16.41</v>
      </c>
      <c r="E14">
        <v>5.85</v>
      </c>
      <c r="F14">
        <v>1.3</v>
      </c>
      <c r="G14" s="6">
        <v>0.24</v>
      </c>
      <c r="H14" s="6">
        <v>1.9</v>
      </c>
      <c r="I14" s="6">
        <v>0.42</v>
      </c>
      <c r="J14">
        <f t="shared" si="1"/>
        <v>4.3423087485288354</v>
      </c>
      <c r="K14">
        <f t="shared" si="2"/>
        <v>3.5277599964271888</v>
      </c>
      <c r="L14">
        <f t="shared" si="3"/>
        <v>2.1690475693066205</v>
      </c>
      <c r="M14" s="6">
        <f t="shared" si="4"/>
        <v>0.17152578400567786</v>
      </c>
      <c r="N14" s="6">
        <f t="shared" si="5"/>
        <v>0.78860690021231428</v>
      </c>
      <c r="O14" s="6">
        <f t="shared" si="6"/>
        <v>0.15579016374927593</v>
      </c>
      <c r="P14" s="6">
        <f t="shared" si="7"/>
        <v>79.555230879473271</v>
      </c>
      <c r="Q14" s="6">
        <f t="shared" si="8"/>
        <v>92.990529881010758</v>
      </c>
      <c r="R14" s="6">
        <v>135100</v>
      </c>
      <c r="S14" s="6">
        <v>3825</v>
      </c>
      <c r="T14" s="6">
        <v>21300</v>
      </c>
      <c r="U14" s="6">
        <v>2136</v>
      </c>
      <c r="V14" s="6">
        <f t="shared" si="9"/>
        <v>135.1</v>
      </c>
      <c r="W14" s="6">
        <f t="shared" si="10"/>
        <v>3.8250000000000002</v>
      </c>
      <c r="X14" s="6">
        <f t="shared" si="11"/>
        <v>21.3</v>
      </c>
      <c r="Y14" s="6">
        <f t="shared" si="12"/>
        <v>2.1360000000000001</v>
      </c>
      <c r="Z14" s="6">
        <f t="shared" si="13"/>
        <v>1.3509999999999999E-2</v>
      </c>
      <c r="AA14" s="6">
        <f t="shared" si="14"/>
        <v>3.8249999999999997E-4</v>
      </c>
      <c r="AB14" s="6">
        <f t="shared" si="15"/>
        <v>2.1359999999999999E-4</v>
      </c>
      <c r="AC14">
        <f>(J14/J56-1)*100</f>
        <v>-3.0714707619610038</v>
      </c>
      <c r="AD14">
        <f>(K14/K56-1)*100</f>
        <v>0.34305317324185847</v>
      </c>
      <c r="AE14">
        <f>(L14/L56-1)*100</f>
        <v>-19.254658385093173</v>
      </c>
      <c r="AF14">
        <f t="shared" si="16"/>
        <v>-0.56238225121616148</v>
      </c>
      <c r="AG14">
        <f t="shared" si="17"/>
        <v>-1.7996232038917169E-3</v>
      </c>
      <c r="AH14">
        <f t="shared" si="18"/>
        <v>-2.4744819053511106E-5</v>
      </c>
      <c r="AI14">
        <f>J56*(100-AG14)/100</f>
        <v>4.4799884284435381</v>
      </c>
      <c r="AJ14">
        <f>L56*(100-AH14)/100</f>
        <v>2.6862826543953555</v>
      </c>
      <c r="AK14">
        <f t="shared" si="19"/>
        <v>1.6677278621865355</v>
      </c>
      <c r="AL14">
        <f>AK14/AM56-1</f>
        <v>1.7748779456372432E-5</v>
      </c>
      <c r="AM14">
        <f t="shared" si="20"/>
        <v>2.0019426083481155</v>
      </c>
      <c r="AN14">
        <f t="shared" si="21"/>
        <v>1.6264096953645457</v>
      </c>
      <c r="AO14" s="6">
        <f t="shared" si="22"/>
        <v>7.9078848446145197E-2</v>
      </c>
      <c r="AP14" s="6">
        <f t="shared" si="23"/>
        <v>6.228540208695719E-3</v>
      </c>
      <c r="AQ14" s="6">
        <f t="shared" si="24"/>
        <v>1.7634468022399054E-4</v>
      </c>
      <c r="AR14" s="6">
        <f t="shared" si="25"/>
        <v>9.8476401819200997E-5</v>
      </c>
      <c r="AS14" s="6">
        <f t="shared" si="26"/>
        <v>0.55843137254901964</v>
      </c>
      <c r="AT14">
        <f t="shared" ref="AT14:AZ14" si="37">AM14/AM56-1</f>
        <v>0.20042255440955992</v>
      </c>
      <c r="AU14">
        <f t="shared" si="37"/>
        <v>0.24271012006861081</v>
      </c>
      <c r="AV14" s="6">
        <f t="shared" si="37"/>
        <v>0.10085470085470072</v>
      </c>
      <c r="AW14" s="6">
        <f t="shared" si="37"/>
        <v>-2.0397225725094503E-2</v>
      </c>
      <c r="AX14" s="6">
        <f t="shared" si="37"/>
        <v>-8.3493019436080562E-3</v>
      </c>
      <c r="AY14" s="6">
        <f t="shared" si="37"/>
        <v>-2.8871568959674687E-2</v>
      </c>
      <c r="AZ14" s="6">
        <f t="shared" si="37"/>
        <v>-2.0695056289769864E-2</v>
      </c>
    </row>
    <row r="15" spans="1:52">
      <c r="A15" s="6" t="s">
        <v>247</v>
      </c>
      <c r="B15" s="6" t="s">
        <v>240</v>
      </c>
      <c r="C15">
        <v>151</v>
      </c>
      <c r="D15">
        <v>18.48</v>
      </c>
      <c r="E15">
        <v>6.05</v>
      </c>
      <c r="F15">
        <v>1.72</v>
      </c>
      <c r="G15" s="6">
        <v>0.3</v>
      </c>
      <c r="H15" s="6">
        <v>1.86</v>
      </c>
      <c r="I15" s="15">
        <v>0</v>
      </c>
      <c r="J15" s="3">
        <f t="shared" si="1"/>
        <v>4.8900588466065127</v>
      </c>
      <c r="K15" s="3">
        <f t="shared" si="2"/>
        <v>3.6483671757922207</v>
      </c>
      <c r="L15" s="3">
        <f t="shared" si="3"/>
        <v>2.8698167840056823</v>
      </c>
      <c r="M15" s="6">
        <f t="shared" si="4"/>
        <v>0.21440723000709735</v>
      </c>
      <c r="N15" s="6">
        <f t="shared" si="5"/>
        <v>0.77200464968152871</v>
      </c>
      <c r="O15" s="6">
        <f>I15*22.989769/61.9789</f>
        <v>0</v>
      </c>
      <c r="P15" s="6">
        <f>100*(J15/(J15+M15+N15+O15))</f>
        <v>83.2142126519106</v>
      </c>
      <c r="Q15" s="6">
        <f>100*(J15/(J15+M15+O15))</f>
        <v>95.799614949163526</v>
      </c>
      <c r="R15" s="6">
        <v>178100</v>
      </c>
      <c r="S15" s="6">
        <v>4984</v>
      </c>
      <c r="T15" s="6">
        <v>88610</v>
      </c>
      <c r="U15" s="6">
        <v>2778</v>
      </c>
      <c r="V15" s="6">
        <f t="shared" si="9"/>
        <v>178.1</v>
      </c>
      <c r="W15" s="6">
        <f t="shared" si="10"/>
        <v>4.984</v>
      </c>
      <c r="X15" s="6">
        <f t="shared" si="11"/>
        <v>88.61</v>
      </c>
      <c r="Y15" s="6">
        <f t="shared" si="12"/>
        <v>2.778</v>
      </c>
      <c r="Z15" s="6">
        <f t="shared" si="13"/>
        <v>1.7809999999999999E-2</v>
      </c>
      <c r="AA15" s="6">
        <f t="shared" si="14"/>
        <v>4.9839999999999997E-4</v>
      </c>
      <c r="AB15" s="6">
        <f t="shared" si="15"/>
        <v>2.7779999999999998E-4</v>
      </c>
      <c r="AC15">
        <f>(J15/J56-1)*100</f>
        <v>9.1553455404607131</v>
      </c>
      <c r="AD15">
        <f>(K15/K56-1)*100</f>
        <v>3.7735849056603765</v>
      </c>
      <c r="AE15">
        <f>(L15/L56-1)*100</f>
        <v>6.8322981366459423</v>
      </c>
      <c r="AF15">
        <f t="shared" si="16"/>
        <v>-6.1862047633776669</v>
      </c>
      <c r="AG15">
        <f t="shared" si="17"/>
        <v>-1.9795855242808535E-2</v>
      </c>
      <c r="AH15">
        <f t="shared" si="18"/>
        <v>-2.7219300958861734E-4</v>
      </c>
      <c r="AI15">
        <f>J56*(100-AG15)/100</f>
        <v>4.4807946430476129</v>
      </c>
      <c r="AJ15">
        <f>L56*(100-AH15)/100</f>
        <v>2.6862893015515317</v>
      </c>
      <c r="AK15">
        <f t="shared" si="19"/>
        <v>1.6680238574674817</v>
      </c>
      <c r="AL15">
        <f>AK15/AM56-1</f>
        <v>1.9523609091320893E-4</v>
      </c>
      <c r="AM15" s="3">
        <f t="shared" si="20"/>
        <v>1.7039620347404136</v>
      </c>
      <c r="AN15" s="3">
        <f t="shared" si="21"/>
        <v>1.2712892321647935</v>
      </c>
      <c r="AO15" s="6">
        <f t="shared" si="22"/>
        <v>7.4711121351736035E-2</v>
      </c>
      <c r="AP15" s="6">
        <f t="shared" si="23"/>
        <v>6.2059710916948681E-3</v>
      </c>
      <c r="AQ15" s="6">
        <f t="shared" si="24"/>
        <v>1.7366962336331962E-4</v>
      </c>
      <c r="AR15" s="6">
        <f t="shared" si="25"/>
        <v>9.6800604675622366E-5</v>
      </c>
      <c r="AS15" s="6">
        <f t="shared" si="26"/>
        <v>0.5573836276083467</v>
      </c>
      <c r="AT15">
        <f t="shared" ref="AT15:AZ15" si="38">AM15/AM56-1</f>
        <v>2.1744804186870859E-2</v>
      </c>
      <c r="AU15">
        <f t="shared" si="38"/>
        <v>-2.8630978499341708E-2</v>
      </c>
      <c r="AV15" s="6">
        <f t="shared" si="38"/>
        <v>4.0051679586563527E-2</v>
      </c>
      <c r="AW15" s="6">
        <f t="shared" si="38"/>
        <v>-2.3946816622188227E-2</v>
      </c>
      <c r="AX15" s="6">
        <f t="shared" si="38"/>
        <v>-2.3392126030251426E-2</v>
      </c>
      <c r="AY15" s="6">
        <f t="shared" si="38"/>
        <v>-4.5397500256121215E-2</v>
      </c>
      <c r="AZ15" s="6">
        <f t="shared" si="38"/>
        <v>-2.2532456283013147E-2</v>
      </c>
    </row>
    <row r="16" spans="1:52">
      <c r="A16" s="6" t="s">
        <v>248</v>
      </c>
      <c r="B16" s="6" t="s">
        <v>240</v>
      </c>
      <c r="C16">
        <v>120</v>
      </c>
      <c r="D16">
        <v>22.92</v>
      </c>
      <c r="E16">
        <v>2.39</v>
      </c>
      <c r="F16">
        <v>2.08</v>
      </c>
      <c r="G16" s="6">
        <v>0.34</v>
      </c>
      <c r="H16" s="6">
        <v>7.66</v>
      </c>
      <c r="I16" s="6">
        <v>0.09</v>
      </c>
      <c r="J16" s="3">
        <f t="shared" si="1"/>
        <v>6.064943114947039</v>
      </c>
      <c r="K16" s="3">
        <f t="shared" si="2"/>
        <v>1.4412557934121337</v>
      </c>
      <c r="L16" s="3">
        <f t="shared" si="3"/>
        <v>3.4704761108905933</v>
      </c>
      <c r="M16" s="6">
        <f t="shared" si="4"/>
        <v>0.24299486067471038</v>
      </c>
      <c r="N16" s="6">
        <f t="shared" si="5"/>
        <v>3.179330976645435</v>
      </c>
      <c r="O16" s="6">
        <f t="shared" si="6"/>
        <v>3.3383606517701989E-2</v>
      </c>
      <c r="P16" s="6">
        <f t="shared" si="7"/>
        <v>63.703019068275957</v>
      </c>
      <c r="Q16" s="6">
        <f t="shared" si="8"/>
        <v>95.641626692283808</v>
      </c>
      <c r="R16" s="6">
        <v>219300</v>
      </c>
      <c r="S16" s="6">
        <v>5798</v>
      </c>
      <c r="T16" s="6">
        <v>362600</v>
      </c>
      <c r="U16" s="6">
        <v>3577</v>
      </c>
      <c r="V16" s="6">
        <f t="shared" si="9"/>
        <v>219.3</v>
      </c>
      <c r="W16" s="6">
        <f t="shared" si="10"/>
        <v>5.798</v>
      </c>
      <c r="X16" s="6">
        <f t="shared" si="11"/>
        <v>362.6</v>
      </c>
      <c r="Y16" s="6">
        <f t="shared" si="12"/>
        <v>3.577</v>
      </c>
      <c r="Z16" s="6">
        <f t="shared" si="13"/>
        <v>2.1930000000000002E-2</v>
      </c>
      <c r="AA16" s="6">
        <f t="shared" si="14"/>
        <v>5.798E-4</v>
      </c>
      <c r="AB16" s="6">
        <f t="shared" si="15"/>
        <v>3.5770000000000002E-4</v>
      </c>
      <c r="AC16">
        <f>(J16/J56-1)*100</f>
        <v>35.380980507974023</v>
      </c>
      <c r="AD16">
        <f>(K16/K56-1)*100</f>
        <v>-59.005145797598622</v>
      </c>
      <c r="AE16">
        <f>(L16/L56-1)*100</f>
        <v>29.19254658385093</v>
      </c>
      <c r="AF16">
        <f t="shared" si="16"/>
        <v>96.729747209178072</v>
      </c>
      <c r="AG16">
        <f t="shared" si="17"/>
        <v>0.30953519106936983</v>
      </c>
      <c r="AH16">
        <f t="shared" si="18"/>
        <v>4.2561088772038354E-3</v>
      </c>
      <c r="AI16">
        <f>J56*(100-AG16)/100</f>
        <v>4.4660409157930534</v>
      </c>
      <c r="AJ16">
        <f>L56*(100-AH16)/100</f>
        <v>2.6861676585935084</v>
      </c>
      <c r="AK16">
        <f t="shared" si="19"/>
        <v>1.6626069119347138</v>
      </c>
      <c r="AL16">
        <f>AK16/AM56-1</f>
        <v>-3.0529207575531458E-3</v>
      </c>
      <c r="AM16" s="3">
        <f t="shared" si="20"/>
        <v>1.7475824414739032</v>
      </c>
      <c r="AN16" s="3">
        <f t="shared" si="21"/>
        <v>0.41529050982064786</v>
      </c>
      <c r="AO16" s="6">
        <f t="shared" si="22"/>
        <v>7.0017730395024402E-2</v>
      </c>
      <c r="AP16" s="6">
        <f t="shared" si="23"/>
        <v>6.3190177080263282E-3</v>
      </c>
      <c r="AQ16" s="6">
        <f t="shared" si="24"/>
        <v>1.6706641436906817E-4</v>
      </c>
      <c r="AR16" s="6">
        <f t="shared" si="25"/>
        <v>1.030694315622899E-4</v>
      </c>
      <c r="AS16" s="6">
        <f t="shared" si="26"/>
        <v>0.61693687478440851</v>
      </c>
      <c r="AT16">
        <f t="shared" ref="AT16:AZ16" si="39">AM16/AM56-1</f>
        <v>4.7900858739606589E-2</v>
      </c>
      <c r="AU16">
        <f t="shared" si="39"/>
        <v>-0.68268406122179703</v>
      </c>
      <c r="AV16" s="6">
        <f t="shared" si="39"/>
        <v>-2.5284900284900269E-2</v>
      </c>
      <c r="AW16" s="6">
        <f t="shared" si="39"/>
        <v>-6.1672446406053627E-3</v>
      </c>
      <c r="AX16" s="6">
        <f t="shared" si="39"/>
        <v>-6.0524387691019532E-2</v>
      </c>
      <c r="AY16" s="6">
        <f t="shared" si="39"/>
        <v>1.6422752174404254E-2</v>
      </c>
      <c r="AZ16" s="6">
        <f t="shared" si="39"/>
        <v>8.1904350530513703E-2</v>
      </c>
    </row>
    <row r="17" spans="1:52">
      <c r="A17" s="6" t="s">
        <v>249</v>
      </c>
      <c r="B17" s="6" t="s">
        <v>240</v>
      </c>
      <c r="C17">
        <v>124</v>
      </c>
      <c r="D17">
        <v>22.18</v>
      </c>
      <c r="E17">
        <v>2.71</v>
      </c>
      <c r="F17">
        <v>2.02</v>
      </c>
      <c r="G17" s="6">
        <v>0.34</v>
      </c>
      <c r="H17" s="6">
        <v>7.17</v>
      </c>
      <c r="I17" s="6">
        <v>0.09</v>
      </c>
      <c r="J17" s="3">
        <f t="shared" si="1"/>
        <v>5.8691290702236172</v>
      </c>
      <c r="K17" s="3">
        <f t="shared" si="2"/>
        <v>1.634227280396185</v>
      </c>
      <c r="L17" s="3">
        <f t="shared" si="3"/>
        <v>3.3703662230764411</v>
      </c>
      <c r="M17" s="6">
        <f t="shared" si="4"/>
        <v>0.24299486067471038</v>
      </c>
      <c r="N17" s="6">
        <f t="shared" si="5"/>
        <v>2.9759534076433121</v>
      </c>
      <c r="O17" s="6">
        <f t="shared" si="6"/>
        <v>3.3383606517701989E-2</v>
      </c>
      <c r="P17" s="6">
        <f t="shared" si="7"/>
        <v>64.344178038745454</v>
      </c>
      <c r="Q17" s="6">
        <f t="shared" si="8"/>
        <v>95.502756029347907</v>
      </c>
      <c r="R17" s="6">
        <v>209100</v>
      </c>
      <c r="S17" s="6">
        <v>5710</v>
      </c>
      <c r="T17" s="6">
        <v>338400</v>
      </c>
      <c r="U17" s="6">
        <v>3500</v>
      </c>
      <c r="V17" s="6">
        <f t="shared" si="9"/>
        <v>209.1</v>
      </c>
      <c r="W17" s="6">
        <f t="shared" si="10"/>
        <v>5.71</v>
      </c>
      <c r="X17" s="6">
        <f t="shared" si="11"/>
        <v>338.4</v>
      </c>
      <c r="Y17" s="6">
        <f t="shared" si="12"/>
        <v>3.5</v>
      </c>
      <c r="Z17" s="6">
        <f t="shared" si="13"/>
        <v>2.0910000000000002E-2</v>
      </c>
      <c r="AA17" s="6">
        <f t="shared" si="14"/>
        <v>5.71E-4</v>
      </c>
      <c r="AB17" s="6">
        <f t="shared" si="15"/>
        <v>3.5E-4</v>
      </c>
      <c r="AC17">
        <f>(J17/J56-1)*100</f>
        <v>31.010041346721785</v>
      </c>
      <c r="AD17">
        <f>(K17/K56-1)*100</f>
        <v>-53.516295025728986</v>
      </c>
      <c r="AE17">
        <f>(L17/L56-1)*100</f>
        <v>25.465838509316761</v>
      </c>
      <c r="AF17">
        <f t="shared" si="16"/>
        <v>87.73163118971965</v>
      </c>
      <c r="AG17">
        <f t="shared" si="17"/>
        <v>0.28074121980710287</v>
      </c>
      <c r="AH17">
        <f t="shared" si="18"/>
        <v>3.8601917723476644E-3</v>
      </c>
      <c r="AI17">
        <f>J56*(100-AG17)/100</f>
        <v>4.4673308591595733</v>
      </c>
      <c r="AJ17">
        <f>L56*(100-AH17)/100</f>
        <v>2.6861782940433905</v>
      </c>
      <c r="AK17">
        <f t="shared" si="19"/>
        <v>1.663080544231146</v>
      </c>
      <c r="AL17">
        <f>AK17/AM56-1</f>
        <v>-2.7689171658601408E-3</v>
      </c>
      <c r="AM17" s="3">
        <f t="shared" si="20"/>
        <v>1.7413920867229458</v>
      </c>
      <c r="AN17" s="3">
        <f>K17/L17</f>
        <v>0.48488121831000208</v>
      </c>
      <c r="AO17" s="6">
        <f t="shared" si="22"/>
        <v>7.2097464961213262E-2</v>
      </c>
      <c r="AP17" s="6">
        <f t="shared" si="23"/>
        <v>6.2040735682763679E-3</v>
      </c>
      <c r="AQ17" s="6">
        <f t="shared" si="24"/>
        <v>1.6941779088884773E-4</v>
      </c>
      <c r="AR17" s="6">
        <f t="shared" si="25"/>
        <v>1.0384628163064221E-4</v>
      </c>
      <c r="AS17" s="6">
        <f t="shared" si="26"/>
        <v>0.61295971978984243</v>
      </c>
      <c r="AT17">
        <f t="shared" ref="AT17:AZ17" si="40">AM17/AM56-1</f>
        <v>4.4188943407039938E-2</v>
      </c>
      <c r="AU17">
        <f t="shared" si="40"/>
        <v>-0.62951106431397852</v>
      </c>
      <c r="AV17" s="6">
        <f t="shared" si="40"/>
        <v>3.6670333700039581E-3</v>
      </c>
      <c r="AW17" s="6">
        <f t="shared" si="40"/>
        <v>-2.424525239409181E-2</v>
      </c>
      <c r="AX17" s="6">
        <f t="shared" si="40"/>
        <v>-4.7301736663094784E-2</v>
      </c>
      <c r="AY17" s="6">
        <f t="shared" si="40"/>
        <v>2.4083685901629792E-2</v>
      </c>
      <c r="AZ17" s="6">
        <f t="shared" si="40"/>
        <v>7.492972886786986E-2</v>
      </c>
    </row>
    <row r="18" spans="1:52">
      <c r="A18" s="6" t="s">
        <v>250</v>
      </c>
      <c r="B18" s="6" t="s">
        <v>240</v>
      </c>
      <c r="C18">
        <v>136</v>
      </c>
      <c r="D18">
        <v>22.51</v>
      </c>
      <c r="E18">
        <v>2.7</v>
      </c>
      <c r="F18">
        <v>2.04</v>
      </c>
      <c r="G18" s="6">
        <v>0.35</v>
      </c>
      <c r="H18" s="6">
        <v>7.3</v>
      </c>
      <c r="I18" s="6">
        <v>0.09</v>
      </c>
      <c r="J18">
        <f t="shared" si="1"/>
        <v>5.9564515496273058</v>
      </c>
      <c r="K18" s="3">
        <f t="shared" si="2"/>
        <v>1.6281969214279335</v>
      </c>
      <c r="L18" s="3">
        <f t="shared" si="3"/>
        <v>3.4037361856811583</v>
      </c>
      <c r="M18" s="6">
        <f t="shared" si="4"/>
        <v>0.25014176834161356</v>
      </c>
      <c r="N18" s="6">
        <f t="shared" si="5"/>
        <v>3.0299107218683652</v>
      </c>
      <c r="O18" s="6">
        <f t="shared" si="6"/>
        <v>3.3383606517701989E-2</v>
      </c>
      <c r="P18" s="6">
        <f t="shared" si="7"/>
        <v>64.255919563053624</v>
      </c>
      <c r="Q18" s="6">
        <f t="shared" si="8"/>
        <v>95.456307318273588</v>
      </c>
      <c r="R18" s="6">
        <v>215300</v>
      </c>
      <c r="S18" s="6">
        <v>5957</v>
      </c>
      <c r="T18" s="6">
        <v>345700</v>
      </c>
      <c r="U18" s="6">
        <v>3510</v>
      </c>
      <c r="V18" s="6">
        <f t="shared" si="9"/>
        <v>215.3</v>
      </c>
      <c r="W18" s="6">
        <f t="shared" si="10"/>
        <v>5.9569999999999999</v>
      </c>
      <c r="X18" s="6">
        <f t="shared" si="11"/>
        <v>345.7</v>
      </c>
      <c r="Y18" s="6">
        <f t="shared" si="12"/>
        <v>3.51</v>
      </c>
      <c r="Z18" s="6">
        <f t="shared" si="13"/>
        <v>2.1530000000000001E-2</v>
      </c>
      <c r="AA18" s="6">
        <f t="shared" si="14"/>
        <v>5.9570000000000001E-4</v>
      </c>
      <c r="AB18" s="6">
        <f t="shared" si="15"/>
        <v>3.5100000000000002E-4</v>
      </c>
      <c r="AC18">
        <f>(J18/J56-1)*100</f>
        <v>32.959243945658613</v>
      </c>
      <c r="AD18">
        <f>(K18/K56-1)*100</f>
        <v>-53.687821612349907</v>
      </c>
      <c r="AE18">
        <f>(L18/L56-1)*100</f>
        <v>26.708074534161486</v>
      </c>
      <c r="AF18">
        <f t="shared" si="16"/>
        <v>88.012822315327725</v>
      </c>
      <c r="AG18">
        <f t="shared" si="17"/>
        <v>0.28164103140904873</v>
      </c>
      <c r="AH18">
        <f t="shared" si="18"/>
        <v>3.8725641818744198E-3</v>
      </c>
      <c r="AI18">
        <f>J56*(100-AG18)/100</f>
        <v>4.4672905484293688</v>
      </c>
      <c r="AJ18">
        <f>L56*(100-AH18)/100</f>
        <v>2.6861779616855812</v>
      </c>
      <c r="AK18">
        <f t="shared" si="19"/>
        <v>1.6630657432786533</v>
      </c>
      <c r="AL18">
        <f>AK18/AM56-1</f>
        <v>-2.7777922440591629E-3</v>
      </c>
      <c r="AM18">
        <f t="shared" si="20"/>
        <v>1.7499745058635607</v>
      </c>
      <c r="AN18">
        <f t="shared" ref="AN18:AN56" si="41">K18/L18</f>
        <v>0.4783557927542782</v>
      </c>
      <c r="AO18" s="6">
        <f t="shared" si="22"/>
        <v>7.3490351395008299E-2</v>
      </c>
      <c r="AP18" s="6">
        <f t="shared" si="23"/>
        <v>6.325402095077883E-3</v>
      </c>
      <c r="AQ18" s="6">
        <f t="shared" si="24"/>
        <v>1.7501356377324175E-4</v>
      </c>
      <c r="AR18" s="6">
        <f t="shared" si="25"/>
        <v>1.0312197563271422E-4</v>
      </c>
      <c r="AS18" s="6">
        <f t="shared" si="26"/>
        <v>0.58922276313580668</v>
      </c>
      <c r="AT18">
        <f t="shared" ref="AT18:AZ18" si="42">AM18/AM56-1</f>
        <v>4.9335209571129246E-2</v>
      </c>
      <c r="AU18">
        <f t="shared" si="42"/>
        <v>-0.63449702350923209</v>
      </c>
      <c r="AV18" s="6">
        <f t="shared" si="42"/>
        <v>2.3057371096586676E-2</v>
      </c>
      <c r="AW18" s="6">
        <f t="shared" si="42"/>
        <v>-5.1631308261008702E-3</v>
      </c>
      <c r="AX18" s="6">
        <f t="shared" si="42"/>
        <v>-1.583465707823839E-2</v>
      </c>
      <c r="AY18" s="6">
        <f t="shared" si="42"/>
        <v>1.6940917336097705E-2</v>
      </c>
      <c r="AZ18" s="6">
        <f t="shared" si="42"/>
        <v>3.3302914647484805E-2</v>
      </c>
    </row>
    <row r="19" spans="1:52">
      <c r="A19" s="6" t="s">
        <v>251</v>
      </c>
      <c r="B19" s="6" t="s">
        <v>240</v>
      </c>
      <c r="C19">
        <v>156.5</v>
      </c>
      <c r="D19">
        <v>19.27</v>
      </c>
      <c r="E19">
        <v>3.18</v>
      </c>
      <c r="F19">
        <v>1.76</v>
      </c>
      <c r="G19" s="6">
        <v>0.3</v>
      </c>
      <c r="H19" s="6">
        <v>5.39</v>
      </c>
      <c r="I19" s="6">
        <v>7.0000000000000007E-2</v>
      </c>
      <c r="J19" s="3">
        <f t="shared" si="1"/>
        <v>5.0991035700274621</v>
      </c>
      <c r="K19" s="3">
        <f t="shared" si="2"/>
        <v>1.9176541519040105</v>
      </c>
      <c r="L19" s="3">
        <f t="shared" si="3"/>
        <v>2.9365567092151168</v>
      </c>
      <c r="M19" s="6">
        <f t="shared" si="4"/>
        <v>0.21440723000709735</v>
      </c>
      <c r="N19" s="6">
        <f t="shared" si="5"/>
        <v>2.2371532590233545</v>
      </c>
      <c r="O19" s="6">
        <f t="shared" si="6"/>
        <v>2.5965027291545994E-2</v>
      </c>
      <c r="P19" s="6">
        <f t="shared" si="7"/>
        <v>67.300424923985432</v>
      </c>
      <c r="Q19" s="6">
        <f t="shared" si="8"/>
        <v>95.498204972321844</v>
      </c>
      <c r="R19" s="6">
        <v>184300</v>
      </c>
      <c r="S19" s="6">
        <v>5138</v>
      </c>
      <c r="T19" s="6">
        <v>277300</v>
      </c>
      <c r="U19" s="6">
        <v>3047</v>
      </c>
      <c r="V19" s="6">
        <f t="shared" si="9"/>
        <v>184.3</v>
      </c>
      <c r="W19" s="6">
        <f t="shared" si="10"/>
        <v>5.1379999999999999</v>
      </c>
      <c r="X19" s="6">
        <f t="shared" si="11"/>
        <v>277.3</v>
      </c>
      <c r="Y19" s="6">
        <f t="shared" si="12"/>
        <v>3.0470000000000002</v>
      </c>
      <c r="Z19" s="6">
        <f t="shared" si="13"/>
        <v>1.8429999999999998E-2</v>
      </c>
      <c r="AA19" s="6">
        <f t="shared" ref="AA19:AA56" si="43">S19/10000000</f>
        <v>5.1380000000000002E-4</v>
      </c>
      <c r="AB19" s="6">
        <f t="shared" ref="AB19:AB56" si="44">U19/10000000</f>
        <v>3.0469999999999998E-4</v>
      </c>
      <c r="AC19">
        <f>(J19/J56-1)*100</f>
        <v>13.821618428824568</v>
      </c>
      <c r="AD19">
        <f>(K19/K56-1)*100</f>
        <v>-45.45454545454546</v>
      </c>
      <c r="AE19">
        <f>(L19/L56-1)*100</f>
        <v>9.316770186335388</v>
      </c>
      <c r="AF19">
        <f t="shared" si="16"/>
        <v>74.515648286140106</v>
      </c>
      <c r="AG19">
        <f t="shared" si="17"/>
        <v>0.23845007451564834</v>
      </c>
      <c r="AH19">
        <f t="shared" si="18"/>
        <v>3.2786885245901644E-3</v>
      </c>
      <c r="AI19">
        <f>J56*(100-AG19)/100</f>
        <v>4.4692254634791473</v>
      </c>
      <c r="AJ19">
        <f>L56*(100-AH19)/100</f>
        <v>2.6861939148604042</v>
      </c>
      <c r="AK19">
        <f t="shared" si="19"/>
        <v>1.6637761848669081</v>
      </c>
      <c r="AL19">
        <f>AK19/AM56-1</f>
        <v>-2.3517909678111293E-3</v>
      </c>
      <c r="AM19">
        <f t="shared" si="20"/>
        <v>1.7364226456196554</v>
      </c>
      <c r="AN19">
        <f t="shared" si="41"/>
        <v>0.65302813526000703</v>
      </c>
      <c r="AO19" s="6">
        <f t="shared" si="22"/>
        <v>7.301314132101476E-2</v>
      </c>
      <c r="AP19" s="6">
        <f t="shared" si="23"/>
        <v>6.2760579225885176E-3</v>
      </c>
      <c r="AQ19" s="6">
        <f t="shared" si="24"/>
        <v>1.7496682369104615E-4</v>
      </c>
      <c r="AR19" s="6">
        <f t="shared" si="25"/>
        <v>1.0376097932787419E-4</v>
      </c>
      <c r="AS19" s="6">
        <f t="shared" si="26"/>
        <v>0.59303230829116382</v>
      </c>
      <c r="AT19">
        <f t="shared" ref="AT19:AZ19" si="45">AM19/AM56-1</f>
        <v>4.120912312731595E-2</v>
      </c>
      <c r="AU19">
        <f t="shared" si="45"/>
        <v>-0.50103305785123964</v>
      </c>
      <c r="AV19" s="6">
        <f t="shared" si="45"/>
        <v>1.6414141414141437E-2</v>
      </c>
      <c r="AW19" s="6">
        <f t="shared" si="45"/>
        <v>-1.2923807749627314E-2</v>
      </c>
      <c r="AX19" s="6">
        <f t="shared" si="45"/>
        <v>-1.6097493672331264E-2</v>
      </c>
      <c r="AY19" s="6">
        <f t="shared" si="45"/>
        <v>2.3242474302496374E-2</v>
      </c>
      <c r="AZ19" s="6">
        <f t="shared" si="45"/>
        <v>3.9983603783733335E-2</v>
      </c>
    </row>
    <row r="20" spans="1:52">
      <c r="A20" s="6" t="s">
        <v>252</v>
      </c>
      <c r="B20" s="6" t="s">
        <v>240</v>
      </c>
      <c r="C20">
        <v>169</v>
      </c>
      <c r="D20">
        <v>20.75</v>
      </c>
      <c r="E20">
        <v>3.45</v>
      </c>
      <c r="F20">
        <v>1.92</v>
      </c>
      <c r="G20" s="6">
        <v>0.32</v>
      </c>
      <c r="H20" s="6">
        <v>5.78</v>
      </c>
      <c r="I20" s="6">
        <v>0.08</v>
      </c>
      <c r="J20" s="3">
        <f t="shared" si="1"/>
        <v>5.4907316594743047</v>
      </c>
      <c r="K20" s="3">
        <f t="shared" si="2"/>
        <v>2.0804738440468036</v>
      </c>
      <c r="L20" s="3">
        <f t="shared" si="3"/>
        <v>3.2035164100528548</v>
      </c>
      <c r="M20" s="6">
        <f t="shared" si="4"/>
        <v>0.22870104534090385</v>
      </c>
      <c r="N20" s="6">
        <f t="shared" si="5"/>
        <v>2.3990252016985139</v>
      </c>
      <c r="O20" s="6">
        <f t="shared" si="6"/>
        <v>2.9674316904623989E-2</v>
      </c>
      <c r="P20" s="6">
        <f t="shared" si="7"/>
        <v>67.386383884315578</v>
      </c>
      <c r="Q20" s="6">
        <f t="shared" si="8"/>
        <v>95.505817490100654</v>
      </c>
      <c r="R20" s="6">
        <v>204400</v>
      </c>
      <c r="S20" s="6">
        <v>5633</v>
      </c>
      <c r="T20" s="6">
        <v>268300</v>
      </c>
      <c r="U20" s="6">
        <v>3162</v>
      </c>
      <c r="V20" s="6">
        <f t="shared" si="9"/>
        <v>204.4</v>
      </c>
      <c r="W20" s="6">
        <f t="shared" si="10"/>
        <v>5.633</v>
      </c>
      <c r="X20" s="6">
        <f t="shared" si="11"/>
        <v>268.3</v>
      </c>
      <c r="Y20" s="6">
        <f t="shared" si="12"/>
        <v>3.1619999999999999</v>
      </c>
      <c r="Z20" s="6">
        <f t="shared" si="13"/>
        <v>2.044E-2</v>
      </c>
      <c r="AA20" s="6">
        <f t="shared" si="43"/>
        <v>5.6329999999999998E-4</v>
      </c>
      <c r="AB20" s="6">
        <f t="shared" si="44"/>
        <v>3.1619999999999999E-4</v>
      </c>
      <c r="AC20">
        <f>(J20/J56-1)*100</f>
        <v>22.563496751329026</v>
      </c>
      <c r="AD20">
        <f>(K20/K56-1)*100</f>
        <v>-40.82332761578045</v>
      </c>
      <c r="AE20">
        <f>(L20/L56-1)*100</f>
        <v>19.254658385093148</v>
      </c>
      <c r="AF20">
        <f t="shared" si="16"/>
        <v>66.923487894722044</v>
      </c>
      <c r="AG20">
        <f t="shared" si="17"/>
        <v>0.21415516126311054</v>
      </c>
      <c r="AH20">
        <f t="shared" si="18"/>
        <v>2.9446334673677698E-3</v>
      </c>
      <c r="AI20">
        <f>J56*(100-AG20)/100</f>
        <v>4.4703138531946474</v>
      </c>
      <c r="AJ20">
        <f>L56*(100-AH20)/100</f>
        <v>2.6862028885212421</v>
      </c>
      <c r="AK20">
        <f t="shared" si="19"/>
        <v>1.6641758045519639</v>
      </c>
      <c r="AL20">
        <f>AK20/AM56-1</f>
        <v>-2.1121674735478102E-3</v>
      </c>
      <c r="AM20">
        <f t="shared" si="20"/>
        <v>1.7139701991986092</v>
      </c>
      <c r="AN20">
        <f t="shared" si="41"/>
        <v>0.64943442696848175</v>
      </c>
      <c r="AO20" s="6">
        <f t="shared" si="22"/>
        <v>7.1390627069436649E-2</v>
      </c>
      <c r="AP20" s="6">
        <f t="shared" si="23"/>
        <v>6.3804886205227089E-3</v>
      </c>
      <c r="AQ20" s="6">
        <f t="shared" si="24"/>
        <v>1.758380254373993E-4</v>
      </c>
      <c r="AR20" s="6">
        <f t="shared" si="25"/>
        <v>9.8704036292039166E-5</v>
      </c>
      <c r="AS20" s="6">
        <f t="shared" si="26"/>
        <v>0.56133499023610867</v>
      </c>
      <c r="AT20">
        <f t="shared" ref="AT20:AZ20" si="46">AM20/AM56-1</f>
        <v>2.7745988383540254E-2</v>
      </c>
      <c r="AU20">
        <f t="shared" si="46"/>
        <v>-0.50377894511149224</v>
      </c>
      <c r="AV20" s="6">
        <f t="shared" si="46"/>
        <v>-6.1728395061728669E-3</v>
      </c>
      <c r="AW20" s="6">
        <f t="shared" si="46"/>
        <v>3.5006830601094219E-3</v>
      </c>
      <c r="AX20" s="6">
        <f t="shared" si="46"/>
        <v>-1.1198407298862567E-2</v>
      </c>
      <c r="AY20" s="6">
        <f t="shared" si="46"/>
        <v>-2.6626743759177618E-2</v>
      </c>
      <c r="AZ20" s="6">
        <f t="shared" si="46"/>
        <v>-1.5603065947910721E-2</v>
      </c>
    </row>
    <row r="21" spans="1:52">
      <c r="A21" s="6" t="s">
        <v>253</v>
      </c>
      <c r="B21" s="6" t="s">
        <v>240</v>
      </c>
      <c r="C21">
        <v>189.5</v>
      </c>
      <c r="D21">
        <v>20.239999999999998</v>
      </c>
      <c r="E21">
        <v>3.56</v>
      </c>
      <c r="F21">
        <v>1.86</v>
      </c>
      <c r="G21" s="6">
        <v>0.3</v>
      </c>
      <c r="H21" s="6">
        <v>5.45</v>
      </c>
      <c r="I21" s="6">
        <v>0.08</v>
      </c>
      <c r="J21" s="3">
        <f t="shared" si="1"/>
        <v>5.3557787367595138</v>
      </c>
      <c r="K21" s="3">
        <f t="shared" si="2"/>
        <v>2.1468077926975715</v>
      </c>
      <c r="L21" s="3">
        <f t="shared" si="3"/>
        <v>3.1034065222387031</v>
      </c>
      <c r="M21" s="6">
        <f t="shared" si="4"/>
        <v>0.21440723000709735</v>
      </c>
      <c r="N21" s="6">
        <f t="shared" si="5"/>
        <v>2.2620566348195332</v>
      </c>
      <c r="O21" s="6">
        <f t="shared" si="6"/>
        <v>2.9674316904623989E-2</v>
      </c>
      <c r="P21" s="6">
        <f t="shared" si="7"/>
        <v>68.123064543750587</v>
      </c>
      <c r="Q21" s="6">
        <f t="shared" si="8"/>
        <v>95.641292201102857</v>
      </c>
      <c r="R21" s="6">
        <v>195100</v>
      </c>
      <c r="S21" s="6">
        <v>5406</v>
      </c>
      <c r="T21" s="6">
        <v>261700</v>
      </c>
      <c r="U21" s="6">
        <v>3084</v>
      </c>
      <c r="V21" s="6">
        <f t="shared" si="9"/>
        <v>195.1</v>
      </c>
      <c r="W21" s="6">
        <f t="shared" si="10"/>
        <v>5.4059999999999997</v>
      </c>
      <c r="X21" s="6">
        <f t="shared" si="11"/>
        <v>261.7</v>
      </c>
      <c r="Y21" s="6">
        <f t="shared" si="12"/>
        <v>3.0840000000000001</v>
      </c>
      <c r="Z21" s="6">
        <f t="shared" si="13"/>
        <v>1.951E-2</v>
      </c>
      <c r="AA21" s="6">
        <f t="shared" si="43"/>
        <v>5.4060000000000002E-4</v>
      </c>
      <c r="AB21" s="6">
        <f t="shared" si="44"/>
        <v>3.0840000000000002E-4</v>
      </c>
      <c r="AC21">
        <f>(J21/J56-1)*100</f>
        <v>19.55109273479032</v>
      </c>
      <c r="AD21">
        <f>(K21/K56-1)*100</f>
        <v>-38.936535162950257</v>
      </c>
      <c r="AE21">
        <f>(L21/L56-1)*100</f>
        <v>15.527950310559003</v>
      </c>
      <c r="AF21">
        <f t="shared" si="16"/>
        <v>63.830385513033207</v>
      </c>
      <c r="AG21">
        <f t="shared" si="17"/>
        <v>0.20425723364170628</v>
      </c>
      <c r="AH21">
        <f t="shared" si="18"/>
        <v>2.808536962573461E-3</v>
      </c>
      <c r="AI21">
        <f>J56*(100-AG21)/100</f>
        <v>4.4707572712268879</v>
      </c>
      <c r="AJ21">
        <f>L56*(100-AH21)/100</f>
        <v>2.6862065444571384</v>
      </c>
      <c r="AK21">
        <f t="shared" si="19"/>
        <v>1.6643386118063359</v>
      </c>
      <c r="AL21">
        <f>AK21/AM56-1</f>
        <v>-2.0145435459912875E-3</v>
      </c>
      <c r="AM21">
        <f t="shared" si="20"/>
        <v>1.7257741447601322</v>
      </c>
      <c r="AN21">
        <f t="shared" si="41"/>
        <v>0.69175848452781163</v>
      </c>
      <c r="AO21" s="6">
        <f t="shared" si="22"/>
        <v>6.9087703615583848E-2</v>
      </c>
      <c r="AP21" s="6">
        <f t="shared" si="23"/>
        <v>6.2866401356681039E-3</v>
      </c>
      <c r="AQ21" s="6">
        <f t="shared" si="24"/>
        <v>1.7419567695244374E-4</v>
      </c>
      <c r="AR21" s="6">
        <f t="shared" si="25"/>
        <v>9.9374670314712632E-5</v>
      </c>
      <c r="AS21" s="6">
        <f t="shared" si="26"/>
        <v>0.57047724750277473</v>
      </c>
      <c r="AT21">
        <f t="shared" ref="AT21:AZ21" si="47">AM21/AM56-1</f>
        <v>3.4823974747378639E-2</v>
      </c>
      <c r="AU21">
        <f t="shared" si="47"/>
        <v>-0.47143990114166612</v>
      </c>
      <c r="AV21" s="6">
        <f t="shared" si="47"/>
        <v>-3.823178016726414E-2</v>
      </c>
      <c r="AW21" s="6">
        <f t="shared" si="47"/>
        <v>-1.1259474704741756E-2</v>
      </c>
      <c r="AX21" s="6">
        <f t="shared" si="47"/>
        <v>-2.0433934106302232E-2</v>
      </c>
      <c r="AY21" s="6">
        <f t="shared" si="47"/>
        <v>-2.0013263227701028E-2</v>
      </c>
      <c r="AZ21" s="6">
        <f t="shared" si="47"/>
        <v>4.2944615299367328E-4</v>
      </c>
    </row>
    <row r="22" spans="1:52">
      <c r="A22" s="6" t="s">
        <v>254</v>
      </c>
      <c r="B22" s="6" t="s">
        <v>240</v>
      </c>
      <c r="C22">
        <v>204</v>
      </c>
      <c r="D22">
        <v>20.82</v>
      </c>
      <c r="E22">
        <v>3.06</v>
      </c>
      <c r="F22">
        <v>1.91</v>
      </c>
      <c r="G22" s="6">
        <v>0.31</v>
      </c>
      <c r="H22" s="6">
        <v>6.16</v>
      </c>
      <c r="I22" s="6">
        <v>0.08</v>
      </c>
      <c r="J22">
        <f t="shared" si="1"/>
        <v>5.5092546096508439</v>
      </c>
      <c r="K22" s="3">
        <f t="shared" si="2"/>
        <v>1.8452898442849912</v>
      </c>
      <c r="L22" s="3">
        <f t="shared" si="3"/>
        <v>3.1868314287504962</v>
      </c>
      <c r="M22" s="6">
        <f t="shared" si="4"/>
        <v>0.22155413767400062</v>
      </c>
      <c r="N22" s="6">
        <f t="shared" si="5"/>
        <v>2.5567465817409767</v>
      </c>
      <c r="O22" s="6">
        <f t="shared" si="6"/>
        <v>2.9674316904623989E-2</v>
      </c>
      <c r="P22" s="6">
        <f t="shared" si="7"/>
        <v>66.239058486499573</v>
      </c>
      <c r="Q22" s="6">
        <f t="shared" si="8"/>
        <v>95.638760642511684</v>
      </c>
      <c r="R22" s="6">
        <v>204800</v>
      </c>
      <c r="S22" s="6">
        <v>5785</v>
      </c>
      <c r="T22" s="6">
        <v>287800</v>
      </c>
      <c r="U22" s="6">
        <v>3106</v>
      </c>
      <c r="V22" s="6">
        <f t="shared" si="9"/>
        <v>204.8</v>
      </c>
      <c r="W22" s="6">
        <f t="shared" si="10"/>
        <v>5.7850000000000001</v>
      </c>
      <c r="X22" s="6">
        <f t="shared" si="11"/>
        <v>287.8</v>
      </c>
      <c r="Y22" s="6">
        <f t="shared" si="12"/>
        <v>3.1059999999999999</v>
      </c>
      <c r="Z22" s="6">
        <f t="shared" si="13"/>
        <v>2.0480000000000002E-2</v>
      </c>
      <c r="AA22" s="6">
        <f t="shared" si="43"/>
        <v>5.7850000000000002E-4</v>
      </c>
      <c r="AB22" s="6">
        <f t="shared" si="44"/>
        <v>3.1060000000000001E-4</v>
      </c>
      <c r="AC22">
        <f>(J22/J56-1)*100</f>
        <v>22.9769639692853</v>
      </c>
      <c r="AD22">
        <f>(K22/K56-1)*100</f>
        <v>-47.512864493996567</v>
      </c>
      <c r="AE22">
        <f>(L22/L56-1)*100</f>
        <v>18.633540372670797</v>
      </c>
      <c r="AF22">
        <f t="shared" si="16"/>
        <v>77.889941793436989</v>
      </c>
      <c r="AG22">
        <f t="shared" si="17"/>
        <v>0.24924781373899837</v>
      </c>
      <c r="AH22">
        <f t="shared" si="18"/>
        <v>3.4271574389112274E-3</v>
      </c>
      <c r="AI22">
        <f>J56*(100-AG22)/100</f>
        <v>4.4687417347167022</v>
      </c>
      <c r="AJ22">
        <f>L56*(100-AH22)/100</f>
        <v>2.6861899265666982</v>
      </c>
      <c r="AK22">
        <f t="shared" si="19"/>
        <v>1.6635985752609601</v>
      </c>
      <c r="AL22">
        <f>AK22/AM56-1</f>
        <v>-2.4582908124973768E-3</v>
      </c>
      <c r="AM22">
        <f t="shared" si="20"/>
        <v>1.7287562059129471</v>
      </c>
      <c r="AN22">
        <f t="shared" si="41"/>
        <v>0.57903591248580688</v>
      </c>
      <c r="AO22" s="6">
        <f t="shared" si="22"/>
        <v>6.9521762486467104E-2</v>
      </c>
      <c r="AP22" s="6">
        <f t="shared" si="23"/>
        <v>6.4264459723964345E-3</v>
      </c>
      <c r="AQ22" s="6">
        <f t="shared" si="24"/>
        <v>1.8152827124176451E-4</v>
      </c>
      <c r="AR22" s="6">
        <f t="shared" si="25"/>
        <v>9.7463580030582645E-5</v>
      </c>
      <c r="AS22" s="6">
        <f t="shared" si="26"/>
        <v>0.53690579083837509</v>
      </c>
      <c r="AT22">
        <f t="shared" ref="AT22:AZ22" si="48">AM22/AM56-1</f>
        <v>3.6612104662562039E-2</v>
      </c>
      <c r="AU22">
        <f t="shared" si="48"/>
        <v>-0.55756917191274591</v>
      </c>
      <c r="AV22" s="6">
        <f t="shared" si="48"/>
        <v>-3.2189257320147324E-2</v>
      </c>
      <c r="AW22" s="6">
        <f t="shared" si="48"/>
        <v>1.0728692816067475E-2</v>
      </c>
      <c r="AX22" s="6">
        <f t="shared" si="48"/>
        <v>2.07999281022615E-2</v>
      </c>
      <c r="AY22" s="6">
        <f t="shared" si="48"/>
        <v>-3.885954594029406E-2</v>
      </c>
      <c r="AZ22" s="6">
        <f t="shared" si="48"/>
        <v>-5.8443846242688058E-2</v>
      </c>
    </row>
    <row r="23" spans="1:52">
      <c r="A23" s="6" t="s">
        <v>255</v>
      </c>
      <c r="B23" s="6" t="s">
        <v>240</v>
      </c>
      <c r="C23">
        <v>245.5</v>
      </c>
      <c r="D23">
        <v>17.239999999999998</v>
      </c>
      <c r="E23">
        <v>5.74</v>
      </c>
      <c r="F23">
        <v>1.53</v>
      </c>
      <c r="G23" s="6">
        <v>0.48</v>
      </c>
      <c r="H23" s="6">
        <v>3.02</v>
      </c>
      <c r="I23" s="6">
        <v>0.2</v>
      </c>
      <c r="J23" s="3">
        <f t="shared" si="1"/>
        <v>4.561938014907807</v>
      </c>
      <c r="K23" s="3">
        <f t="shared" si="2"/>
        <v>3.4614260477764218</v>
      </c>
      <c r="L23" s="3">
        <f t="shared" si="3"/>
        <v>2.5528021392608689</v>
      </c>
      <c r="M23" s="6">
        <f t="shared" si="4"/>
        <v>0.34305156801135572</v>
      </c>
      <c r="N23" s="6">
        <f t="shared" si="5"/>
        <v>1.25346991507431</v>
      </c>
      <c r="O23" s="6">
        <f t="shared" si="6"/>
        <v>7.4185792261559982E-2</v>
      </c>
      <c r="P23" s="6">
        <f t="shared" si="7"/>
        <v>73.194250634486806</v>
      </c>
      <c r="Q23" s="6">
        <f t="shared" si="8"/>
        <v>91.620352190190289</v>
      </c>
      <c r="R23" s="6">
        <v>160800</v>
      </c>
      <c r="S23" s="6">
        <v>4633</v>
      </c>
      <c r="T23" s="6">
        <v>67000</v>
      </c>
      <c r="U23" s="6">
        <v>2385</v>
      </c>
      <c r="V23" s="6">
        <f t="shared" si="9"/>
        <v>160.80000000000001</v>
      </c>
      <c r="W23" s="6">
        <f t="shared" si="10"/>
        <v>4.633</v>
      </c>
      <c r="X23" s="6">
        <f t="shared" si="11"/>
        <v>67</v>
      </c>
      <c r="Y23" s="6">
        <f t="shared" si="12"/>
        <v>2.3849999999999998</v>
      </c>
      <c r="Z23" s="6">
        <f t="shared" si="13"/>
        <v>1.6080000000000001E-2</v>
      </c>
      <c r="AA23" s="6">
        <f t="shared" si="43"/>
        <v>4.6329999999999999E-4</v>
      </c>
      <c r="AB23" s="6">
        <f t="shared" si="44"/>
        <v>2.385E-4</v>
      </c>
      <c r="AC23">
        <f>(J23/J56-1)*100</f>
        <v>1.8310691080921426</v>
      </c>
      <c r="AD23">
        <f>(K23/K56-1)*100</f>
        <v>-1.5437392795883187</v>
      </c>
      <c r="AE23">
        <f>(L23/L56-1)*100</f>
        <v>-4.9689440993788807</v>
      </c>
      <c r="AF23">
        <f t="shared" si="16"/>
        <v>2.5307201304726537</v>
      </c>
      <c r="AG23">
        <f t="shared" si="17"/>
        <v>8.0983044175124922E-3</v>
      </c>
      <c r="AH23">
        <f t="shared" si="18"/>
        <v>1.1135168574079676E-4</v>
      </c>
      <c r="AI23">
        <f>J56*(100-AG23)/100</f>
        <v>4.4795450104112975</v>
      </c>
      <c r="AJ23">
        <f>L56*(100-AH23)/100</f>
        <v>2.6862789984594584</v>
      </c>
      <c r="AK23">
        <f t="shared" si="19"/>
        <v>1.6675650641576139</v>
      </c>
      <c r="AL23">
        <f>AK23/AM56-1</f>
        <v>-7.9869616253835929E-5</v>
      </c>
      <c r="AM23">
        <f t="shared" si="20"/>
        <v>1.787031570033335</v>
      </c>
      <c r="AN23">
        <f t="shared" si="41"/>
        <v>1.3559319755108923</v>
      </c>
      <c r="AO23" s="6">
        <f t="shared" si="22"/>
        <v>0.13438235683658661</v>
      </c>
      <c r="AP23" s="6">
        <f t="shared" si="23"/>
        <v>6.2989605628643664E-3</v>
      </c>
      <c r="AQ23" s="6">
        <f t="shared" si="24"/>
        <v>1.8148684258551372E-4</v>
      </c>
      <c r="AR23" s="6">
        <f t="shared" si="25"/>
        <v>9.3426747154424833E-5</v>
      </c>
      <c r="AS23" s="6">
        <f t="shared" si="26"/>
        <v>0.51478523634793871</v>
      </c>
      <c r="AT23">
        <f t="shared" ref="AT23:AZ23" si="49">AM23/AM56-1</f>
        <v>7.1555694536132863E-2</v>
      </c>
      <c r="AU23">
        <f t="shared" si="49"/>
        <v>3.6043004966423542E-2</v>
      </c>
      <c r="AV23" s="6">
        <f t="shared" si="49"/>
        <v>0.87073347857661565</v>
      </c>
      <c r="AW23" s="6">
        <f t="shared" si="49"/>
        <v>-9.3217614914817837E-3</v>
      </c>
      <c r="AX23" s="6">
        <f t="shared" si="49"/>
        <v>2.0566959600810453E-2</v>
      </c>
      <c r="AY23" s="6">
        <f t="shared" si="49"/>
        <v>-7.8668912498920274E-2</v>
      </c>
      <c r="AZ23" s="6">
        <f t="shared" si="49"/>
        <v>-9.7236022748126594E-2</v>
      </c>
    </row>
    <row r="24" spans="1:52">
      <c r="A24" s="6" t="s">
        <v>256</v>
      </c>
      <c r="B24" s="6" t="s">
        <v>240</v>
      </c>
      <c r="C24">
        <v>258</v>
      </c>
      <c r="D24">
        <v>15.84</v>
      </c>
      <c r="E24">
        <v>5.22</v>
      </c>
      <c r="F24">
        <v>1.43</v>
      </c>
      <c r="G24" s="6">
        <v>1.45</v>
      </c>
      <c r="H24" s="6">
        <v>2.95</v>
      </c>
      <c r="I24" s="6">
        <v>0.71</v>
      </c>
      <c r="J24" s="3">
        <f t="shared" si="1"/>
        <v>4.1914790113770106</v>
      </c>
      <c r="K24" s="3">
        <f t="shared" si="2"/>
        <v>3.1478473814273378</v>
      </c>
      <c r="L24" s="3">
        <f t="shared" si="3"/>
        <v>2.3859523262372826</v>
      </c>
      <c r="M24" s="6">
        <f t="shared" si="4"/>
        <v>1.0363016117009705</v>
      </c>
      <c r="N24" s="6">
        <f t="shared" si="5"/>
        <v>1.2244159766454354</v>
      </c>
      <c r="O24" s="6">
        <f t="shared" si="6"/>
        <v>0.26335956252853787</v>
      </c>
      <c r="P24" s="6">
        <f t="shared" si="7"/>
        <v>62.414473352739641</v>
      </c>
      <c r="Q24" s="6">
        <f t="shared" si="8"/>
        <v>76.331670103119848</v>
      </c>
      <c r="R24" s="6">
        <v>150700</v>
      </c>
      <c r="S24" s="6">
        <v>4201</v>
      </c>
      <c r="T24" s="6">
        <v>37510</v>
      </c>
      <c r="U24" s="6">
        <v>2150</v>
      </c>
      <c r="V24" s="6">
        <f t="shared" si="9"/>
        <v>150.69999999999999</v>
      </c>
      <c r="W24" s="6">
        <f t="shared" si="10"/>
        <v>4.2009999999999996</v>
      </c>
      <c r="X24" s="6">
        <f t="shared" si="11"/>
        <v>37.51</v>
      </c>
      <c r="Y24" s="6">
        <f t="shared" si="12"/>
        <v>2.15</v>
      </c>
      <c r="Z24" s="6">
        <f t="shared" si="13"/>
        <v>1.507E-2</v>
      </c>
      <c r="AA24" s="6">
        <f t="shared" si="43"/>
        <v>4.2010000000000002E-4</v>
      </c>
      <c r="AB24" s="6">
        <f t="shared" si="44"/>
        <v>2.1499999999999999E-4</v>
      </c>
      <c r="AC24">
        <f>(J24/J56-1)*100</f>
        <v>-6.4382752510336765</v>
      </c>
      <c r="AD24">
        <f>(K24/K56-1)*100</f>
        <v>-10.463121783876506</v>
      </c>
      <c r="AE24">
        <f>(L24/L56-1)*100</f>
        <v>-11.180124223602483</v>
      </c>
      <c r="AF24">
        <f t="shared" si="16"/>
        <v>17.152658662092634</v>
      </c>
      <c r="AG24">
        <f t="shared" si="17"/>
        <v>5.4888507718696432E-2</v>
      </c>
      <c r="AH24">
        <f t="shared" si="18"/>
        <v>7.5471698113207587E-4</v>
      </c>
      <c r="AI24">
        <f>J56*(100-AG24)/100</f>
        <v>4.4774488524407046</v>
      </c>
      <c r="AJ24">
        <f>L56*(100-AH24)/100</f>
        <v>2.6862617158534006</v>
      </c>
      <c r="AK24">
        <f t="shared" si="19"/>
        <v>1.6667954674767274</v>
      </c>
      <c r="AL24">
        <f>AK24/AM56-1</f>
        <v>-5.4134199297550811E-4</v>
      </c>
      <c r="AM24">
        <f t="shared" si="20"/>
        <v>1.7567320877643424</v>
      </c>
      <c r="AN24">
        <f t="shared" si="41"/>
        <v>1.3193253472887223</v>
      </c>
      <c r="AO24" s="6">
        <f t="shared" si="22"/>
        <v>0.4343345842686005</v>
      </c>
      <c r="AP24" s="6">
        <f t="shared" si="23"/>
        <v>6.3161362590030603E-3</v>
      </c>
      <c r="AQ24" s="6">
        <f t="shared" si="24"/>
        <v>1.7607225231633616E-4</v>
      </c>
      <c r="AR24" s="6">
        <f t="shared" si="25"/>
        <v>9.0110769454920898E-5</v>
      </c>
      <c r="AS24" s="6">
        <f t="shared" si="26"/>
        <v>0.51178290883123068</v>
      </c>
      <c r="AT24">
        <f t="shared" ref="AT24:AZ24" si="50">AM24/AM56-1</f>
        <v>5.3387250670180464E-2</v>
      </c>
      <c r="AU24">
        <f t="shared" si="50"/>
        <v>8.0725449507610403E-3</v>
      </c>
      <c r="AV24" s="6">
        <f t="shared" si="50"/>
        <v>5.0463610463610449</v>
      </c>
      <c r="AW24" s="6">
        <f t="shared" si="50"/>
        <v>-6.6204287515763127E-3</v>
      </c>
      <c r="AX24" s="6">
        <f t="shared" si="50"/>
        <v>-9.881263806321261E-3</v>
      </c>
      <c r="AY24" s="6">
        <f t="shared" si="50"/>
        <v>-0.11136954088495943</v>
      </c>
      <c r="AZ24" s="6">
        <f t="shared" si="50"/>
        <v>-0.10250111766270598</v>
      </c>
    </row>
    <row r="25" spans="1:52">
      <c r="A25" s="6" t="s">
        <v>257</v>
      </c>
      <c r="B25" s="6" t="s">
        <v>240</v>
      </c>
      <c r="C25">
        <v>264.5</v>
      </c>
      <c r="D25">
        <v>16.059999999999999</v>
      </c>
      <c r="E25">
        <v>5.83</v>
      </c>
      <c r="F25">
        <v>1.36</v>
      </c>
      <c r="G25" s="6">
        <v>0.78</v>
      </c>
      <c r="H25" s="6">
        <v>2.69</v>
      </c>
      <c r="I25" s="6">
        <v>0.4</v>
      </c>
      <c r="J25" s="3">
        <f t="shared" si="1"/>
        <v>4.2496939976461361</v>
      </c>
      <c r="K25" s="3">
        <f t="shared" si="2"/>
        <v>3.5156992784906858</v>
      </c>
      <c r="L25" s="3">
        <f t="shared" si="3"/>
        <v>2.2691574571207722</v>
      </c>
      <c r="M25" s="6">
        <f t="shared" si="4"/>
        <v>0.55745879801845311</v>
      </c>
      <c r="N25" s="6">
        <f t="shared" si="5"/>
        <v>1.1165013481953292</v>
      </c>
      <c r="O25" s="6">
        <f t="shared" si="6"/>
        <v>0.14837158452311996</v>
      </c>
      <c r="P25" s="6">
        <f t="shared" si="7"/>
        <v>69.988076265576311</v>
      </c>
      <c r="Q25" s="6">
        <f t="shared" si="8"/>
        <v>85.756696397993778</v>
      </c>
      <c r="R25" s="6">
        <v>144000</v>
      </c>
      <c r="S25" s="6">
        <v>4098</v>
      </c>
      <c r="T25" s="6">
        <v>21080</v>
      </c>
      <c r="U25" s="6">
        <v>1989</v>
      </c>
      <c r="V25" s="6">
        <f t="shared" si="9"/>
        <v>144</v>
      </c>
      <c r="W25" s="6">
        <f t="shared" si="10"/>
        <v>4.0979999999999999</v>
      </c>
      <c r="X25" s="6">
        <f t="shared" si="11"/>
        <v>21.08</v>
      </c>
      <c r="Y25" s="6">
        <f t="shared" si="12"/>
        <v>1.9890000000000001</v>
      </c>
      <c r="Z25" s="6">
        <f t="shared" si="13"/>
        <v>1.44E-2</v>
      </c>
      <c r="AA25" s="6">
        <f t="shared" si="43"/>
        <v>4.0979999999999999E-4</v>
      </c>
      <c r="AB25" s="6">
        <f t="shared" si="44"/>
        <v>1.9890000000000001E-4</v>
      </c>
      <c r="AC25">
        <f>(J25/J56-1)*100</f>
        <v>-5.1388068517424612</v>
      </c>
      <c r="AD25">
        <f>(K25/K56-1)*100</f>
        <v>0</v>
      </c>
      <c r="AE25">
        <f>(L25/L56-1)*100</f>
        <v>-15.527950310559014</v>
      </c>
      <c r="AF25">
        <f t="shared" si="16"/>
        <v>0</v>
      </c>
      <c r="AG25">
        <f t="shared" si="17"/>
        <v>0</v>
      </c>
      <c r="AH25">
        <f t="shared" si="18"/>
        <v>0</v>
      </c>
      <c r="AI25">
        <f>J56*(100-AG25)/100</f>
        <v>4.4799078069831308</v>
      </c>
      <c r="AJ25">
        <f>L56*(100-AH25)/100</f>
        <v>2.6862819896797379</v>
      </c>
      <c r="AK25">
        <f t="shared" si="19"/>
        <v>1.6676982625778731</v>
      </c>
      <c r="AL25">
        <f>AK25/AM56-1</f>
        <v>0</v>
      </c>
      <c r="AM25">
        <f t="shared" si="20"/>
        <v>1.8728070122724643</v>
      </c>
      <c r="AN25">
        <f t="shared" si="41"/>
        <v>1.5493412620874676</v>
      </c>
      <c r="AO25" s="6">
        <f t="shared" si="22"/>
        <v>0.24566774609188491</v>
      </c>
      <c r="AP25" s="6">
        <f t="shared" si="23"/>
        <v>6.3459677312439509E-3</v>
      </c>
      <c r="AQ25" s="6">
        <f t="shared" si="24"/>
        <v>1.8059566501831743E-4</v>
      </c>
      <c r="AR25" s="6">
        <f t="shared" si="25"/>
        <v>8.7653679287807084E-5</v>
      </c>
      <c r="AS25" s="6">
        <f t="shared" si="26"/>
        <v>0.48535871156661792</v>
      </c>
      <c r="AT25">
        <f t="shared" ref="AT25:AZ25" si="51">AM25/AM56-1</f>
        <v>0.12298912476981338</v>
      </c>
      <c r="AU25">
        <f t="shared" si="51"/>
        <v>0.18382352941176472</v>
      </c>
      <c r="AV25" s="6">
        <f t="shared" si="51"/>
        <v>2.4199346405228757</v>
      </c>
      <c r="AW25" s="6">
        <f t="shared" si="51"/>
        <v>-1.9286403085824189E-3</v>
      </c>
      <c r="AX25" s="6">
        <f t="shared" si="51"/>
        <v>1.5555541873437662E-2</v>
      </c>
      <c r="AY25" s="6">
        <f t="shared" si="51"/>
        <v>-0.13560022026431706</v>
      </c>
      <c r="AZ25" s="6">
        <f t="shared" si="51"/>
        <v>-0.1488404680052372</v>
      </c>
    </row>
    <row r="26" spans="1:52">
      <c r="A26" s="6" t="s">
        <v>258</v>
      </c>
      <c r="B26" s="6" t="s">
        <v>240</v>
      </c>
      <c r="C26">
        <v>276</v>
      </c>
      <c r="D26">
        <v>18.010000000000002</v>
      </c>
      <c r="E26">
        <v>6.08</v>
      </c>
      <c r="F26">
        <v>1.57</v>
      </c>
      <c r="G26" s="6">
        <v>0.3</v>
      </c>
      <c r="H26" s="6">
        <v>2.36</v>
      </c>
      <c r="I26" s="6">
        <v>0.3</v>
      </c>
      <c r="J26">
        <f t="shared" si="1"/>
        <v>4.7656904668497457</v>
      </c>
      <c r="K26" s="3">
        <f t="shared" si="2"/>
        <v>3.6664582526969762</v>
      </c>
      <c r="L26" s="3">
        <f t="shared" si="3"/>
        <v>2.6195420644703034</v>
      </c>
      <c r="M26" s="6">
        <f t="shared" si="4"/>
        <v>0.21440723000709735</v>
      </c>
      <c r="N26" s="6">
        <f t="shared" si="5"/>
        <v>0.97953278131634813</v>
      </c>
      <c r="O26" s="6">
        <f t="shared" si="6"/>
        <v>0.11127868839233997</v>
      </c>
      <c r="P26" s="6">
        <f t="shared" si="7"/>
        <v>78.500440973420439</v>
      </c>
      <c r="Q26" s="6">
        <f t="shared" si="8"/>
        <v>93.603185194812554</v>
      </c>
      <c r="R26" s="6">
        <v>164700</v>
      </c>
      <c r="S26" s="6">
        <v>4718</v>
      </c>
      <c r="T26" s="6">
        <v>81240</v>
      </c>
      <c r="U26" s="6">
        <v>2298</v>
      </c>
      <c r="V26" s="6">
        <f t="shared" si="9"/>
        <v>164.7</v>
      </c>
      <c r="W26" s="6">
        <f t="shared" si="10"/>
        <v>4.718</v>
      </c>
      <c r="X26" s="6">
        <f t="shared" si="11"/>
        <v>81.239999999999995</v>
      </c>
      <c r="Y26" s="6">
        <f t="shared" si="12"/>
        <v>2.298</v>
      </c>
      <c r="Z26" s="6">
        <f t="shared" si="13"/>
        <v>1.6469999999999999E-2</v>
      </c>
      <c r="AA26" s="6">
        <f t="shared" si="43"/>
        <v>4.7179999999999998E-4</v>
      </c>
      <c r="AB26" s="6">
        <f t="shared" si="44"/>
        <v>2.298E-4</v>
      </c>
      <c r="AC26">
        <f>(J26/J56-1)*100</f>
        <v>6.3792085056113557</v>
      </c>
      <c r="AD26">
        <f>(K26/K56-1)*100</f>
        <v>4.2881646655231753</v>
      </c>
      <c r="AE26">
        <f>(L26/L56-1)*100</f>
        <v>-2.4844720496894457</v>
      </c>
      <c r="AF26">
        <f t="shared" si="16"/>
        <v>-7.0297781402019268</v>
      </c>
      <c r="AG26">
        <f t="shared" si="17"/>
        <v>-2.2495290048646168E-2</v>
      </c>
      <c r="AH26">
        <f t="shared" si="18"/>
        <v>-3.0931023816888477E-4</v>
      </c>
      <c r="AI26">
        <f>J56*(100-AG26)/100</f>
        <v>4.4809155752382246</v>
      </c>
      <c r="AJ26">
        <f>L56*(100-AH26)/100</f>
        <v>2.6862902986249577</v>
      </c>
      <c r="AK26">
        <f t="shared" si="19"/>
        <v>1.6680682566332794</v>
      </c>
      <c r="AL26">
        <f>AK26/AM56-1</f>
        <v>2.218591118721136E-4</v>
      </c>
      <c r="AM26">
        <f t="shared" si="20"/>
        <v>1.819283809749936</v>
      </c>
      <c r="AN26">
        <f t="shared" si="41"/>
        <v>1.3996561851120224</v>
      </c>
      <c r="AO26" s="6">
        <f t="shared" si="22"/>
        <v>8.184912657642418E-2</v>
      </c>
      <c r="AP26" s="6">
        <f t="shared" si="23"/>
        <v>6.2873584751273661E-3</v>
      </c>
      <c r="AQ26" s="6">
        <f t="shared" si="24"/>
        <v>1.8010781594202132E-4</v>
      </c>
      <c r="AR26" s="6">
        <f t="shared" si="25"/>
        <v>8.7725256683926465E-5</v>
      </c>
      <c r="AS26" s="6">
        <f t="shared" si="26"/>
        <v>0.48707079270877496</v>
      </c>
      <c r="AT26">
        <f t="shared" ref="AT26:AZ26" si="52">AM26/AM56-1</f>
        <v>9.0895068114868138E-2</v>
      </c>
      <c r="AU26">
        <f t="shared" si="52"/>
        <v>6.9451879691033724E-2</v>
      </c>
      <c r="AV26" s="6">
        <f t="shared" si="52"/>
        <v>0.13941967445152148</v>
      </c>
      <c r="AW26" s="6">
        <f t="shared" si="52"/>
        <v>-1.1146496815286677E-2</v>
      </c>
      <c r="AX26" s="6">
        <f t="shared" si="52"/>
        <v>1.2812187912089268E-2</v>
      </c>
      <c r="AY26" s="6">
        <f t="shared" si="52"/>
        <v>-0.13489435730519928</v>
      </c>
      <c r="AZ26" s="6">
        <f t="shared" si="52"/>
        <v>-0.14583804083340013</v>
      </c>
    </row>
    <row r="27" spans="1:52">
      <c r="A27" s="6" t="s">
        <v>259</v>
      </c>
      <c r="B27" s="6" t="s">
        <v>240</v>
      </c>
      <c r="C27">
        <v>288.5</v>
      </c>
      <c r="D27">
        <v>20</v>
      </c>
      <c r="E27">
        <v>3.82</v>
      </c>
      <c r="F27">
        <v>1.82</v>
      </c>
      <c r="G27" s="6">
        <v>0.3</v>
      </c>
      <c r="H27" s="6">
        <v>5.14</v>
      </c>
      <c r="I27" s="6">
        <v>7.0000000000000007E-2</v>
      </c>
      <c r="J27" s="3">
        <f t="shared" si="1"/>
        <v>5.2922714790113776</v>
      </c>
      <c r="K27" s="3">
        <f t="shared" si="2"/>
        <v>2.3035971258721131</v>
      </c>
      <c r="L27" s="3">
        <f t="shared" si="3"/>
        <v>3.036666597029269</v>
      </c>
      <c r="M27" s="6">
        <f t="shared" si="4"/>
        <v>0.21440723000709735</v>
      </c>
      <c r="N27" s="6">
        <f t="shared" si="5"/>
        <v>2.1333891932059448</v>
      </c>
      <c r="O27" s="6">
        <f t="shared" si="6"/>
        <v>2.5965027291545994E-2</v>
      </c>
      <c r="P27" s="6">
        <f t="shared" si="7"/>
        <v>69.035334542262817</v>
      </c>
      <c r="Q27" s="6">
        <f t="shared" si="8"/>
        <v>95.655381608594965</v>
      </c>
      <c r="R27" s="6">
        <v>192400</v>
      </c>
      <c r="S27" s="6">
        <v>5472</v>
      </c>
      <c r="T27" s="6">
        <v>238000</v>
      </c>
      <c r="U27" s="6">
        <v>2698</v>
      </c>
      <c r="V27" s="6">
        <f t="shared" si="9"/>
        <v>192.4</v>
      </c>
      <c r="W27" s="6">
        <f t="shared" si="10"/>
        <v>5.4720000000000004</v>
      </c>
      <c r="X27" s="6">
        <f t="shared" si="11"/>
        <v>238</v>
      </c>
      <c r="Y27" s="6">
        <f t="shared" si="12"/>
        <v>2.698</v>
      </c>
      <c r="Z27" s="6">
        <f t="shared" si="13"/>
        <v>1.924E-2</v>
      </c>
      <c r="AA27" s="6">
        <f t="shared" si="43"/>
        <v>5.4719999999999997E-4</v>
      </c>
      <c r="AB27" s="6">
        <f t="shared" si="44"/>
        <v>2.698E-4</v>
      </c>
      <c r="AC27">
        <f>(J27/J56-1)*100</f>
        <v>18.133490844654474</v>
      </c>
      <c r="AD27">
        <f>(K27/K56-1)*100</f>
        <v>-34.476843910806174</v>
      </c>
      <c r="AE27">
        <f>(L27/L56-1)*100</f>
        <v>13.043478260869579</v>
      </c>
      <c r="AF27">
        <f t="shared" si="16"/>
        <v>56.519416247223241</v>
      </c>
      <c r="AG27">
        <f t="shared" si="17"/>
        <v>0.18086213199111437</v>
      </c>
      <c r="AH27">
        <f t="shared" si="18"/>
        <v>2.4868543148778223E-3</v>
      </c>
      <c r="AI27">
        <f>J56*(100-AG27)/100</f>
        <v>4.4718053502121844</v>
      </c>
      <c r="AJ27">
        <f>L56*(100-AH27)/100</f>
        <v>2.6862151857601675</v>
      </c>
      <c r="AK27">
        <f t="shared" si="19"/>
        <v>1.6647234271913758</v>
      </c>
      <c r="AL27">
        <f>AK27/AM56-1</f>
        <v>-1.7837971371985617E-3</v>
      </c>
      <c r="AM27">
        <f t="shared" si="20"/>
        <v>1.7427897696074826</v>
      </c>
      <c r="AN27">
        <f t="shared" si="41"/>
        <v>0.75859402152534361</v>
      </c>
      <c r="AO27" s="6">
        <f t="shared" si="22"/>
        <v>7.060611468405821E-2</v>
      </c>
      <c r="AP27" s="6">
        <f t="shared" si="23"/>
        <v>6.3358947665911819E-3</v>
      </c>
      <c r="AQ27" s="6">
        <f t="shared" si="24"/>
        <v>1.8019758920367437E-4</v>
      </c>
      <c r="AR27" s="6">
        <f t="shared" si="25"/>
        <v>8.8847422454589443E-5</v>
      </c>
      <c r="AS27" s="6">
        <f t="shared" si="26"/>
        <v>0.49305555555555558</v>
      </c>
      <c r="AT27">
        <f t="shared" ref="AT27:AZ27" si="53">AM27/AM56-1</f>
        <v>4.5027034395020316E-2</v>
      </c>
      <c r="AU27">
        <f t="shared" si="53"/>
        <v>-0.42037208074943921</v>
      </c>
      <c r="AV27" s="6">
        <f t="shared" si="53"/>
        <v>-1.7094017094017255E-2</v>
      </c>
      <c r="AW27" s="6">
        <f t="shared" si="53"/>
        <v>-3.5128805620610049E-3</v>
      </c>
      <c r="AX27" s="6">
        <f t="shared" si="53"/>
        <v>1.3317015829052536E-2</v>
      </c>
      <c r="AY27" s="6">
        <f t="shared" si="53"/>
        <v>-0.12382808087653907</v>
      </c>
      <c r="AZ27" s="6">
        <f t="shared" si="53"/>
        <v>-0.13534273535650188</v>
      </c>
    </row>
    <row r="28" spans="1:52">
      <c r="A28" s="6" t="s">
        <v>260</v>
      </c>
      <c r="B28" s="6" t="s">
        <v>240</v>
      </c>
      <c r="C28">
        <v>299</v>
      </c>
      <c r="D28">
        <v>20.45</v>
      </c>
      <c r="E28">
        <v>3.69</v>
      </c>
      <c r="F28">
        <v>2.16</v>
      </c>
      <c r="G28" s="6">
        <v>0.3</v>
      </c>
      <c r="H28" s="6">
        <v>5.45</v>
      </c>
      <c r="I28" s="6">
        <v>7.0000000000000007E-2</v>
      </c>
      <c r="J28" s="3">
        <f t="shared" si="1"/>
        <v>5.411347587289133</v>
      </c>
      <c r="K28" s="3">
        <f t="shared" si="2"/>
        <v>2.2252024592848425</v>
      </c>
      <c r="L28" s="3">
        <f t="shared" si="3"/>
        <v>3.6039559613094618</v>
      </c>
      <c r="M28" s="6">
        <f t="shared" si="4"/>
        <v>0.21440723000709735</v>
      </c>
      <c r="N28" s="6">
        <f t="shared" si="5"/>
        <v>2.2620566348195332</v>
      </c>
      <c r="O28" s="6">
        <f t="shared" si="6"/>
        <v>2.5965027291545994E-2</v>
      </c>
      <c r="P28" s="6">
        <f t="shared" si="7"/>
        <v>68.378827748928387</v>
      </c>
      <c r="Q28" s="6">
        <f t="shared" si="8"/>
        <v>95.746918391065876</v>
      </c>
      <c r="R28" s="6">
        <v>223700</v>
      </c>
      <c r="S28" s="6">
        <v>6296</v>
      </c>
      <c r="T28" s="6">
        <v>255700</v>
      </c>
      <c r="U28" s="6">
        <v>3309</v>
      </c>
      <c r="V28" s="6">
        <f t="shared" si="9"/>
        <v>223.7</v>
      </c>
      <c r="W28" s="6">
        <f t="shared" si="10"/>
        <v>6.2960000000000003</v>
      </c>
      <c r="X28" s="6">
        <f t="shared" si="11"/>
        <v>255.7</v>
      </c>
      <c r="Y28" s="6">
        <f t="shared" si="12"/>
        <v>3.3090000000000002</v>
      </c>
      <c r="Z28" s="6">
        <f t="shared" si="13"/>
        <v>2.2370000000000001E-2</v>
      </c>
      <c r="AA28" s="6">
        <f t="shared" si="43"/>
        <v>6.2960000000000002E-4</v>
      </c>
      <c r="AB28" s="6">
        <f t="shared" si="44"/>
        <v>3.3090000000000002E-4</v>
      </c>
      <c r="AC28">
        <f>(J28/J56-1)*100</f>
        <v>20.791494388659171</v>
      </c>
      <c r="AD28">
        <f>(K28/K56-1)*100</f>
        <v>-36.706689536878216</v>
      </c>
      <c r="AE28">
        <f>(L28/L56-1)*100</f>
        <v>34.1614906832298</v>
      </c>
      <c r="AF28">
        <f t="shared" si="16"/>
        <v>60.17490088012822</v>
      </c>
      <c r="AG28">
        <f t="shared" si="17"/>
        <v>0.19255968281641031</v>
      </c>
      <c r="AH28">
        <f t="shared" si="18"/>
        <v>2.6476956387256416E-3</v>
      </c>
      <c r="AI28">
        <f>J56*(100-AG28)/100</f>
        <v>4.4712813107195366</v>
      </c>
      <c r="AJ28">
        <f>L56*(100-AH28)/100</f>
        <v>2.6862108651086531</v>
      </c>
      <c r="AK28">
        <f t="shared" si="19"/>
        <v>1.6645310198083352</v>
      </c>
      <c r="AL28">
        <f>AK28/AM56-1</f>
        <v>-1.8991701560221452E-3</v>
      </c>
      <c r="AM28">
        <f t="shared" si="20"/>
        <v>1.5015021396995576</v>
      </c>
      <c r="AN28">
        <f t="shared" si="41"/>
        <v>0.61743331027728132</v>
      </c>
      <c r="AO28" s="6">
        <f t="shared" si="22"/>
        <v>5.9492189224530534E-2</v>
      </c>
      <c r="AP28" s="6">
        <f t="shared" si="23"/>
        <v>6.2070680774556639E-3</v>
      </c>
      <c r="AQ28" s="6">
        <f t="shared" si="24"/>
        <v>1.7469691826401816E-4</v>
      </c>
      <c r="AR28" s="6">
        <f t="shared" si="25"/>
        <v>9.1815772321416145E-5</v>
      </c>
      <c r="AS28" s="6">
        <f t="shared" si="26"/>
        <v>0.52557179161372303</v>
      </c>
      <c r="AT28">
        <f t="shared" ref="AT28:AZ28" si="54">AM28/AM56-1</f>
        <v>-9.9655990899345959E-2</v>
      </c>
      <c r="AU28">
        <f t="shared" si="54"/>
        <v>-0.52823041738136067</v>
      </c>
      <c r="AV28" s="6">
        <f t="shared" si="54"/>
        <v>-0.17181069958847739</v>
      </c>
      <c r="AW28" s="6">
        <f t="shared" si="54"/>
        <v>-2.3774286581663584E-2</v>
      </c>
      <c r="AX28" s="6">
        <f t="shared" si="54"/>
        <v>-1.7615270702982522E-2</v>
      </c>
      <c r="AY28" s="6">
        <f t="shared" si="54"/>
        <v>-9.4555596345243909E-2</v>
      </c>
      <c r="AZ28" s="6">
        <f t="shared" si="54"/>
        <v>-7.8319952812498261E-2</v>
      </c>
    </row>
    <row r="29" spans="1:52">
      <c r="A29" s="6" t="s">
        <v>261</v>
      </c>
      <c r="B29" s="6" t="s">
        <v>240</v>
      </c>
      <c r="C29">
        <v>309</v>
      </c>
      <c r="D29">
        <v>15.95</v>
      </c>
      <c r="E29">
        <v>5.59</v>
      </c>
      <c r="F29">
        <v>1.27</v>
      </c>
      <c r="G29" s="6">
        <v>0.49</v>
      </c>
      <c r="H29" s="6">
        <v>1.49</v>
      </c>
      <c r="I29" s="6">
        <v>1.54</v>
      </c>
      <c r="J29" s="3">
        <f t="shared" si="1"/>
        <v>4.2205865045115729</v>
      </c>
      <c r="K29" s="3">
        <f t="shared" si="2"/>
        <v>3.3709706632526473</v>
      </c>
      <c r="L29" s="3">
        <f t="shared" si="3"/>
        <v>2.118992625399545</v>
      </c>
      <c r="M29" s="6">
        <f t="shared" si="4"/>
        <v>0.35019847567825901</v>
      </c>
      <c r="N29" s="6">
        <f t="shared" si="5"/>
        <v>0.61843383227176218</v>
      </c>
      <c r="O29" s="6">
        <f t="shared" si="6"/>
        <v>0.57123060041401186</v>
      </c>
      <c r="P29" s="6">
        <f t="shared" si="7"/>
        <v>73.268354637015449</v>
      </c>
      <c r="Q29" s="6">
        <f t="shared" si="8"/>
        <v>82.080391207525977</v>
      </c>
      <c r="R29" s="6">
        <v>129500</v>
      </c>
      <c r="S29" s="6">
        <v>3649</v>
      </c>
      <c r="T29" s="6">
        <v>15560</v>
      </c>
      <c r="U29" s="6">
        <v>1884</v>
      </c>
      <c r="V29" s="6">
        <f t="shared" si="9"/>
        <v>129.5</v>
      </c>
      <c r="W29" s="6">
        <f t="shared" si="10"/>
        <v>3.649</v>
      </c>
      <c r="X29" s="6">
        <f t="shared" si="11"/>
        <v>15.56</v>
      </c>
      <c r="Y29" s="6">
        <f t="shared" si="12"/>
        <v>1.8839999999999999</v>
      </c>
      <c r="Z29" s="6">
        <f t="shared" si="13"/>
        <v>1.295E-2</v>
      </c>
      <c r="AA29" s="6">
        <f t="shared" si="43"/>
        <v>3.6489999999999998E-4</v>
      </c>
      <c r="AB29" s="6">
        <f t="shared" si="44"/>
        <v>1.884E-4</v>
      </c>
      <c r="AC29">
        <f>(J29/J56-1)*100</f>
        <v>-5.7885410513880746</v>
      </c>
      <c r="AD29">
        <f>(K29/K56-1)*100</f>
        <v>-4.1166380789022234</v>
      </c>
      <c r="AE29">
        <f>(L29/L56-1)*100</f>
        <v>-21.118012422360245</v>
      </c>
      <c r="AF29">
        <f t="shared" si="16"/>
        <v>6.7485870145938094</v>
      </c>
      <c r="AG29">
        <f t="shared" si="17"/>
        <v>2.1595478446700192E-2</v>
      </c>
      <c r="AH29">
        <f t="shared" si="18"/>
        <v>2.9693782864212762E-4</v>
      </c>
      <c r="AI29">
        <f>J56*(100-AG29)/100</f>
        <v>4.4789403494582416</v>
      </c>
      <c r="AJ29">
        <f>L56*(100-AH29)/100</f>
        <v>2.6862740130923264</v>
      </c>
      <c r="AK29">
        <f t="shared" si="19"/>
        <v>1.6673430661313187</v>
      </c>
      <c r="AL29">
        <f>AK29/AM56-1</f>
        <v>-2.1298603861674703E-4</v>
      </c>
      <c r="AM29">
        <f t="shared" si="20"/>
        <v>1.9917891425958896</v>
      </c>
      <c r="AN29">
        <f t="shared" si="41"/>
        <v>1.5908364299366244</v>
      </c>
      <c r="AO29" s="6">
        <f t="shared" si="22"/>
        <v>0.16526649101113677</v>
      </c>
      <c r="AP29" s="6">
        <f t="shared" si="23"/>
        <v>6.1113945583261397E-3</v>
      </c>
      <c r="AQ29" s="6">
        <f t="shared" si="24"/>
        <v>1.7220446906047942E-4</v>
      </c>
      <c r="AR29" s="6">
        <f t="shared" si="25"/>
        <v>8.8910172570551722E-5</v>
      </c>
      <c r="AS29" s="6">
        <f t="shared" si="26"/>
        <v>0.51630583721567558</v>
      </c>
      <c r="AT29">
        <f t="shared" ref="AT29:AZ29" si="55">AM29/AM56-1</f>
        <v>0.19433424336429272</v>
      </c>
      <c r="AU29">
        <f t="shared" si="55"/>
        <v>0.21552923380289291</v>
      </c>
      <c r="AV29" s="6">
        <f t="shared" si="55"/>
        <v>1.3006707494896466</v>
      </c>
      <c r="AW29" s="6">
        <f t="shared" si="55"/>
        <v>-3.8821479282302951E-2</v>
      </c>
      <c r="AX29" s="6">
        <f t="shared" si="55"/>
        <v>-3.1631225079490233E-2</v>
      </c>
      <c r="AY29" s="6">
        <f t="shared" si="55"/>
        <v>-0.12320926844496871</v>
      </c>
      <c r="AZ29" s="6">
        <f t="shared" si="55"/>
        <v>-9.4569388994389825E-2</v>
      </c>
    </row>
    <row r="30" spans="1:52">
      <c r="A30" s="6" t="s">
        <v>262</v>
      </c>
      <c r="B30" s="6" t="s">
        <v>240</v>
      </c>
      <c r="C30">
        <v>317</v>
      </c>
      <c r="D30">
        <v>14.58</v>
      </c>
      <c r="E30">
        <v>4.67</v>
      </c>
      <c r="F30">
        <v>1.23</v>
      </c>
      <c r="G30" s="6">
        <v>1.69</v>
      </c>
      <c r="H30" s="6">
        <v>0.8</v>
      </c>
      <c r="I30" s="6">
        <v>2.35</v>
      </c>
      <c r="J30">
        <f t="shared" si="1"/>
        <v>3.8580659081992943</v>
      </c>
      <c r="K30" s="3">
        <f t="shared" si="2"/>
        <v>2.8161776381734995</v>
      </c>
      <c r="L30" s="3">
        <f t="shared" si="3"/>
        <v>2.0522527001901101</v>
      </c>
      <c r="M30" s="6">
        <f t="shared" si="4"/>
        <v>1.2078273957066483</v>
      </c>
      <c r="N30" s="6">
        <f t="shared" si="5"/>
        <v>0.33204501061571129</v>
      </c>
      <c r="O30" s="6">
        <f t="shared" si="6"/>
        <v>0.87168305907332966</v>
      </c>
      <c r="P30" s="6">
        <f t="shared" si="7"/>
        <v>61.535867611525163</v>
      </c>
      <c r="Q30" s="6">
        <f t="shared" si="8"/>
        <v>64.977116458733832</v>
      </c>
      <c r="R30" s="6">
        <v>129300</v>
      </c>
      <c r="S30" s="6">
        <v>3620</v>
      </c>
      <c r="T30" s="6">
        <v>8224</v>
      </c>
      <c r="U30" s="6">
        <v>1814</v>
      </c>
      <c r="V30" s="6">
        <f t="shared" si="9"/>
        <v>129.30000000000001</v>
      </c>
      <c r="W30" s="6">
        <f t="shared" si="10"/>
        <v>3.62</v>
      </c>
      <c r="X30" s="6">
        <f t="shared" si="11"/>
        <v>8.2240000000000002</v>
      </c>
      <c r="Y30" s="6">
        <f t="shared" si="12"/>
        <v>1.8140000000000001</v>
      </c>
      <c r="Z30" s="6">
        <f t="shared" si="13"/>
        <v>1.2930000000000001E-2</v>
      </c>
      <c r="AA30" s="6">
        <f t="shared" si="43"/>
        <v>3.6200000000000002E-4</v>
      </c>
      <c r="AB30" s="6">
        <f t="shared" si="44"/>
        <v>1.8139999999999999E-4</v>
      </c>
      <c r="AC30">
        <f>(J30/J56-1)*100</f>
        <v>-13.880685174246899</v>
      </c>
      <c r="AD30">
        <f>(K30/K56-1)*100</f>
        <v>-19.897084048027448</v>
      </c>
      <c r="AE30">
        <f>(L30/L56-1)*100</f>
        <v>-23.602484472049699</v>
      </c>
      <c r="AF30">
        <f t="shared" si="16"/>
        <v>32.618170570536805</v>
      </c>
      <c r="AG30">
        <f t="shared" si="17"/>
        <v>0.10437814582571778</v>
      </c>
      <c r="AH30">
        <f t="shared" si="18"/>
        <v>1.4351995051036194E-3</v>
      </c>
      <c r="AI30">
        <f>J56*(100-AG30)/100</f>
        <v>4.4752317622795008</v>
      </c>
      <c r="AJ30">
        <f>L56*(100-AH30)/100</f>
        <v>2.6862434361739163</v>
      </c>
      <c r="AK30">
        <f t="shared" si="19"/>
        <v>1.6659814602110989</v>
      </c>
      <c r="AL30">
        <f>AK30/AM56-1</f>
        <v>-1.0294442377846158E-3</v>
      </c>
      <c r="AM30" s="3">
        <f t="shared" si="20"/>
        <v>1.8799175695283057</v>
      </c>
      <c r="AN30" s="3">
        <f t="shared" si="41"/>
        <v>1.3722372678143502</v>
      </c>
      <c r="AO30" s="6">
        <f t="shared" si="22"/>
        <v>0.58853736462120942</v>
      </c>
      <c r="AP30" s="6">
        <f t="shared" si="23"/>
        <v>6.300393708241793E-3</v>
      </c>
      <c r="AQ30" s="6">
        <f t="shared" si="24"/>
        <v>1.763915330536372E-4</v>
      </c>
      <c r="AR30" s="6">
        <f t="shared" si="25"/>
        <v>8.839067429814858E-5</v>
      </c>
      <c r="AS30" s="6">
        <f t="shared" si="26"/>
        <v>0.50110497237569052</v>
      </c>
      <c r="AT30">
        <f t="shared" ref="AT30:AZ30" si="56">AM30/AM56-1</f>
        <v>0.12725282007693095</v>
      </c>
      <c r="AU30">
        <f t="shared" si="56"/>
        <v>4.8501582785982267E-2</v>
      </c>
      <c r="AV30" s="6">
        <f t="shared" si="56"/>
        <v>7.1930141523637463</v>
      </c>
      <c r="AW30" s="6">
        <f t="shared" si="56"/>
        <v>-9.0963614554177008E-3</v>
      </c>
      <c r="AX30" s="6">
        <f t="shared" si="56"/>
        <v>-8.08583132932017E-3</v>
      </c>
      <c r="AY30" s="6">
        <f t="shared" si="56"/>
        <v>-0.12833231856547633</v>
      </c>
      <c r="AZ30" s="6">
        <f t="shared" si="56"/>
        <v>-0.12122670593293927</v>
      </c>
    </row>
    <row r="31" spans="1:52">
      <c r="A31" s="6" t="s">
        <v>263</v>
      </c>
      <c r="B31" s="6" t="s">
        <v>240</v>
      </c>
      <c r="C31">
        <v>324</v>
      </c>
      <c r="D31">
        <v>13.62</v>
      </c>
      <c r="E31">
        <v>3.63</v>
      </c>
      <c r="F31">
        <v>1.22</v>
      </c>
      <c r="G31" s="6">
        <v>2.39</v>
      </c>
      <c r="H31" s="6">
        <v>0.38</v>
      </c>
      <c r="I31" s="6">
        <v>3.33</v>
      </c>
      <c r="J31" s="3">
        <f t="shared" si="1"/>
        <v>3.6040368772067479</v>
      </c>
      <c r="K31" s="3">
        <f t="shared" si="2"/>
        <v>2.1890203054753323</v>
      </c>
      <c r="L31" s="3">
        <f t="shared" si="3"/>
        <v>2.0355677188877515</v>
      </c>
      <c r="M31" s="6">
        <f t="shared" si="4"/>
        <v>1.7081109323898755</v>
      </c>
      <c r="N31" s="6">
        <f t="shared" si="5"/>
        <v>0.15772138004246286</v>
      </c>
      <c r="O31" s="6">
        <f t="shared" si="6"/>
        <v>1.2351934411549736</v>
      </c>
      <c r="P31" s="6">
        <f t="shared" si="7"/>
        <v>53.750980052813212</v>
      </c>
      <c r="Q31" s="6">
        <f t="shared" si="8"/>
        <v>55.045807743609288</v>
      </c>
      <c r="R31" s="6">
        <v>126100</v>
      </c>
      <c r="S31" s="6">
        <v>3516</v>
      </c>
      <c r="T31" s="6">
        <v>6226</v>
      </c>
      <c r="U31" s="6">
        <v>1756</v>
      </c>
      <c r="V31" s="6">
        <f t="shared" si="9"/>
        <v>126.1</v>
      </c>
      <c r="W31" s="6">
        <f t="shared" si="10"/>
        <v>3.516</v>
      </c>
      <c r="X31" s="6">
        <f t="shared" si="11"/>
        <v>6.226</v>
      </c>
      <c r="Y31" s="6">
        <f t="shared" si="12"/>
        <v>1.756</v>
      </c>
      <c r="Z31" s="6">
        <f t="shared" si="13"/>
        <v>1.261E-2</v>
      </c>
      <c r="AA31" s="6">
        <f t="shared" si="43"/>
        <v>3.5159999999999998E-4</v>
      </c>
      <c r="AB31" s="6">
        <f t="shared" si="44"/>
        <v>1.7560000000000001E-4</v>
      </c>
      <c r="AC31">
        <f>(J31/J56-1)*100</f>
        <v>-19.551092734790309</v>
      </c>
      <c r="AD31">
        <f>(K31/K56-1)*100</f>
        <v>-37.73584905660379</v>
      </c>
      <c r="AE31">
        <f>(L31/L56-1)*100</f>
        <v>-24.22360248447206</v>
      </c>
      <c r="AF31">
        <f t="shared" si="16"/>
        <v>61.862047633776704</v>
      </c>
      <c r="AG31">
        <f t="shared" si="17"/>
        <v>0.19795855242808547</v>
      </c>
      <c r="AH31">
        <f t="shared" si="18"/>
        <v>2.7219300958861749E-3</v>
      </c>
      <c r="AI31">
        <f>J56*(100-AG31)/100</f>
        <v>4.4710394463383141</v>
      </c>
      <c r="AJ31">
        <f>L56*(100-AH31)/100</f>
        <v>2.6862088709618002</v>
      </c>
      <c r="AK31">
        <f t="shared" si="19"/>
        <v>1.6644422161920169</v>
      </c>
      <c r="AL31">
        <f>AK31/AM56-1</f>
        <v>-1.9524193668122303E-3</v>
      </c>
      <c r="AM31" s="3">
        <f t="shared" si="20"/>
        <v>1.7705315543007427</v>
      </c>
      <c r="AN31" s="3">
        <f t="shared" si="41"/>
        <v>1.0753856455689073</v>
      </c>
      <c r="AO31" s="6">
        <f t="shared" si="22"/>
        <v>0.83913245260305036</v>
      </c>
      <c r="AP31" s="6">
        <f t="shared" si="23"/>
        <v>6.1948319788104091E-3</v>
      </c>
      <c r="AQ31" s="6">
        <f t="shared" si="24"/>
        <v>1.7272822551544329E-4</v>
      </c>
      <c r="AR31" s="6">
        <f t="shared" si="25"/>
        <v>8.6265860069715142E-5</v>
      </c>
      <c r="AS31" s="6">
        <f t="shared" si="26"/>
        <v>0.49943117178612068</v>
      </c>
      <c r="AT31">
        <f t="shared" ref="AT31:AZ31" si="57">AM31/AM56-1</f>
        <v>6.1661808991701594E-2</v>
      </c>
      <c r="AU31">
        <f t="shared" si="57"/>
        <v>-0.17831735230436119</v>
      </c>
      <c r="AV31" s="6">
        <f t="shared" si="57"/>
        <v>10.68154219793564</v>
      </c>
      <c r="AW31" s="6">
        <f t="shared" si="57"/>
        <v>-2.5698736898683072E-2</v>
      </c>
      <c r="AX31" s="6">
        <f t="shared" si="57"/>
        <v>-2.868595078192282E-2</v>
      </c>
      <c r="AY31" s="6">
        <f t="shared" si="57"/>
        <v>-0.14928624732192275</v>
      </c>
      <c r="AZ31" s="6">
        <f t="shared" si="57"/>
        <v>-0.12416200160708579</v>
      </c>
    </row>
    <row r="32" spans="1:52">
      <c r="A32" s="6" t="s">
        <v>264</v>
      </c>
      <c r="B32" s="6" t="s">
        <v>240</v>
      </c>
      <c r="C32">
        <v>335.5</v>
      </c>
      <c r="D32">
        <v>13.42</v>
      </c>
      <c r="E32">
        <v>3.43</v>
      </c>
      <c r="F32">
        <v>1.21</v>
      </c>
      <c r="G32" s="6">
        <v>2.4500000000000002</v>
      </c>
      <c r="H32" s="6">
        <v>0.36</v>
      </c>
      <c r="I32" s="6">
        <v>3.38</v>
      </c>
      <c r="J32" s="3">
        <f t="shared" si="1"/>
        <v>3.551114162416634</v>
      </c>
      <c r="K32" s="3">
        <f t="shared" si="2"/>
        <v>2.0684131261103005</v>
      </c>
      <c r="L32" s="3">
        <f t="shared" si="3"/>
        <v>2.0188827375853928</v>
      </c>
      <c r="M32" s="6">
        <f t="shared" si="4"/>
        <v>1.7509923783912953</v>
      </c>
      <c r="N32" s="6">
        <f t="shared" si="5"/>
        <v>0.14942025477707005</v>
      </c>
      <c r="O32" s="6">
        <f t="shared" si="6"/>
        <v>1.2537398892203635</v>
      </c>
      <c r="P32" s="6">
        <f t="shared" si="7"/>
        <v>52.960073466782845</v>
      </c>
      <c r="Q32" s="6">
        <f t="shared" si="8"/>
        <v>54.16713463804107</v>
      </c>
      <c r="R32" s="6">
        <v>121500</v>
      </c>
      <c r="S32" s="6">
        <v>3413</v>
      </c>
      <c r="T32" s="6">
        <v>5983</v>
      </c>
      <c r="U32" s="6">
        <v>1812</v>
      </c>
      <c r="V32" s="6">
        <f t="shared" si="9"/>
        <v>121.5</v>
      </c>
      <c r="W32" s="6">
        <f t="shared" si="10"/>
        <v>3.4129999999999998</v>
      </c>
      <c r="X32" s="6">
        <f t="shared" si="11"/>
        <v>5.9829999999999997</v>
      </c>
      <c r="Y32" s="6">
        <f t="shared" si="12"/>
        <v>1.8120000000000001</v>
      </c>
      <c r="Z32" s="6">
        <f t="shared" si="13"/>
        <v>1.2149999999999999E-2</v>
      </c>
      <c r="AA32" s="6">
        <f t="shared" si="43"/>
        <v>3.413E-4</v>
      </c>
      <c r="AB32" s="6">
        <f t="shared" si="44"/>
        <v>1.8120000000000001E-4</v>
      </c>
      <c r="AC32">
        <f>(J32/J56-1)*100</f>
        <v>-20.732427643236861</v>
      </c>
      <c r="AD32">
        <f>(K32/K56-1)*100</f>
        <v>-41.166380789022305</v>
      </c>
      <c r="AE32">
        <f>(L32/L56-1)*100</f>
        <v>-24.844720496894425</v>
      </c>
      <c r="AF32">
        <f t="shared" si="16"/>
        <v>67.485870145938208</v>
      </c>
      <c r="AG32">
        <f t="shared" si="17"/>
        <v>0.21595478446700228</v>
      </c>
      <c r="AH32">
        <f t="shared" si="18"/>
        <v>2.9693782864212812E-3</v>
      </c>
      <c r="AI32">
        <f>J56*(100-AG32)/100</f>
        <v>4.4702332317342401</v>
      </c>
      <c r="AJ32">
        <f>L56*(100-AH32)/100</f>
        <v>2.6862022238056245</v>
      </c>
      <c r="AK32">
        <f t="shared" si="19"/>
        <v>1.6641462031853747</v>
      </c>
      <c r="AL32">
        <f>AK32/AM56-1</f>
        <v>-2.1299173071079869E-3</v>
      </c>
      <c r="AM32" s="3">
        <f t="shared" si="20"/>
        <v>1.7589501838347519</v>
      </c>
      <c r="AN32" s="3">
        <f t="shared" si="41"/>
        <v>1.0245335638384558</v>
      </c>
      <c r="AO32" s="6">
        <f t="shared" si="22"/>
        <v>0.86730761811629653</v>
      </c>
      <c r="AP32" s="6">
        <f t="shared" si="23"/>
        <v>6.0181801418201933E-3</v>
      </c>
      <c r="AQ32" s="6">
        <f t="shared" si="24"/>
        <v>1.6905389978627425E-4</v>
      </c>
      <c r="AR32" s="6">
        <f t="shared" si="25"/>
        <v>8.9752612485417219E-5</v>
      </c>
      <c r="AS32" s="6">
        <f t="shared" si="26"/>
        <v>0.53091122179900385</v>
      </c>
      <c r="AT32">
        <f t="shared" ref="AT32:AZ32" si="58">AM32/AM56-1</f>
        <v>5.4717285077592326E-2</v>
      </c>
      <c r="AU32">
        <f t="shared" si="58"/>
        <v>-0.21717250471343708</v>
      </c>
      <c r="AV32" s="6">
        <f t="shared" si="58"/>
        <v>11.073767982858893</v>
      </c>
      <c r="AW32" s="6">
        <f t="shared" si="58"/>
        <v>-5.3481913019916005E-2</v>
      </c>
      <c r="AX32" s="6">
        <f t="shared" si="58"/>
        <v>-4.9348029556223971E-2</v>
      </c>
      <c r="AY32" s="6">
        <f t="shared" si="58"/>
        <v>-0.11490151818545868</v>
      </c>
      <c r="AZ32" s="6">
        <f t="shared" si="58"/>
        <v>-6.8956348555858527E-2</v>
      </c>
    </row>
    <row r="33" spans="1:52">
      <c r="A33" s="6" t="s">
        <v>265</v>
      </c>
      <c r="B33" s="6" t="s">
        <v>240</v>
      </c>
      <c r="C33">
        <v>342</v>
      </c>
      <c r="D33">
        <v>13.17</v>
      </c>
      <c r="E33">
        <v>3.44</v>
      </c>
      <c r="F33">
        <v>1.22</v>
      </c>
      <c r="G33" s="6">
        <v>2.78</v>
      </c>
      <c r="H33" s="6">
        <v>0.28999999999999998</v>
      </c>
      <c r="I33" s="6">
        <v>3.26</v>
      </c>
      <c r="J33" s="3">
        <f t="shared" si="1"/>
        <v>3.4849607689289916</v>
      </c>
      <c r="K33" s="3">
        <f t="shared" si="2"/>
        <v>2.074443485078552</v>
      </c>
      <c r="L33" s="3">
        <f t="shared" si="3"/>
        <v>2.0355677188877515</v>
      </c>
      <c r="M33" s="6">
        <f t="shared" si="4"/>
        <v>1.9868403313991019</v>
      </c>
      <c r="N33" s="6">
        <f t="shared" si="5"/>
        <v>0.12036631634819532</v>
      </c>
      <c r="O33" s="6">
        <f t="shared" si="6"/>
        <v>1.2092284138634275</v>
      </c>
      <c r="P33" s="6">
        <f t="shared" si="7"/>
        <v>51.238905303537472</v>
      </c>
      <c r="Q33" s="6">
        <f t="shared" si="8"/>
        <v>52.162032236594754</v>
      </c>
      <c r="R33" s="6">
        <v>121500</v>
      </c>
      <c r="S33" s="6">
        <v>3435</v>
      </c>
      <c r="T33" s="6">
        <v>7571</v>
      </c>
      <c r="U33" s="6">
        <v>1708</v>
      </c>
      <c r="V33" s="6">
        <f t="shared" si="9"/>
        <v>121.5</v>
      </c>
      <c r="W33" s="6">
        <f t="shared" si="10"/>
        <v>3.4350000000000001</v>
      </c>
      <c r="X33" s="6">
        <f t="shared" si="11"/>
        <v>7.5709999999999997</v>
      </c>
      <c r="Y33" s="6">
        <f t="shared" si="12"/>
        <v>1.708</v>
      </c>
      <c r="Z33" s="6">
        <f t="shared" si="13"/>
        <v>1.2149999999999999E-2</v>
      </c>
      <c r="AA33" s="6">
        <f t="shared" si="43"/>
        <v>3.435E-4</v>
      </c>
      <c r="AB33" s="6">
        <f t="shared" si="44"/>
        <v>1.708E-4</v>
      </c>
      <c r="AC33">
        <f>(J33/J56-1)*100</f>
        <v>-22.209096278795048</v>
      </c>
      <c r="AD33">
        <f>(K33/K56-1)*100</f>
        <v>-40.994854202401378</v>
      </c>
      <c r="AE33">
        <f>(L33/L56-1)*100</f>
        <v>-24.22360248447206</v>
      </c>
      <c r="AF33">
        <f t="shared" si="16"/>
        <v>67.204679020330133</v>
      </c>
      <c r="AG33">
        <f t="shared" si="17"/>
        <v>0.21505497286505643</v>
      </c>
      <c r="AH33">
        <f t="shared" si="18"/>
        <v>2.9570058768945257E-3</v>
      </c>
      <c r="AI33">
        <f>J56*(100-AG33)/100</f>
        <v>4.4702735424644438</v>
      </c>
      <c r="AJ33">
        <f>L56*(100-AH33)/100</f>
        <v>2.6862025561634328</v>
      </c>
      <c r="AK33">
        <f t="shared" si="19"/>
        <v>1.6641610038705008</v>
      </c>
      <c r="AL33">
        <f>AK33/AM56-1</f>
        <v>-2.1210423892296104E-3</v>
      </c>
      <c r="AM33">
        <f t="shared" si="20"/>
        <v>1.7120338157225241</v>
      </c>
      <c r="AN33">
        <f t="shared" si="41"/>
        <v>1.0190982426327937</v>
      </c>
      <c r="AO33" s="6">
        <f t="shared" si="22"/>
        <v>0.97606201599852715</v>
      </c>
      <c r="AP33" s="6">
        <f t="shared" si="23"/>
        <v>5.9688507963954378E-3</v>
      </c>
      <c r="AQ33" s="6">
        <f t="shared" si="24"/>
        <v>1.6874899165117966E-4</v>
      </c>
      <c r="AR33" s="6">
        <f t="shared" si="25"/>
        <v>8.3907795557558912E-5</v>
      </c>
      <c r="AS33" s="6">
        <f t="shared" si="26"/>
        <v>0.49723435225618634</v>
      </c>
      <c r="AT33">
        <f t="shared" ref="AT33:AZ33" si="59">AM33/AM56-1</f>
        <v>2.6584876976557315E-2</v>
      </c>
      <c r="AU33">
        <f t="shared" si="59"/>
        <v>-0.2213255349661164</v>
      </c>
      <c r="AV33" s="6">
        <f t="shared" si="59"/>
        <v>12.587735276259865</v>
      </c>
      <c r="AW33" s="6">
        <f t="shared" si="59"/>
        <v>-6.1240257995162528E-2</v>
      </c>
      <c r="AX33" s="6">
        <f t="shared" si="59"/>
        <v>-5.1062639629096962E-2</v>
      </c>
      <c r="AY33" s="6">
        <f t="shared" si="59"/>
        <v>-0.17254038179148301</v>
      </c>
      <c r="AZ33" s="6">
        <f t="shared" si="59"/>
        <v>-0.128014500467033</v>
      </c>
    </row>
    <row r="34" spans="1:52">
      <c r="A34" s="6" t="s">
        <v>266</v>
      </c>
      <c r="B34" s="6" t="s">
        <v>240</v>
      </c>
      <c r="C34">
        <v>352</v>
      </c>
      <c r="D34">
        <v>13.05</v>
      </c>
      <c r="E34">
        <v>3.37</v>
      </c>
      <c r="F34">
        <v>1.2</v>
      </c>
      <c r="G34" s="6">
        <v>2.71</v>
      </c>
      <c r="H34" s="6">
        <v>0.34</v>
      </c>
      <c r="I34" s="6">
        <v>3.15</v>
      </c>
      <c r="J34">
        <f t="shared" si="1"/>
        <v>3.4532071400549236</v>
      </c>
      <c r="K34" s="3">
        <f t="shared" si="2"/>
        <v>2.0322309723007908</v>
      </c>
      <c r="L34" s="3">
        <f t="shared" si="3"/>
        <v>2.0021977562830342</v>
      </c>
      <c r="M34" s="6">
        <f t="shared" si="4"/>
        <v>1.9368119777307795</v>
      </c>
      <c r="N34" s="6">
        <f t="shared" si="5"/>
        <v>0.14111912951167729</v>
      </c>
      <c r="O34" s="6">
        <f t="shared" si="6"/>
        <v>1.1684262281195696</v>
      </c>
      <c r="P34" s="6">
        <f t="shared" si="7"/>
        <v>51.543755608680982</v>
      </c>
      <c r="Q34" s="6">
        <f t="shared" si="8"/>
        <v>52.65283093669315</v>
      </c>
      <c r="R34" s="6">
        <v>123400</v>
      </c>
      <c r="S34" s="6">
        <v>3462</v>
      </c>
      <c r="T34" s="6">
        <v>10710</v>
      </c>
      <c r="U34" s="6">
        <v>1883</v>
      </c>
      <c r="V34" s="6">
        <f t="shared" si="9"/>
        <v>123.4</v>
      </c>
      <c r="W34" s="6">
        <f t="shared" si="10"/>
        <v>3.4620000000000002</v>
      </c>
      <c r="X34" s="6">
        <f t="shared" si="11"/>
        <v>10.71</v>
      </c>
      <c r="Y34" s="6">
        <f t="shared" si="12"/>
        <v>1.883</v>
      </c>
      <c r="Z34" s="6">
        <f t="shared" si="13"/>
        <v>1.234E-2</v>
      </c>
      <c r="AA34" s="6">
        <f t="shared" si="43"/>
        <v>3.4620000000000001E-4</v>
      </c>
      <c r="AB34" s="6">
        <f t="shared" si="44"/>
        <v>1.883E-4</v>
      </c>
      <c r="AC34">
        <f>(J34/J56-1)*100</f>
        <v>-22.917897223862973</v>
      </c>
      <c r="AD34">
        <f>(K34/K56-1)*100</f>
        <v>-42.195540308747859</v>
      </c>
      <c r="AE34">
        <f>(L34/L56-1)*100</f>
        <v>-25.465838509316775</v>
      </c>
      <c r="AF34">
        <f t="shared" si="16"/>
        <v>69.173016899586656</v>
      </c>
      <c r="AG34">
        <f t="shared" si="17"/>
        <v>0.2213536540786773</v>
      </c>
      <c r="AH34">
        <f t="shared" si="18"/>
        <v>3.0436127435818127E-3</v>
      </c>
      <c r="AI34">
        <f>J56*(100-AG34)/100</f>
        <v>4.4699913673530176</v>
      </c>
      <c r="AJ34">
        <f>L56*(100-AH34)/100</f>
        <v>2.6862002296587715</v>
      </c>
      <c r="AK34">
        <f t="shared" si="19"/>
        <v>1.6640573989977068</v>
      </c>
      <c r="AL34">
        <f>AK34/AM56-1</f>
        <v>-2.1831668604957999E-3</v>
      </c>
      <c r="AM34">
        <f t="shared" si="20"/>
        <v>1.7247083257478049</v>
      </c>
      <c r="AN34">
        <f t="shared" si="41"/>
        <v>1.0150001246997258</v>
      </c>
      <c r="AO34" s="6">
        <f t="shared" si="22"/>
        <v>0.96734299679086666</v>
      </c>
      <c r="AP34" s="6">
        <f t="shared" si="23"/>
        <v>6.1632273641683156E-3</v>
      </c>
      <c r="AQ34" s="6">
        <f t="shared" si="24"/>
        <v>1.7290999298825535E-4</v>
      </c>
      <c r="AR34" s="6">
        <f t="shared" si="25"/>
        <v>9.4046654187430613E-5</v>
      </c>
      <c r="AS34" s="6">
        <f t="shared" si="26"/>
        <v>0.54390525707683413</v>
      </c>
      <c r="AT34">
        <f t="shared" ref="AT34:AZ34" si="60">AM34/AM56-1</f>
        <v>3.418487891317179E-2</v>
      </c>
      <c r="AU34">
        <f t="shared" si="60"/>
        <v>-0.22445683247570036</v>
      </c>
      <c r="AV34" s="6">
        <f t="shared" si="60"/>
        <v>12.46635802469136</v>
      </c>
      <c r="AW34" s="6">
        <f t="shared" si="60"/>
        <v>-3.066939890710374E-2</v>
      </c>
      <c r="AX34" s="6">
        <f t="shared" si="60"/>
        <v>-2.7663805735817282E-2</v>
      </c>
      <c r="AY34" s="6">
        <f t="shared" si="60"/>
        <v>-7.2555677924620587E-2</v>
      </c>
      <c r="AZ34" s="6">
        <f t="shared" si="60"/>
        <v>-4.6169084781190639E-2</v>
      </c>
    </row>
    <row r="35" spans="1:52">
      <c r="A35" s="6" t="s">
        <v>267</v>
      </c>
      <c r="B35" s="6" t="s">
        <v>240</v>
      </c>
      <c r="C35">
        <v>379</v>
      </c>
      <c r="D35">
        <v>12.84</v>
      </c>
      <c r="E35">
        <v>3.57</v>
      </c>
      <c r="F35">
        <v>1.17</v>
      </c>
      <c r="G35" s="6">
        <v>2.34</v>
      </c>
      <c r="H35" s="6">
        <v>0.4</v>
      </c>
      <c r="I35" s="6">
        <v>2.92</v>
      </c>
      <c r="J35" s="3">
        <f t="shared" si="1"/>
        <v>3.3976382895253043</v>
      </c>
      <c r="K35" s="3">
        <f t="shared" si="2"/>
        <v>2.152838151665823</v>
      </c>
      <c r="L35" s="3">
        <f t="shared" si="3"/>
        <v>1.9521428123759583</v>
      </c>
      <c r="M35" s="6">
        <f t="shared" si="4"/>
        <v>1.6723763940553593</v>
      </c>
      <c r="N35" s="6">
        <f t="shared" si="5"/>
        <v>0.16602250530785564</v>
      </c>
      <c r="O35" s="6">
        <f t="shared" si="6"/>
        <v>1.0831125670187756</v>
      </c>
      <c r="P35" s="6">
        <f t="shared" si="7"/>
        <v>53.767332960405142</v>
      </c>
      <c r="Q35" s="6">
        <f t="shared" si="8"/>
        <v>55.218072878214983</v>
      </c>
      <c r="R35" s="6">
        <v>117500</v>
      </c>
      <c r="S35" s="6">
        <v>3310</v>
      </c>
      <c r="T35" s="6">
        <v>8601</v>
      </c>
      <c r="U35" s="6">
        <v>1816</v>
      </c>
      <c r="V35" s="6">
        <f t="shared" si="9"/>
        <v>117.5</v>
      </c>
      <c r="W35" s="6">
        <f t="shared" si="10"/>
        <v>3.31</v>
      </c>
      <c r="X35" s="6">
        <f t="shared" si="11"/>
        <v>8.6010000000000009</v>
      </c>
      <c r="Y35" s="6">
        <f t="shared" si="12"/>
        <v>1.8160000000000001</v>
      </c>
      <c r="Z35" s="6">
        <f t="shared" si="13"/>
        <v>1.175E-2</v>
      </c>
      <c r="AA35" s="6">
        <f t="shared" si="43"/>
        <v>3.3100000000000002E-4</v>
      </c>
      <c r="AB35" s="6">
        <f t="shared" si="44"/>
        <v>1.816E-4</v>
      </c>
      <c r="AC35">
        <f>(J35/J56-1)*100</f>
        <v>-24.158298877731831</v>
      </c>
      <c r="AD35">
        <f>(K35/K56-1)*100</f>
        <v>-38.765008576329329</v>
      </c>
      <c r="AE35">
        <f>(L35/L56-1)*100</f>
        <v>-27.329192546583858</v>
      </c>
      <c r="AF35">
        <f t="shared" si="16"/>
        <v>63.549194387425132</v>
      </c>
      <c r="AG35">
        <f t="shared" si="17"/>
        <v>0.20335742203976043</v>
      </c>
      <c r="AH35">
        <f t="shared" si="18"/>
        <v>2.7961645530467059E-3</v>
      </c>
      <c r="AI35">
        <f>J56*(100-AG35)/100</f>
        <v>4.4707975819570915</v>
      </c>
      <c r="AJ35">
        <f>L56*(100-AH35)/100</f>
        <v>2.6862068768149476</v>
      </c>
      <c r="AK35">
        <f t="shared" si="19"/>
        <v>1.6643534124438488</v>
      </c>
      <c r="AL35">
        <f>AK35/AM56-1</f>
        <v>-2.0056686566632953E-3</v>
      </c>
      <c r="AM35">
        <f t="shared" si="20"/>
        <v>1.7404660499146727</v>
      </c>
      <c r="AN35">
        <f t="shared" si="41"/>
        <v>1.1028077136659884</v>
      </c>
      <c r="AO35" s="6">
        <f t="shared" si="22"/>
        <v>0.85668752483323973</v>
      </c>
      <c r="AP35" s="6">
        <f t="shared" si="23"/>
        <v>6.0190268486038905E-3</v>
      </c>
      <c r="AQ35" s="6">
        <f t="shared" si="24"/>
        <v>1.6955726696918195E-4</v>
      </c>
      <c r="AR35" s="6">
        <f t="shared" si="25"/>
        <v>9.3025980911188631E-5</v>
      </c>
      <c r="AS35" s="6">
        <f t="shared" si="26"/>
        <v>0.54864048338368576</v>
      </c>
      <c r="AT35">
        <f t="shared" ref="AT35:AZ35" si="61">AM35/AM56-1</f>
        <v>4.3633665015826884E-2</v>
      </c>
      <c r="AU35">
        <f t="shared" si="61"/>
        <v>-0.1573646479306855</v>
      </c>
      <c r="AV35" s="6">
        <f t="shared" si="61"/>
        <v>10.925925925925926</v>
      </c>
      <c r="AW35" s="6">
        <f t="shared" si="61"/>
        <v>-5.3348745971696698E-2</v>
      </c>
      <c r="AX35" s="6">
        <f t="shared" si="61"/>
        <v>-4.6517411600099257E-2</v>
      </c>
      <c r="AY35" s="6">
        <f t="shared" si="61"/>
        <v>-8.2621082621082587E-2</v>
      </c>
      <c r="AZ35" s="6">
        <f t="shared" si="61"/>
        <v>-3.7865055387714119E-2</v>
      </c>
    </row>
    <row r="36" spans="1:52">
      <c r="A36" s="6" t="s">
        <v>268</v>
      </c>
      <c r="B36" s="6" t="s">
        <v>240</v>
      </c>
      <c r="C36">
        <v>395.5</v>
      </c>
      <c r="D36">
        <v>13.94</v>
      </c>
      <c r="E36">
        <v>4.29</v>
      </c>
      <c r="F36">
        <v>1.19</v>
      </c>
      <c r="G36" s="6">
        <v>0.83</v>
      </c>
      <c r="H36" s="6">
        <v>0.66</v>
      </c>
      <c r="I36" s="6">
        <v>2.5</v>
      </c>
      <c r="J36" s="3">
        <f t="shared" si="1"/>
        <v>3.6887132208709299</v>
      </c>
      <c r="K36" s="3">
        <f t="shared" si="2"/>
        <v>2.5870239973799385</v>
      </c>
      <c r="L36" s="3">
        <f t="shared" si="3"/>
        <v>1.9855127749806756</v>
      </c>
      <c r="M36" s="6">
        <f t="shared" si="4"/>
        <v>0.59319333635296934</v>
      </c>
      <c r="N36" s="6">
        <f t="shared" si="5"/>
        <v>0.2739371337579618</v>
      </c>
      <c r="O36" s="6">
        <f t="shared" si="6"/>
        <v>0.92732240326949966</v>
      </c>
      <c r="P36" s="6">
        <f t="shared" si="7"/>
        <v>67.273417537692964</v>
      </c>
      <c r="Q36" s="6">
        <f t="shared" si="8"/>
        <v>70.81111713165221</v>
      </c>
      <c r="R36" s="6">
        <v>124200</v>
      </c>
      <c r="S36" s="6">
        <v>3476</v>
      </c>
      <c r="T36" s="6">
        <v>12120</v>
      </c>
      <c r="U36" s="6">
        <v>1838</v>
      </c>
      <c r="V36" s="6">
        <f t="shared" si="9"/>
        <v>124.2</v>
      </c>
      <c r="W36" s="6">
        <f t="shared" si="10"/>
        <v>3.476</v>
      </c>
      <c r="X36" s="6">
        <f t="shared" si="11"/>
        <v>12.12</v>
      </c>
      <c r="Y36" s="6">
        <f t="shared" si="12"/>
        <v>1.8380000000000001</v>
      </c>
      <c r="Z36" s="6">
        <f t="shared" si="13"/>
        <v>1.242E-2</v>
      </c>
      <c r="AA36" s="6">
        <f t="shared" si="43"/>
        <v>3.4759999999999999E-4</v>
      </c>
      <c r="AB36" s="6">
        <f t="shared" si="44"/>
        <v>1.838E-4</v>
      </c>
      <c r="AC36">
        <f>(J36/J56-1)*100</f>
        <v>-17.660956881275848</v>
      </c>
      <c r="AD36">
        <f>(K36/K56-1)*100</f>
        <v>-26.415094339622648</v>
      </c>
      <c r="AE36">
        <f>(L36/L56-1)*100</f>
        <v>-26.086956521739136</v>
      </c>
      <c r="AF36">
        <f t="shared" si="16"/>
        <v>43.30343334364369</v>
      </c>
      <c r="AG36">
        <f t="shared" si="17"/>
        <v>0.13857098669965981</v>
      </c>
      <c r="AH36">
        <f t="shared" si="18"/>
        <v>1.9053510671203223E-3</v>
      </c>
      <c r="AI36">
        <f>J56*(100-AG36)/100</f>
        <v>4.4736999545317593</v>
      </c>
      <c r="AJ36">
        <f>L56*(100-AH36)/100</f>
        <v>2.6862308065771816</v>
      </c>
      <c r="AK36">
        <f t="shared" si="19"/>
        <v>1.6654190487198628</v>
      </c>
      <c r="AL36">
        <f>AK36/AM56-1</f>
        <v>-1.3666823964230135E-3</v>
      </c>
      <c r="AM36">
        <f t="shared" si="20"/>
        <v>1.8578138944015765</v>
      </c>
      <c r="AN36">
        <f t="shared" si="41"/>
        <v>1.3029500640735576</v>
      </c>
      <c r="AO36" s="6">
        <f t="shared" si="22"/>
        <v>0.29876077546705421</v>
      </c>
      <c r="AP36" s="6">
        <f t="shared" si="23"/>
        <v>6.2553110493690379E-3</v>
      </c>
      <c r="AQ36" s="6">
        <f t="shared" si="24"/>
        <v>1.750681256651109E-4</v>
      </c>
      <c r="AR36" s="6">
        <f t="shared" si="25"/>
        <v>9.2570545158939546E-5</v>
      </c>
      <c r="AS36" s="6">
        <f t="shared" si="26"/>
        <v>0.52876869965477558</v>
      </c>
      <c r="AT36">
        <f t="shared" ref="AT36:AZ36" si="62">AM36/AM56-1</f>
        <v>0.11399881866509176</v>
      </c>
      <c r="AU36">
        <f t="shared" si="62"/>
        <v>-4.4395116537180312E-3</v>
      </c>
      <c r="AV36" s="6">
        <f t="shared" si="62"/>
        <v>3.159041394335512</v>
      </c>
      <c r="AW36" s="6">
        <f t="shared" si="62"/>
        <v>-1.6186802589888361E-2</v>
      </c>
      <c r="AX36" s="6">
        <f t="shared" si="62"/>
        <v>-1.5527835584725813E-2</v>
      </c>
      <c r="AY36" s="6">
        <f t="shared" si="62"/>
        <v>-8.7112377990843815E-2</v>
      </c>
      <c r="AZ36" s="6">
        <f t="shared" si="62"/>
        <v>-7.2713627661210367E-2</v>
      </c>
    </row>
    <row r="37" spans="1:52">
      <c r="A37" s="6" t="s">
        <v>269</v>
      </c>
      <c r="B37" s="6" t="s">
        <v>240</v>
      </c>
      <c r="C37">
        <v>401.5</v>
      </c>
      <c r="D37">
        <v>14.52</v>
      </c>
      <c r="E37">
        <v>4.72</v>
      </c>
      <c r="F37">
        <v>1.19</v>
      </c>
      <c r="G37" s="6">
        <v>1.05</v>
      </c>
      <c r="H37" s="6">
        <v>1.1000000000000001</v>
      </c>
      <c r="I37" s="6">
        <v>1.98</v>
      </c>
      <c r="J37" s="3">
        <f t="shared" si="1"/>
        <v>3.84218909376226</v>
      </c>
      <c r="K37" s="3">
        <f t="shared" si="2"/>
        <v>2.8463294330147573</v>
      </c>
      <c r="L37" s="3">
        <f t="shared" si="3"/>
        <v>1.9855127749806756</v>
      </c>
      <c r="M37" s="6">
        <f t="shared" si="4"/>
        <v>0.75042530502484084</v>
      </c>
      <c r="N37" s="6">
        <f t="shared" si="5"/>
        <v>0.45656188959660304</v>
      </c>
      <c r="O37" s="6">
        <f t="shared" si="6"/>
        <v>0.73443934338944372</v>
      </c>
      <c r="P37" s="6">
        <f t="shared" si="7"/>
        <v>66.432303568975541</v>
      </c>
      <c r="Q37" s="6">
        <f t="shared" si="8"/>
        <v>72.125968306683646</v>
      </c>
      <c r="R37" s="6">
        <v>125400</v>
      </c>
      <c r="S37" s="6">
        <v>3485</v>
      </c>
      <c r="T37" s="6">
        <v>17090</v>
      </c>
      <c r="U37" s="6">
        <v>1904</v>
      </c>
      <c r="V37" s="6">
        <f t="shared" si="9"/>
        <v>125.4</v>
      </c>
      <c r="W37" s="6">
        <f t="shared" si="10"/>
        <v>3.4849999999999999</v>
      </c>
      <c r="X37" s="6">
        <f t="shared" si="11"/>
        <v>17.09</v>
      </c>
      <c r="Y37" s="6">
        <f t="shared" si="12"/>
        <v>1.9039999999999999</v>
      </c>
      <c r="Z37" s="6">
        <f t="shared" si="13"/>
        <v>1.2540000000000001E-2</v>
      </c>
      <c r="AA37" s="6">
        <f t="shared" si="43"/>
        <v>3.4850000000000001E-4</v>
      </c>
      <c r="AB37" s="6">
        <f t="shared" si="44"/>
        <v>1.9039999999999999E-4</v>
      </c>
      <c r="AC37">
        <f>(J37/J56-1)*100</f>
        <v>-14.235085646780854</v>
      </c>
      <c r="AD37">
        <f>(K37/K56-1)*100</f>
        <v>-19.039451114922823</v>
      </c>
      <c r="AE37">
        <f>(L37/L56-1)*100</f>
        <v>-26.086956521739136</v>
      </c>
      <c r="AF37">
        <f t="shared" si="16"/>
        <v>31.212214942496431</v>
      </c>
      <c r="AG37">
        <f t="shared" si="17"/>
        <v>9.9879087815988588E-2</v>
      </c>
      <c r="AH37">
        <f t="shared" si="18"/>
        <v>1.3733374574698429E-3</v>
      </c>
      <c r="AI37">
        <f>J56*(100-AG37)/100</f>
        <v>4.4754333159305189</v>
      </c>
      <c r="AJ37">
        <f>L56*(100-AH37)/100</f>
        <v>2.6862450979629604</v>
      </c>
      <c r="AK37">
        <f t="shared" si="19"/>
        <v>1.6660554613293999</v>
      </c>
      <c r="AL37">
        <f>AK37/AM56-1</f>
        <v>-9.8507103193468115E-4</v>
      </c>
      <c r="AM37">
        <f t="shared" si="20"/>
        <v>1.935111746535932</v>
      </c>
      <c r="AN37">
        <f t="shared" si="41"/>
        <v>1.4335487884445668</v>
      </c>
      <c r="AO37" s="6">
        <f t="shared" si="22"/>
        <v>0.37795037860289993</v>
      </c>
      <c r="AP37" s="6">
        <f t="shared" si="23"/>
        <v>6.3157488372856474E-3</v>
      </c>
      <c r="AQ37" s="6">
        <f t="shared" si="24"/>
        <v>1.7552140907448548E-4</v>
      </c>
      <c r="AR37" s="6">
        <f t="shared" si="25"/>
        <v>9.5894623494353044E-5</v>
      </c>
      <c r="AS37" s="6">
        <f t="shared" si="26"/>
        <v>0.54634146341463408</v>
      </c>
      <c r="AT37">
        <f t="shared" ref="AT37:AZ37" si="63">AM37/AM56-1</f>
        <v>0.1603488412494356</v>
      </c>
      <c r="AU37">
        <f t="shared" si="63"/>
        <v>9.5348602562808971E-2</v>
      </c>
      <c r="AV37" s="6">
        <f t="shared" si="63"/>
        <v>4.2614379084967329</v>
      </c>
      <c r="AW37" s="6">
        <f t="shared" si="63"/>
        <v>-6.6813610690176217E-3</v>
      </c>
      <c r="AX37" s="6">
        <f t="shared" si="63"/>
        <v>-1.2978857023236201E-2</v>
      </c>
      <c r="AY37" s="6">
        <f t="shared" si="63"/>
        <v>-5.4331864904551996E-2</v>
      </c>
      <c r="AZ37" s="6">
        <f t="shared" si="63"/>
        <v>-4.1896780201282291E-2</v>
      </c>
    </row>
    <row r="38" spans="1:52">
      <c r="A38" s="6" t="s">
        <v>270</v>
      </c>
      <c r="B38" s="6" t="s">
        <v>240</v>
      </c>
      <c r="C38">
        <v>409</v>
      </c>
      <c r="D38">
        <v>15.33</v>
      </c>
      <c r="E38">
        <v>4.72</v>
      </c>
      <c r="F38">
        <v>1.21</v>
      </c>
      <c r="G38" s="6">
        <v>1.93</v>
      </c>
      <c r="H38" s="6">
        <v>2.37</v>
      </c>
      <c r="I38" s="6">
        <v>1.28</v>
      </c>
      <c r="J38">
        <f t="shared" si="1"/>
        <v>4.0565260886622205</v>
      </c>
      <c r="K38" s="3">
        <f t="shared" si="2"/>
        <v>2.8463294330147573</v>
      </c>
      <c r="L38" s="3">
        <f t="shared" si="3"/>
        <v>2.0188827375853928</v>
      </c>
      <c r="M38" s="6">
        <f t="shared" si="4"/>
        <v>1.3793531797123264</v>
      </c>
      <c r="N38" s="6">
        <f t="shared" si="5"/>
        <v>0.98368334394904466</v>
      </c>
      <c r="O38" s="6">
        <f t="shared" si="6"/>
        <v>0.47478907047398383</v>
      </c>
      <c r="P38" s="6">
        <f t="shared" si="7"/>
        <v>58.838398087290088</v>
      </c>
      <c r="Q38" s="6">
        <f t="shared" si="8"/>
        <v>68.630582128931977</v>
      </c>
      <c r="R38" s="6">
        <v>123900</v>
      </c>
      <c r="S38" s="6">
        <v>3429</v>
      </c>
      <c r="T38" s="6">
        <v>50900</v>
      </c>
      <c r="U38" s="6">
        <v>1864</v>
      </c>
      <c r="V38" s="6">
        <f t="shared" si="9"/>
        <v>123.9</v>
      </c>
      <c r="W38" s="6">
        <f t="shared" si="10"/>
        <v>3.4289999999999998</v>
      </c>
      <c r="X38" s="6">
        <f t="shared" si="11"/>
        <v>50.9</v>
      </c>
      <c r="Y38" s="6">
        <f t="shared" si="12"/>
        <v>1.8640000000000001</v>
      </c>
      <c r="Z38" s="6">
        <f t="shared" si="13"/>
        <v>1.239E-2</v>
      </c>
      <c r="AA38" s="6">
        <f t="shared" si="43"/>
        <v>3.4289999999999999E-4</v>
      </c>
      <c r="AB38" s="6">
        <f t="shared" si="44"/>
        <v>1.864E-4</v>
      </c>
      <c r="AC38">
        <f>(J38/J56-1)*100</f>
        <v>-9.4506792675723599</v>
      </c>
      <c r="AD38">
        <f>(K38/K56-1)*100</f>
        <v>-19.039451114922823</v>
      </c>
      <c r="AE38">
        <f>(L38/L56-1)*100</f>
        <v>-24.844720496894425</v>
      </c>
      <c r="AF38">
        <f t="shared" si="16"/>
        <v>31.212214942496431</v>
      </c>
      <c r="AG38">
        <f t="shared" si="17"/>
        <v>9.9879087815988588E-2</v>
      </c>
      <c r="AH38">
        <f t="shared" si="18"/>
        <v>1.3733374574698429E-3</v>
      </c>
      <c r="AI38">
        <f>J56*(100-AG38)/100</f>
        <v>4.4754333159305189</v>
      </c>
      <c r="AJ38">
        <f>L56*(100-AH38)/100</f>
        <v>2.6862450979629604</v>
      </c>
      <c r="AK38">
        <f t="shared" si="19"/>
        <v>1.6660554613293999</v>
      </c>
      <c r="AL38">
        <f>AK38/AM56-1</f>
        <v>-9.8507103193468115E-4</v>
      </c>
      <c r="AM38">
        <f t="shared" si="20"/>
        <v>2.0092925721450632</v>
      </c>
      <c r="AN38">
        <f t="shared" si="41"/>
        <v>1.4098537671479623</v>
      </c>
      <c r="AO38" s="6">
        <f t="shared" si="22"/>
        <v>0.68322600120998056</v>
      </c>
      <c r="AP38" s="6">
        <f t="shared" si="23"/>
        <v>6.1370577742512096E-3</v>
      </c>
      <c r="AQ38" s="6">
        <f t="shared" si="24"/>
        <v>1.6984641733581434E-4</v>
      </c>
      <c r="AR38" s="6">
        <f t="shared" si="25"/>
        <v>9.2328294521422564E-5</v>
      </c>
      <c r="AS38" s="6">
        <f t="shared" si="26"/>
        <v>0.54359871682706329</v>
      </c>
      <c r="AT38">
        <f t="shared" ref="AT38:AZ38" si="64">AM38/AM56-1</f>
        <v>0.20482980478684731</v>
      </c>
      <c r="AU38">
        <f t="shared" si="64"/>
        <v>7.7243666983258352E-2</v>
      </c>
      <c r="AV38" s="6">
        <f t="shared" si="64"/>
        <v>8.5111723293541495</v>
      </c>
      <c r="AW38" s="6">
        <f t="shared" si="64"/>
        <v>-3.4785259449938932E-2</v>
      </c>
      <c r="AX38" s="6">
        <f t="shared" si="64"/>
        <v>-4.4891413228330568E-2</v>
      </c>
      <c r="AY38" s="6">
        <f t="shared" si="64"/>
        <v>-8.9501341003142998E-2</v>
      </c>
      <c r="AZ38" s="6">
        <f t="shared" si="64"/>
        <v>-4.6706655549603071E-2</v>
      </c>
    </row>
    <row r="39" spans="1:52">
      <c r="A39" s="6" t="s">
        <v>271</v>
      </c>
      <c r="B39" s="6" t="s">
        <v>240</v>
      </c>
      <c r="C39">
        <v>409</v>
      </c>
      <c r="D39">
        <v>15.98</v>
      </c>
      <c r="E39">
        <v>3.03</v>
      </c>
      <c r="F39">
        <v>1.67</v>
      </c>
      <c r="G39" s="6">
        <v>8.6999999999999993</v>
      </c>
      <c r="H39" s="6">
        <v>5.76</v>
      </c>
      <c r="I39" s="6">
        <v>0.12</v>
      </c>
      <c r="J39" s="3">
        <f t="shared" si="1"/>
        <v>4.2285249117300907</v>
      </c>
      <c r="K39" s="3">
        <f t="shared" si="2"/>
        <v>1.8271987673802363</v>
      </c>
      <c r="L39" s="3">
        <f t="shared" si="3"/>
        <v>2.7863918774938892</v>
      </c>
      <c r="M39" s="6">
        <f t="shared" si="4"/>
        <v>6.2178096702058232</v>
      </c>
      <c r="N39" s="6">
        <f t="shared" si="5"/>
        <v>2.3907240764331208</v>
      </c>
      <c r="O39" s="6">
        <f t="shared" si="6"/>
        <v>4.4511475356935983E-2</v>
      </c>
      <c r="P39" s="6">
        <f t="shared" si="7"/>
        <v>32.826160691848813</v>
      </c>
      <c r="Q39" s="6">
        <f t="shared" si="8"/>
        <v>40.306805462945242</v>
      </c>
      <c r="R39" s="6">
        <v>170400</v>
      </c>
      <c r="S39" s="6">
        <v>4749</v>
      </c>
      <c r="T39" s="6">
        <v>157700</v>
      </c>
      <c r="U39" s="6">
        <v>2586</v>
      </c>
      <c r="V39" s="6">
        <f t="shared" si="9"/>
        <v>170.4</v>
      </c>
      <c r="W39" s="6">
        <f t="shared" si="10"/>
        <v>4.7489999999999997</v>
      </c>
      <c r="X39" s="6">
        <f t="shared" si="11"/>
        <v>157.69999999999999</v>
      </c>
      <c r="Y39" s="6">
        <f t="shared" si="12"/>
        <v>2.5859999999999999</v>
      </c>
      <c r="Z39" s="6">
        <f t="shared" si="13"/>
        <v>1.704E-2</v>
      </c>
      <c r="AA39" s="6">
        <f t="shared" si="43"/>
        <v>4.749E-4</v>
      </c>
      <c r="AB39" s="6">
        <f t="shared" si="44"/>
        <v>2.586E-4</v>
      </c>
      <c r="AC39">
        <f>(J39/J56-1)*100</f>
        <v>-5.6113408151210802</v>
      </c>
      <c r="AD39">
        <f>(K39/K56-1)*100</f>
        <v>-48.02744425385935</v>
      </c>
      <c r="AE39">
        <f>(L39/L56-1)*100</f>
        <v>3.7267080745341463</v>
      </c>
      <c r="AF39">
        <f t="shared" si="16"/>
        <v>78.733515170261228</v>
      </c>
      <c r="AG39">
        <f t="shared" si="17"/>
        <v>0.25194724854483597</v>
      </c>
      <c r="AH39">
        <f t="shared" si="18"/>
        <v>3.4642746674914938E-3</v>
      </c>
      <c r="AI39">
        <f>J56*(100-AG39)/100</f>
        <v>4.4686208025260914</v>
      </c>
      <c r="AJ39">
        <f>L56*(100-AH39)/100</f>
        <v>2.6861889294932717</v>
      </c>
      <c r="AK39">
        <f t="shared" si="19"/>
        <v>1.6635541727770657</v>
      </c>
      <c r="AL39">
        <f>AK39/AM56-1</f>
        <v>-2.4849158230827451E-3</v>
      </c>
      <c r="AM39">
        <f t="shared" si="20"/>
        <v>1.5175628905196463</v>
      </c>
      <c r="AN39">
        <f t="shared" si="41"/>
        <v>0.65575800092542569</v>
      </c>
      <c r="AO39" s="6">
        <f t="shared" si="22"/>
        <v>2.2314914569009541</v>
      </c>
      <c r="AP39" s="6">
        <f t="shared" si="23"/>
        <v>6.1154355701488619E-3</v>
      </c>
      <c r="AQ39" s="6">
        <f t="shared" si="24"/>
        <v>1.7043546668214169E-4</v>
      </c>
      <c r="AR39" s="6">
        <f t="shared" si="25"/>
        <v>9.2808194744160546E-5</v>
      </c>
      <c r="AS39" s="6">
        <f t="shared" si="26"/>
        <v>0.54453569172457361</v>
      </c>
      <c r="AT39">
        <f t="shared" ref="AT39:AZ39" si="65">AM39/AM56-1</f>
        <v>-9.002550127152642E-2</v>
      </c>
      <c r="AU39">
        <f t="shared" si="65"/>
        <v>-0.49894721705816492</v>
      </c>
      <c r="AV39" s="6">
        <f t="shared" si="65"/>
        <v>30.064537591483703</v>
      </c>
      <c r="AW39" s="6">
        <f t="shared" si="65"/>
        <v>-3.8185923235496078E-2</v>
      </c>
      <c r="AX39" s="6">
        <f t="shared" si="65"/>
        <v>-4.1578973098391758E-2</v>
      </c>
      <c r="AY39" s="6">
        <f t="shared" si="65"/>
        <v>-8.476878841436053E-2</v>
      </c>
      <c r="AZ39" s="6">
        <f t="shared" si="65"/>
        <v>-4.5063509776693045E-2</v>
      </c>
    </row>
    <row r="40" spans="1:52">
      <c r="A40" s="6" t="s">
        <v>272</v>
      </c>
      <c r="B40" s="6" t="s">
        <v>240</v>
      </c>
      <c r="C40">
        <v>421</v>
      </c>
      <c r="D40">
        <v>14.91</v>
      </c>
      <c r="E40">
        <v>4.87</v>
      </c>
      <c r="F40">
        <v>1.2</v>
      </c>
      <c r="G40" s="6">
        <v>0.53</v>
      </c>
      <c r="H40" s="6">
        <v>1.5</v>
      </c>
      <c r="I40" s="6">
        <v>1.8</v>
      </c>
      <c r="J40" s="3">
        <f t="shared" si="1"/>
        <v>3.9453883876029816</v>
      </c>
      <c r="K40" s="3">
        <f t="shared" si="2"/>
        <v>2.9367848175385318</v>
      </c>
      <c r="L40" s="3">
        <f t="shared" si="3"/>
        <v>2.0021977562830342</v>
      </c>
      <c r="M40" s="6">
        <f t="shared" si="4"/>
        <v>0.37878610634587201</v>
      </c>
      <c r="N40" s="6">
        <f t="shared" si="5"/>
        <v>0.6225843949044586</v>
      </c>
      <c r="O40" s="6">
        <f t="shared" si="6"/>
        <v>0.66767213035403983</v>
      </c>
      <c r="P40" s="6">
        <f t="shared" si="7"/>
        <v>70.272274681183873</v>
      </c>
      <c r="Q40" s="6">
        <f t="shared" si="8"/>
        <v>79.036650853709901</v>
      </c>
      <c r="R40" s="6">
        <v>125500</v>
      </c>
      <c r="S40" s="6">
        <v>3506</v>
      </c>
      <c r="T40" s="6">
        <v>29060</v>
      </c>
      <c r="U40" s="6">
        <v>1947</v>
      </c>
      <c r="V40" s="6">
        <f t="shared" si="9"/>
        <v>125.5</v>
      </c>
      <c r="W40" s="6">
        <f t="shared" si="10"/>
        <v>3.5059999999999998</v>
      </c>
      <c r="X40" s="6">
        <f t="shared" si="11"/>
        <v>29.06</v>
      </c>
      <c r="Y40" s="6">
        <f t="shared" si="12"/>
        <v>1.9470000000000001</v>
      </c>
      <c r="Z40" s="6">
        <f t="shared" si="13"/>
        <v>1.255E-2</v>
      </c>
      <c r="AA40" s="6">
        <f t="shared" si="43"/>
        <v>3.5060000000000001E-4</v>
      </c>
      <c r="AB40" s="6">
        <f t="shared" si="44"/>
        <v>1.9469999999999999E-4</v>
      </c>
      <c r="AC40">
        <f>(J40/J56-1)*100</f>
        <v>-11.931482575310104</v>
      </c>
      <c r="AD40">
        <f>(K40/K56-1)*100</f>
        <v>-16.466552315608919</v>
      </c>
      <c r="AE40">
        <f>(L40/L56-1)*100</f>
        <v>-25.465838509316775</v>
      </c>
      <c r="AF40">
        <f t="shared" si="16"/>
        <v>26.994348058375277</v>
      </c>
      <c r="AG40">
        <f t="shared" si="17"/>
        <v>8.6381913786800893E-2</v>
      </c>
      <c r="AH40">
        <f t="shared" si="18"/>
        <v>1.1877513145685122E-3</v>
      </c>
      <c r="AI40">
        <f>J56*(100-AG40)/100</f>
        <v>4.4760379768835747</v>
      </c>
      <c r="AJ40">
        <f>L56*(100-AH40)/100</f>
        <v>2.6862500833300924</v>
      </c>
      <c r="AK40">
        <f t="shared" si="19"/>
        <v>1.6662774641349538</v>
      </c>
      <c r="AL40">
        <f>AK40/AM56-1</f>
        <v>-8.5195174379026906E-4</v>
      </c>
      <c r="AM40">
        <f t="shared" si="20"/>
        <v>1.9705288227509403</v>
      </c>
      <c r="AN40">
        <f t="shared" si="41"/>
        <v>1.4667805956343218</v>
      </c>
      <c r="AO40" s="6">
        <f t="shared" si="22"/>
        <v>0.18918516173400712</v>
      </c>
      <c r="AP40" s="6">
        <f t="shared" si="23"/>
        <v>6.2681121086152645E-3</v>
      </c>
      <c r="AQ40" s="6">
        <f t="shared" si="24"/>
        <v>1.7510757811000093E-4</v>
      </c>
      <c r="AR40" s="6">
        <f t="shared" si="25"/>
        <v>9.7243141637242371E-5</v>
      </c>
      <c r="AS40" s="6">
        <f t="shared" si="26"/>
        <v>0.5553337136337706</v>
      </c>
      <c r="AT40">
        <f t="shared" ref="AT40:AZ40" si="66">AM40/AM56-1</f>
        <v>0.18158594211458956</v>
      </c>
      <c r="AU40">
        <f t="shared" si="66"/>
        <v>0.12074042309891375</v>
      </c>
      <c r="AV40" s="6">
        <f t="shared" si="66"/>
        <v>1.6336419753086422</v>
      </c>
      <c r="AW40" s="6">
        <f t="shared" si="66"/>
        <v>-1.4173497267759405E-2</v>
      </c>
      <c r="AX40" s="6">
        <f t="shared" si="66"/>
        <v>-1.5305980043262779E-2</v>
      </c>
      <c r="AY40" s="6">
        <f t="shared" si="66"/>
        <v>-4.1033406754772406E-2</v>
      </c>
      <c r="AZ40" s="6">
        <f t="shared" si="66"/>
        <v>-2.6127331120219477E-2</v>
      </c>
    </row>
    <row r="41" spans="1:52">
      <c r="A41" s="6" t="s">
        <v>273</v>
      </c>
      <c r="B41" s="6" t="s">
        <v>240</v>
      </c>
      <c r="C41">
        <v>415.5</v>
      </c>
      <c r="D41">
        <v>16.48</v>
      </c>
      <c r="E41">
        <v>4.6900000000000004</v>
      </c>
      <c r="F41">
        <v>1.28</v>
      </c>
      <c r="G41" s="6">
        <v>0.39</v>
      </c>
      <c r="H41" s="6">
        <v>2.71</v>
      </c>
      <c r="I41" s="6">
        <v>1.55</v>
      </c>
      <c r="J41" s="3">
        <f t="shared" si="1"/>
        <v>4.3608316987053746</v>
      </c>
      <c r="K41" s="3">
        <f t="shared" si="2"/>
        <v>2.8282383561100031</v>
      </c>
      <c r="L41" s="3">
        <f t="shared" si="3"/>
        <v>2.1356776067019032</v>
      </c>
      <c r="M41" s="6">
        <f t="shared" si="4"/>
        <v>0.27872939900922655</v>
      </c>
      <c r="N41" s="6">
        <f t="shared" si="5"/>
        <v>1.1248024734607218</v>
      </c>
      <c r="O41" s="6">
        <f t="shared" si="6"/>
        <v>0.57493989002708978</v>
      </c>
      <c r="P41" s="6">
        <f t="shared" si="7"/>
        <v>68.790391963318783</v>
      </c>
      <c r="Q41" s="6">
        <f t="shared" si="8"/>
        <v>83.628936094879791</v>
      </c>
      <c r="R41" s="6">
        <v>126900</v>
      </c>
      <c r="S41" s="6">
        <v>3583</v>
      </c>
      <c r="T41" s="6">
        <v>72300</v>
      </c>
      <c r="U41" s="6">
        <v>1961</v>
      </c>
      <c r="V41" s="6">
        <f t="shared" si="9"/>
        <v>126.9</v>
      </c>
      <c r="W41" s="6">
        <f t="shared" si="10"/>
        <v>3.5830000000000002</v>
      </c>
      <c r="X41" s="6">
        <f t="shared" si="11"/>
        <v>72.3</v>
      </c>
      <c r="Y41" s="6">
        <f t="shared" si="12"/>
        <v>1.9610000000000001</v>
      </c>
      <c r="Z41" s="6">
        <f t="shared" si="13"/>
        <v>1.269E-2</v>
      </c>
      <c r="AA41" s="6">
        <f t="shared" si="43"/>
        <v>3.5829999999999998E-4</v>
      </c>
      <c r="AB41" s="6">
        <f t="shared" si="44"/>
        <v>1.961E-4</v>
      </c>
      <c r="AC41">
        <f>(J41/J56-1)*100</f>
        <v>-2.6580035440047278</v>
      </c>
      <c r="AD41">
        <f>(K41/K56-1)*100</f>
        <v>-19.554030874785589</v>
      </c>
      <c r="AE41">
        <f>(L41/L56-1)*100</f>
        <v>-20.496894409937894</v>
      </c>
      <c r="AF41">
        <f t="shared" si="16"/>
        <v>32.055788319320641</v>
      </c>
      <c r="AG41">
        <f t="shared" si="17"/>
        <v>0.10257852262182605</v>
      </c>
      <c r="AH41">
        <f t="shared" si="18"/>
        <v>1.4104546860501082E-3</v>
      </c>
      <c r="AI41">
        <f>J56*(100-AG41)/100</f>
        <v>4.475312383739908</v>
      </c>
      <c r="AJ41">
        <f>L56*(100-AH41)/100</f>
        <v>2.6862441008895335</v>
      </c>
      <c r="AK41">
        <f t="shared" si="19"/>
        <v>1.6660110606694065</v>
      </c>
      <c r="AL41">
        <f>AK41/AM56-1</f>
        <v>-1.0116949488563343E-3</v>
      </c>
      <c r="AM41">
        <f t="shared" si="20"/>
        <v>2.0418960638163668</v>
      </c>
      <c r="AN41">
        <f t="shared" si="41"/>
        <v>1.3242815054270347</v>
      </c>
      <c r="AO41" s="6">
        <f t="shared" si="22"/>
        <v>0.13051099011131387</v>
      </c>
      <c r="AP41" s="6">
        <f t="shared" si="23"/>
        <v>5.9419080671061523E-3</v>
      </c>
      <c r="AQ41" s="6">
        <f t="shared" si="24"/>
        <v>1.6776876756848972E-4</v>
      </c>
      <c r="AR41" s="6">
        <f t="shared" si="25"/>
        <v>9.1820974937708159E-5</v>
      </c>
      <c r="AS41" s="6">
        <f t="shared" si="26"/>
        <v>0.54730672620708909</v>
      </c>
      <c r="AT41">
        <f t="shared" ref="AT41:AZ41" si="67">AM41/AM56-1</f>
        <v>0.22437979917306561</v>
      </c>
      <c r="AU41">
        <f t="shared" si="67"/>
        <v>1.1859455403087527E-2</v>
      </c>
      <c r="AV41" s="6">
        <f t="shared" si="67"/>
        <v>0.81684027777777768</v>
      </c>
      <c r="AW41" s="6">
        <f t="shared" si="67"/>
        <v>-6.5477715163934413E-2</v>
      </c>
      <c r="AX41" s="6">
        <f t="shared" si="67"/>
        <v>-5.6574798513711499E-2</v>
      </c>
      <c r="AY41" s="6">
        <f t="shared" si="67"/>
        <v>-9.4504290565345039E-2</v>
      </c>
      <c r="AZ41" s="6">
        <f t="shared" si="67"/>
        <v>-4.0204026765321421E-2</v>
      </c>
    </row>
    <row r="42" spans="1:52">
      <c r="A42" s="6" t="s">
        <v>274</v>
      </c>
      <c r="B42" s="6" t="s">
        <v>240</v>
      </c>
      <c r="C42">
        <v>415.5</v>
      </c>
      <c r="D42">
        <v>18.2</v>
      </c>
      <c r="E42">
        <v>2.4900000000000002</v>
      </c>
      <c r="F42">
        <v>2.59</v>
      </c>
      <c r="G42" s="6">
        <v>5.99</v>
      </c>
      <c r="H42" s="6">
        <v>6.77</v>
      </c>
      <c r="I42" s="6">
        <v>0.09</v>
      </c>
      <c r="J42">
        <f t="shared" si="1"/>
        <v>4.8159670459003534</v>
      </c>
      <c r="K42" s="3">
        <f t="shared" si="2"/>
        <v>1.5015593830946499</v>
      </c>
      <c r="L42" s="3">
        <f t="shared" si="3"/>
        <v>4.3214101573108818</v>
      </c>
      <c r="M42" s="6">
        <f t="shared" si="4"/>
        <v>4.2809976924750437</v>
      </c>
      <c r="N42" s="6">
        <f t="shared" si="5"/>
        <v>2.8099309023354566</v>
      </c>
      <c r="O42" s="6">
        <f t="shared" si="6"/>
        <v>3.3383606517701989E-2</v>
      </c>
      <c r="P42" s="6">
        <f t="shared" si="7"/>
        <v>40.333789069616458</v>
      </c>
      <c r="Q42" s="6">
        <f t="shared" si="8"/>
        <v>52.746805094178903</v>
      </c>
      <c r="R42" s="6">
        <v>269400</v>
      </c>
      <c r="S42" s="6">
        <v>7528</v>
      </c>
      <c r="T42" s="6">
        <v>239900</v>
      </c>
      <c r="U42" s="6">
        <v>4172</v>
      </c>
      <c r="V42" s="6">
        <f t="shared" si="9"/>
        <v>269.39999999999998</v>
      </c>
      <c r="W42" s="6">
        <f t="shared" si="10"/>
        <v>7.5279999999999996</v>
      </c>
      <c r="X42" s="6">
        <f t="shared" si="11"/>
        <v>239.9</v>
      </c>
      <c r="Y42" s="6">
        <f t="shared" si="12"/>
        <v>4.1719999999999997</v>
      </c>
      <c r="Z42" s="6">
        <f t="shared" si="13"/>
        <v>2.6939999999999999E-2</v>
      </c>
      <c r="AA42" s="6">
        <f t="shared" si="43"/>
        <v>7.5279999999999998E-4</v>
      </c>
      <c r="AB42" s="6">
        <f t="shared" si="44"/>
        <v>4.172E-4</v>
      </c>
      <c r="AC42">
        <f>(J42/J56-1)*100</f>
        <v>7.5014766686355649</v>
      </c>
      <c r="AD42">
        <f>(K42/K56-1)*100</f>
        <v>-57.289879931389365</v>
      </c>
      <c r="AE42">
        <f>(L42/L56-1)*100</f>
        <v>60.869565217391262</v>
      </c>
      <c r="AF42">
        <f t="shared" si="16"/>
        <v>93.917835953097324</v>
      </c>
      <c r="AG42">
        <f t="shared" si="17"/>
        <v>0.30053707504991145</v>
      </c>
      <c r="AH42">
        <f t="shared" si="18"/>
        <v>4.1323847819362824E-3</v>
      </c>
      <c r="AI42">
        <f>J56*(100-AG42)/100</f>
        <v>4.4664440230950904</v>
      </c>
      <c r="AJ42">
        <f>L56*(100-AH42)/100</f>
        <v>2.6861709821715967</v>
      </c>
      <c r="AK42">
        <f t="shared" si="19"/>
        <v>1.6627549224302383</v>
      </c>
      <c r="AL42">
        <f>AK42/AM56-1</f>
        <v>-2.9641693935650304E-3</v>
      </c>
      <c r="AM42">
        <f t="shared" si="20"/>
        <v>1.1144434040246769</v>
      </c>
      <c r="AN42">
        <f t="shared" si="41"/>
        <v>0.34746976760683995</v>
      </c>
      <c r="AO42" s="6">
        <f t="shared" si="22"/>
        <v>0.99064831539596654</v>
      </c>
      <c r="AP42" s="6">
        <f t="shared" si="23"/>
        <v>6.2340761509118506E-3</v>
      </c>
      <c r="AQ42" s="6">
        <f t="shared" si="24"/>
        <v>1.7420239518954868E-4</v>
      </c>
      <c r="AR42" s="6">
        <f t="shared" si="25"/>
        <v>9.6542560139585172E-5</v>
      </c>
      <c r="AS42" s="6">
        <f t="shared" si="26"/>
        <v>0.55419766206163656</v>
      </c>
      <c r="AT42">
        <f t="shared" ref="AT42:AZ42" si="68">AM42/AM56-1</f>
        <v>-0.33174757746523831</v>
      </c>
      <c r="AU42">
        <f t="shared" si="68"/>
        <v>-0.73450465903296092</v>
      </c>
      <c r="AV42" s="6">
        <f t="shared" si="68"/>
        <v>12.790790790790792</v>
      </c>
      <c r="AW42" s="6">
        <f t="shared" si="68"/>
        <v>-1.9526552313437473E-2</v>
      </c>
      <c r="AX42" s="6">
        <f t="shared" si="68"/>
        <v>-2.0396154999462346E-2</v>
      </c>
      <c r="AY42" s="6">
        <f t="shared" si="68"/>
        <v>-4.7942215343096173E-2</v>
      </c>
      <c r="AZ42" s="6">
        <f t="shared" si="68"/>
        <v>-2.8119591898517649E-2</v>
      </c>
    </row>
    <row r="43" spans="1:52">
      <c r="A43" s="6" t="s">
        <v>275</v>
      </c>
      <c r="B43" s="6" t="s">
        <v>240</v>
      </c>
      <c r="C43">
        <v>424</v>
      </c>
      <c r="D43">
        <v>12.74</v>
      </c>
      <c r="E43">
        <v>3.74</v>
      </c>
      <c r="F43">
        <v>1.1499999999999999</v>
      </c>
      <c r="G43" s="6">
        <v>1.33</v>
      </c>
      <c r="H43" s="6">
        <v>0.94</v>
      </c>
      <c r="I43" s="6">
        <v>2.4300000000000002</v>
      </c>
      <c r="J43" s="3">
        <f t="shared" si="1"/>
        <v>3.3711769321302478</v>
      </c>
      <c r="K43" s="3">
        <f t="shared" si="2"/>
        <v>2.2553542541261002</v>
      </c>
      <c r="L43" s="3">
        <f t="shared" si="3"/>
        <v>1.9187728497712411</v>
      </c>
      <c r="M43" s="6">
        <f t="shared" si="4"/>
        <v>0.95053871969813164</v>
      </c>
      <c r="N43" s="6">
        <f t="shared" si="5"/>
        <v>0.39015288747346066</v>
      </c>
      <c r="O43" s="6">
        <f t="shared" si="6"/>
        <v>0.90135737597795373</v>
      </c>
      <c r="P43" s="6">
        <f t="shared" si="7"/>
        <v>60.057745457091769</v>
      </c>
      <c r="Q43" s="6">
        <f t="shared" si="8"/>
        <v>64.543936379655165</v>
      </c>
      <c r="R43" s="6">
        <v>119700</v>
      </c>
      <c r="S43" s="6">
        <v>3357</v>
      </c>
      <c r="T43" s="6">
        <v>9806</v>
      </c>
      <c r="U43" s="6">
        <v>1744</v>
      </c>
      <c r="V43" s="6">
        <f t="shared" si="9"/>
        <v>119.7</v>
      </c>
      <c r="W43" s="6">
        <f t="shared" si="10"/>
        <v>3.3570000000000002</v>
      </c>
      <c r="X43" s="6">
        <f t="shared" si="11"/>
        <v>9.8059999999999992</v>
      </c>
      <c r="Y43" s="6">
        <f t="shared" si="12"/>
        <v>1.744</v>
      </c>
      <c r="Z43" s="6">
        <f t="shared" si="13"/>
        <v>1.197E-2</v>
      </c>
      <c r="AA43" s="6">
        <f t="shared" si="43"/>
        <v>3.3569999999999997E-4</v>
      </c>
      <c r="AB43" s="6">
        <f t="shared" si="44"/>
        <v>1.7440000000000001E-4</v>
      </c>
      <c r="AC43">
        <f>(J43/J56-1)*100</f>
        <v>-24.748966331955103</v>
      </c>
      <c r="AD43">
        <f>(K43/K56-1)*100</f>
        <v>-35.84905660377359</v>
      </c>
      <c r="AE43">
        <f>(L43/L56-1)*100</f>
        <v>-28.57142857142858</v>
      </c>
      <c r="AF43">
        <f t="shared" si="16"/>
        <v>58.768945252087853</v>
      </c>
      <c r="AG43">
        <f t="shared" si="17"/>
        <v>0.18806062480668115</v>
      </c>
      <c r="AH43">
        <f t="shared" si="18"/>
        <v>2.5858335910918656E-3</v>
      </c>
      <c r="AI43">
        <f>J56*(100-AG43)/100</f>
        <v>4.4714828643705546</v>
      </c>
      <c r="AJ43">
        <f>L56*(100-AH43)/100</f>
        <v>2.6862125268976973</v>
      </c>
      <c r="AK43">
        <f t="shared" si="19"/>
        <v>1.6646050227212152</v>
      </c>
      <c r="AL43">
        <f>AK43/AM56-1</f>
        <v>-1.8547958740908754E-3</v>
      </c>
      <c r="AM43">
        <f t="shared" si="20"/>
        <v>1.7569442534754254</v>
      </c>
      <c r="AN43">
        <f t="shared" si="41"/>
        <v>1.1754149295967926</v>
      </c>
      <c r="AO43" s="6">
        <f t="shared" si="22"/>
        <v>0.49538887305574303</v>
      </c>
      <c r="AP43" s="6">
        <f t="shared" si="23"/>
        <v>6.2383621914532932E-3</v>
      </c>
      <c r="AQ43" s="6">
        <f t="shared" si="24"/>
        <v>1.7495557123399085E-4</v>
      </c>
      <c r="AR43" s="6">
        <f t="shared" si="25"/>
        <v>9.0891425746821581E-5</v>
      </c>
      <c r="AS43" s="6">
        <f t="shared" si="26"/>
        <v>0.5195114685731308</v>
      </c>
      <c r="AT43">
        <f t="shared" ref="AT43:AZ43" si="69">AM43/AM56-1</f>
        <v>5.3514471352628767E-2</v>
      </c>
      <c r="AU43">
        <f t="shared" si="69"/>
        <v>-0.10188679245283006</v>
      </c>
      <c r="AV43" s="6">
        <f t="shared" si="69"/>
        <v>5.8962962962962964</v>
      </c>
      <c r="AW43" s="6">
        <f t="shared" si="69"/>
        <v>-1.8852459016393319E-2</v>
      </c>
      <c r="AX43" s="6">
        <f t="shared" si="69"/>
        <v>-1.6160770357965148E-2</v>
      </c>
      <c r="AY43" s="6">
        <f t="shared" si="69"/>
        <v>-0.10367107195301017</v>
      </c>
      <c r="AZ43" s="6">
        <f t="shared" si="69"/>
        <v>-8.894776601547516E-2</v>
      </c>
    </row>
    <row r="44" spans="1:52">
      <c r="A44" s="6" t="s">
        <v>276</v>
      </c>
      <c r="B44" s="6" t="s">
        <v>240</v>
      </c>
      <c r="C44">
        <v>437</v>
      </c>
      <c r="D44">
        <v>13.78</v>
      </c>
      <c r="E44">
        <v>4.4000000000000004</v>
      </c>
      <c r="F44">
        <v>1.17</v>
      </c>
      <c r="G44" s="6">
        <v>0.44</v>
      </c>
      <c r="H44" s="6">
        <v>1.43</v>
      </c>
      <c r="I44" s="6">
        <v>2.11</v>
      </c>
      <c r="J44" s="3">
        <f t="shared" si="1"/>
        <v>3.6463750490388391</v>
      </c>
      <c r="K44" s="3">
        <f t="shared" si="2"/>
        <v>2.6533579460307064</v>
      </c>
      <c r="L44" s="3">
        <f t="shared" si="3"/>
        <v>1.9521428123759583</v>
      </c>
      <c r="M44" s="6">
        <f t="shared" si="4"/>
        <v>0.31446393734374284</v>
      </c>
      <c r="N44" s="6">
        <f t="shared" si="5"/>
        <v>0.59353045647558389</v>
      </c>
      <c r="O44" s="6">
        <f t="shared" si="6"/>
        <v>0.78266010835945765</v>
      </c>
      <c r="P44" s="6">
        <f t="shared" si="7"/>
        <v>68.322182106091816</v>
      </c>
      <c r="Q44" s="6">
        <f t="shared" si="8"/>
        <v>76.870997046899106</v>
      </c>
      <c r="R44" s="6">
        <v>121800</v>
      </c>
      <c r="S44" s="6">
        <v>3422</v>
      </c>
      <c r="T44" s="6">
        <v>8962</v>
      </c>
      <c r="U44" s="6">
        <v>1882</v>
      </c>
      <c r="V44" s="6">
        <f t="shared" si="9"/>
        <v>121.8</v>
      </c>
      <c r="W44" s="6">
        <f t="shared" si="10"/>
        <v>3.4220000000000002</v>
      </c>
      <c r="X44" s="6">
        <f t="shared" si="11"/>
        <v>8.9619999999999997</v>
      </c>
      <c r="Y44" s="6">
        <f t="shared" si="12"/>
        <v>1.8819999999999999</v>
      </c>
      <c r="Z44" s="6">
        <f t="shared" si="13"/>
        <v>1.218E-2</v>
      </c>
      <c r="AA44" s="6">
        <f t="shared" si="43"/>
        <v>3.4220000000000002E-4</v>
      </c>
      <c r="AB44" s="6">
        <f t="shared" si="44"/>
        <v>1.8819999999999999E-4</v>
      </c>
      <c r="AC44">
        <f>(J44/J56-1)*100</f>
        <v>-18.606024808033073</v>
      </c>
      <c r="AD44">
        <f>(K44/K56-1)*100</f>
        <v>-24.528301886792448</v>
      </c>
      <c r="AE44">
        <f>(L44/L56-1)*100</f>
        <v>-27.329192546583858</v>
      </c>
      <c r="AF44">
        <f t="shared" si="16"/>
        <v>40.210330961954831</v>
      </c>
      <c r="AG44">
        <f t="shared" si="17"/>
        <v>0.12867305907825546</v>
      </c>
      <c r="AH44">
        <f t="shared" si="18"/>
        <v>1.7692545623260126E-3</v>
      </c>
      <c r="AI44">
        <f>J56*(100-AG44)/100</f>
        <v>4.4741433725639999</v>
      </c>
      <c r="AJ44">
        <f>L56*(100-AH44)/100</f>
        <v>2.6862344625130787</v>
      </c>
      <c r="AK44">
        <f t="shared" si="19"/>
        <v>1.6655818525901351</v>
      </c>
      <c r="AL44">
        <f>AK44/AM56-1</f>
        <v>-1.2690604980702958E-3</v>
      </c>
      <c r="AM44">
        <f t="shared" si="20"/>
        <v>1.8678833464037532</v>
      </c>
      <c r="AN44">
        <f t="shared" si="41"/>
        <v>1.3592027843502379</v>
      </c>
      <c r="AO44" s="6">
        <f t="shared" si="22"/>
        <v>0.16108654313103657</v>
      </c>
      <c r="AP44" s="6">
        <f t="shared" si="23"/>
        <v>6.239297618382586E-3</v>
      </c>
      <c r="AQ44" s="6">
        <f t="shared" si="24"/>
        <v>1.7529455213551075E-4</v>
      </c>
      <c r="AR44" s="6">
        <f t="shared" si="25"/>
        <v>9.6406881098489537E-5</v>
      </c>
      <c r="AS44" s="6">
        <f t="shared" si="26"/>
        <v>0.54997077732320276</v>
      </c>
      <c r="AT44">
        <f t="shared" ref="AT44:AZ44" si="70">AM44/AM56-1</f>
        <v>0.12003675264159619</v>
      </c>
      <c r="AU44">
        <f t="shared" si="70"/>
        <v>3.8542170617642535E-2</v>
      </c>
      <c r="AV44" s="6">
        <f t="shared" si="70"/>
        <v>1.2424817980373541</v>
      </c>
      <c r="AW44" s="6">
        <f t="shared" si="70"/>
        <v>-1.870533837746946E-2</v>
      </c>
      <c r="AX44" s="6">
        <f t="shared" si="70"/>
        <v>-1.4254556645178273E-2</v>
      </c>
      <c r="AY44" s="6">
        <f t="shared" si="70"/>
        <v>-4.9280218883743121E-2</v>
      </c>
      <c r="AZ44" s="6">
        <f t="shared" si="70"/>
        <v>-3.5532157388788677E-2</v>
      </c>
    </row>
    <row r="45" spans="1:52">
      <c r="A45" s="6" t="s">
        <v>277</v>
      </c>
      <c r="B45" s="6" t="s">
        <v>240</v>
      </c>
      <c r="C45">
        <v>442</v>
      </c>
      <c r="D45">
        <v>13.73</v>
      </c>
      <c r="E45">
        <v>4.22</v>
      </c>
      <c r="F45">
        <v>1.21</v>
      </c>
      <c r="G45" s="6">
        <v>0.84</v>
      </c>
      <c r="H45" s="6">
        <v>0.94</v>
      </c>
      <c r="I45" s="6">
        <v>2.6</v>
      </c>
      <c r="J45" s="3">
        <f t="shared" si="1"/>
        <v>3.6331443703413107</v>
      </c>
      <c r="K45" s="3">
        <f t="shared" si="2"/>
        <v>2.5448114846021772</v>
      </c>
      <c r="L45" s="3">
        <f t="shared" si="3"/>
        <v>2.0188827375853928</v>
      </c>
      <c r="M45" s="6">
        <f t="shared" si="4"/>
        <v>0.60034024401987263</v>
      </c>
      <c r="N45" s="6">
        <f t="shared" si="5"/>
        <v>0.39015288747346066</v>
      </c>
      <c r="O45" s="6">
        <f t="shared" si="6"/>
        <v>0.96441529940027981</v>
      </c>
      <c r="P45" s="6">
        <f t="shared" si="7"/>
        <v>65.016285628840336</v>
      </c>
      <c r="Q45" s="6">
        <f t="shared" si="8"/>
        <v>69.89638951536071</v>
      </c>
      <c r="R45" s="6">
        <v>128100</v>
      </c>
      <c r="S45" s="6">
        <v>3585</v>
      </c>
      <c r="T45" s="6">
        <v>7664</v>
      </c>
      <c r="U45" s="6">
        <v>1869</v>
      </c>
      <c r="V45" s="6">
        <f t="shared" si="9"/>
        <v>128.1</v>
      </c>
      <c r="W45" s="6">
        <f t="shared" si="10"/>
        <v>3.585</v>
      </c>
      <c r="X45" s="6">
        <f t="shared" si="11"/>
        <v>7.6639999999999997</v>
      </c>
      <c r="Y45" s="6">
        <f t="shared" si="12"/>
        <v>1.869</v>
      </c>
      <c r="Z45" s="6">
        <f t="shared" si="13"/>
        <v>1.281E-2</v>
      </c>
      <c r="AA45" s="6">
        <f t="shared" si="43"/>
        <v>3.5849999999999999E-4</v>
      </c>
      <c r="AB45" s="6">
        <f t="shared" si="44"/>
        <v>1.8689999999999999E-4</v>
      </c>
      <c r="AC45">
        <f>(J45/J56-1)*100</f>
        <v>-18.901358535144709</v>
      </c>
      <c r="AD45">
        <f>(K45/K56-1)*100</f>
        <v>-27.615780445969129</v>
      </c>
      <c r="AE45">
        <f>(L45/L56-1)*100</f>
        <v>-24.844720496894425</v>
      </c>
      <c r="AF45">
        <f t="shared" si="16"/>
        <v>45.271771222900213</v>
      </c>
      <c r="AG45">
        <f t="shared" si="17"/>
        <v>0.14486966791328068</v>
      </c>
      <c r="AH45">
        <f t="shared" si="18"/>
        <v>1.9919579338076093E-3</v>
      </c>
      <c r="AI45">
        <f>J56*(100-AG45)/100</f>
        <v>4.4734177794203331</v>
      </c>
      <c r="AJ45">
        <f>L56*(100-AH45)/100</f>
        <v>2.6862284800725202</v>
      </c>
      <c r="AK45">
        <f t="shared" si="19"/>
        <v>1.6653154460262307</v>
      </c>
      <c r="AL45">
        <f>AK45/AM56-1</f>
        <v>-1.4288055610006678E-3</v>
      </c>
      <c r="AM45" s="3">
        <f t="shared" si="20"/>
        <v>1.7995816709427084</v>
      </c>
      <c r="AN45" s="3">
        <f t="shared" si="41"/>
        <v>1.2605048511365258</v>
      </c>
      <c r="AO45" s="6">
        <f t="shared" si="22"/>
        <v>0.29736261192558738</v>
      </c>
      <c r="AP45" s="6">
        <f t="shared" si="23"/>
        <v>6.3450936310054879E-3</v>
      </c>
      <c r="AQ45" s="6">
        <f t="shared" si="24"/>
        <v>1.7757346344383039E-4</v>
      </c>
      <c r="AR45" s="6">
        <f t="shared" si="25"/>
        <v>9.2575956255653831E-5</v>
      </c>
      <c r="AS45" s="6">
        <f t="shared" si="26"/>
        <v>0.52133891213389116</v>
      </c>
      <c r="AT45">
        <f t="shared" ref="AT45:AZ45" si="71">AM45/AM56-1</f>
        <v>7.9081097177000181E-2</v>
      </c>
      <c r="AU45">
        <f t="shared" si="71"/>
        <v>-3.6871128248018858E-2</v>
      </c>
      <c r="AV45" s="6">
        <f t="shared" si="71"/>
        <v>3.1395775941230486</v>
      </c>
      <c r="AW45" s="6">
        <f t="shared" si="71"/>
        <v>-2.0661157024792765E-3</v>
      </c>
      <c r="AX45" s="6">
        <f t="shared" si="71"/>
        <v>-1.439404031369329E-3</v>
      </c>
      <c r="AY45" s="6">
        <f t="shared" si="71"/>
        <v>-8.7059016274074308E-2</v>
      </c>
      <c r="AZ45" s="6">
        <f t="shared" si="71"/>
        <v>-8.5743031107342826E-2</v>
      </c>
    </row>
    <row r="46" spans="1:52">
      <c r="A46" s="6" t="s">
        <v>278</v>
      </c>
      <c r="B46" s="6" t="s">
        <v>240</v>
      </c>
      <c r="C46">
        <v>453</v>
      </c>
      <c r="D46">
        <v>14.24</v>
      </c>
      <c r="E46">
        <v>4.41</v>
      </c>
      <c r="F46">
        <v>1.25</v>
      </c>
      <c r="G46" s="6">
        <v>0.4</v>
      </c>
      <c r="H46" s="6">
        <v>1.21</v>
      </c>
      <c r="I46" s="6">
        <v>2.4500000000000002</v>
      </c>
      <c r="J46">
        <f t="shared" si="1"/>
        <v>3.7680972930561007</v>
      </c>
      <c r="K46" s="3">
        <f t="shared" si="2"/>
        <v>2.659388304998958</v>
      </c>
      <c r="L46" s="3">
        <f t="shared" si="3"/>
        <v>2.0856226627948273</v>
      </c>
      <c r="M46" s="6">
        <f t="shared" si="4"/>
        <v>0.28587630667612984</v>
      </c>
      <c r="N46" s="6">
        <f t="shared" si="5"/>
        <v>0.50221807855626321</v>
      </c>
      <c r="O46" s="6">
        <f t="shared" si="6"/>
        <v>0.90877595520410981</v>
      </c>
      <c r="P46" s="6">
        <f t="shared" si="7"/>
        <v>68.950038605223156</v>
      </c>
      <c r="Q46" s="6">
        <f t="shared" si="8"/>
        <v>75.927613339022017</v>
      </c>
      <c r="R46" s="6">
        <v>132200</v>
      </c>
      <c r="S46" s="6">
        <v>3722</v>
      </c>
      <c r="T46" s="6">
        <v>8686</v>
      </c>
      <c r="U46" s="6">
        <v>2081</v>
      </c>
      <c r="V46" s="6">
        <f t="shared" si="9"/>
        <v>132.19999999999999</v>
      </c>
      <c r="W46" s="6">
        <f t="shared" si="10"/>
        <v>3.722</v>
      </c>
      <c r="X46" s="6">
        <f t="shared" si="11"/>
        <v>8.6859999999999999</v>
      </c>
      <c r="Y46" s="6">
        <f t="shared" si="12"/>
        <v>2.081</v>
      </c>
      <c r="Z46" s="6">
        <f t="shared" si="13"/>
        <v>1.3220000000000001E-2</v>
      </c>
      <c r="AA46" s="6">
        <f t="shared" si="43"/>
        <v>3.7219999999999999E-4</v>
      </c>
      <c r="AB46" s="6">
        <f t="shared" si="44"/>
        <v>2.0809999999999999E-4</v>
      </c>
      <c r="AC46">
        <f>(J46/J56-1)*100</f>
        <v>-15.888954518606024</v>
      </c>
      <c r="AD46">
        <f>(K46/K56-1)*100</f>
        <v>-24.356775300171517</v>
      </c>
      <c r="AE46">
        <f>(L46/L56-1)*100</f>
        <v>-22.360248447204977</v>
      </c>
      <c r="AF46">
        <f t="shared" si="16"/>
        <v>39.929139836346749</v>
      </c>
      <c r="AG46">
        <f t="shared" si="17"/>
        <v>0.12777324747630961</v>
      </c>
      <c r="AH46">
        <f t="shared" si="18"/>
        <v>1.7568821527992569E-3</v>
      </c>
      <c r="AI46">
        <f>J56*(100-AG46)/100</f>
        <v>4.4741836832942035</v>
      </c>
      <c r="AJ46">
        <f>L56*(100-AH46)/100</f>
        <v>2.6862347948708871</v>
      </c>
      <c r="AK46">
        <f t="shared" si="19"/>
        <v>1.6655966529200041</v>
      </c>
      <c r="AL46">
        <f>AK46/AM56-1</f>
        <v>-1.2601857932144078E-3</v>
      </c>
      <c r="AM46" s="3">
        <f t="shared" si="20"/>
        <v>1.8067013560385283</v>
      </c>
      <c r="AN46" s="3">
        <f t="shared" si="41"/>
        <v>1.2751052011658039</v>
      </c>
      <c r="AO46" s="6">
        <f t="shared" si="22"/>
        <v>0.13707000397331839</v>
      </c>
      <c r="AP46" s="6">
        <f t="shared" si="23"/>
        <v>6.3386346129767363E-3</v>
      </c>
      <c r="AQ46" s="6">
        <f t="shared" si="24"/>
        <v>1.78459894322991E-4</v>
      </c>
      <c r="AR46" s="6">
        <f t="shared" si="25"/>
        <v>9.9778355745874334E-5</v>
      </c>
      <c r="AS46" s="6">
        <f t="shared" si="26"/>
        <v>0.55910800644814618</v>
      </c>
      <c r="AT46">
        <f t="shared" ref="AT46:AZ46" si="72">AM46/AM56-1</f>
        <v>8.335026580035465E-2</v>
      </c>
      <c r="AU46">
        <f t="shared" si="72"/>
        <v>-2.5715265866209092E-2</v>
      </c>
      <c r="AV46" s="6">
        <f t="shared" si="72"/>
        <v>0.90814814814814859</v>
      </c>
      <c r="AW46" s="6">
        <f t="shared" si="72"/>
        <v>-3.0819672131146003E-3</v>
      </c>
      <c r="AX46" s="6">
        <f t="shared" si="72"/>
        <v>3.5453213313794141E-3</v>
      </c>
      <c r="AY46" s="6">
        <f t="shared" si="72"/>
        <v>-1.6032305433186456E-2</v>
      </c>
      <c r="AZ46" s="6">
        <f t="shared" si="72"/>
        <v>-1.9508462994568876E-2</v>
      </c>
    </row>
    <row r="47" spans="1:52">
      <c r="A47" s="6" t="s">
        <v>279</v>
      </c>
      <c r="B47" s="6" t="s">
        <v>240</v>
      </c>
      <c r="C47">
        <v>424</v>
      </c>
      <c r="D47">
        <v>14.1</v>
      </c>
      <c r="E47">
        <v>4.3099999999999996</v>
      </c>
      <c r="F47">
        <v>1.21</v>
      </c>
      <c r="G47" s="6">
        <v>0.86</v>
      </c>
      <c r="H47" s="6">
        <v>1.05</v>
      </c>
      <c r="I47" s="6">
        <v>2.54</v>
      </c>
      <c r="J47" s="3">
        <f t="shared" si="1"/>
        <v>3.7310513927030211</v>
      </c>
      <c r="K47" s="3">
        <f t="shared" si="2"/>
        <v>2.5990847153164416</v>
      </c>
      <c r="L47" s="3">
        <f t="shared" si="3"/>
        <v>2.0188827375853928</v>
      </c>
      <c r="M47" s="6">
        <f t="shared" si="4"/>
        <v>0.6146340593536791</v>
      </c>
      <c r="N47" s="6">
        <f t="shared" si="5"/>
        <v>0.435809076433121</v>
      </c>
      <c r="O47" s="6">
        <f t="shared" si="6"/>
        <v>0.9421595617218117</v>
      </c>
      <c r="P47" s="6">
        <f t="shared" si="7"/>
        <v>65.186528289396776</v>
      </c>
      <c r="Q47" s="6">
        <f t="shared" si="8"/>
        <v>70.559015685615577</v>
      </c>
      <c r="R47" s="6">
        <v>128900</v>
      </c>
      <c r="S47" s="6">
        <v>3617</v>
      </c>
      <c r="T47" s="6">
        <v>7556</v>
      </c>
      <c r="U47" s="6">
        <v>1974</v>
      </c>
      <c r="V47" s="6">
        <f t="shared" si="9"/>
        <v>128.9</v>
      </c>
      <c r="W47" s="6">
        <f t="shared" si="10"/>
        <v>3.617</v>
      </c>
      <c r="X47" s="6">
        <f t="shared" si="11"/>
        <v>7.556</v>
      </c>
      <c r="Y47" s="6">
        <f t="shared" si="12"/>
        <v>1.974</v>
      </c>
      <c r="Z47" s="6">
        <f t="shared" si="13"/>
        <v>1.289E-2</v>
      </c>
      <c r="AA47" s="6">
        <f t="shared" si="43"/>
        <v>3.6170000000000001E-4</v>
      </c>
      <c r="AB47" s="6">
        <f t="shared" si="44"/>
        <v>1.974E-4</v>
      </c>
      <c r="AC47">
        <f>(J47/J56-1)*100</f>
        <v>-16.715888954518597</v>
      </c>
      <c r="AD47">
        <f>(K47/K56-1)*100</f>
        <v>-26.072041166380799</v>
      </c>
      <c r="AE47">
        <f>(L47/L56-1)*100</f>
        <v>-24.844720496894425</v>
      </c>
      <c r="AF47">
        <f t="shared" si="16"/>
        <v>42.74105109242754</v>
      </c>
      <c r="AG47">
        <f t="shared" si="17"/>
        <v>0.13677136349576813</v>
      </c>
      <c r="AH47">
        <f t="shared" si="18"/>
        <v>1.8806062480668116E-3</v>
      </c>
      <c r="AI47">
        <f>J56*(100-AG47)/100</f>
        <v>4.4737805759921665</v>
      </c>
      <c r="AJ47">
        <f>L56*(100-AH47)/100</f>
        <v>2.6862314712927993</v>
      </c>
      <c r="AK47">
        <f t="shared" si="19"/>
        <v>1.6654486494565099</v>
      </c>
      <c r="AL47">
        <f>AK47/AM56-1</f>
        <v>-1.3489329405943495E-3</v>
      </c>
      <c r="AM47" s="3">
        <f t="shared" si="20"/>
        <v>1.8480773168457529</v>
      </c>
      <c r="AN47" s="3">
        <f t="shared" si="41"/>
        <v>1.2873876560185844</v>
      </c>
      <c r="AO47" s="6">
        <f t="shared" si="22"/>
        <v>0.30444267411429182</v>
      </c>
      <c r="AP47" s="6">
        <f t="shared" si="23"/>
        <v>6.3847195084824936E-3</v>
      </c>
      <c r="AQ47" s="6">
        <f t="shared" si="24"/>
        <v>1.7915849854291063E-4</v>
      </c>
      <c r="AR47" s="6">
        <f t="shared" si="25"/>
        <v>9.7776852674510799E-5</v>
      </c>
      <c r="AS47" s="6">
        <f t="shared" si="26"/>
        <v>0.54575615150677359</v>
      </c>
      <c r="AT47">
        <f t="shared" ref="AT47:AZ47" si="73">AM47/AM56-1</f>
        <v>0.10816048581177728</v>
      </c>
      <c r="AU47">
        <f t="shared" si="73"/>
        <v>-1.6330465106388914E-2</v>
      </c>
      <c r="AV47" s="6">
        <f t="shared" si="73"/>
        <v>3.238138965411693</v>
      </c>
      <c r="AW47" s="6">
        <f t="shared" si="73"/>
        <v>4.1661021541796739E-3</v>
      </c>
      <c r="AX47" s="6">
        <f t="shared" si="73"/>
        <v>7.4738286244178109E-3</v>
      </c>
      <c r="AY47" s="6">
        <f t="shared" si="73"/>
        <v>-3.5770196963628931E-2</v>
      </c>
      <c r="AZ47" s="6">
        <f t="shared" si="73"/>
        <v>-4.2923224762166923E-2</v>
      </c>
    </row>
    <row r="48" spans="1:52">
      <c r="A48" s="6" t="s">
        <v>280</v>
      </c>
      <c r="B48" s="6" t="s">
        <v>240</v>
      </c>
      <c r="C48">
        <v>464.5</v>
      </c>
      <c r="D48">
        <v>13.95</v>
      </c>
      <c r="E48">
        <v>4.41</v>
      </c>
      <c r="F48">
        <v>1.19</v>
      </c>
      <c r="G48" s="6">
        <v>0.79</v>
      </c>
      <c r="H48" s="6">
        <v>0.89</v>
      </c>
      <c r="I48" s="6">
        <v>2.4700000000000002</v>
      </c>
      <c r="J48" s="3">
        <f t="shared" si="1"/>
        <v>3.6913593566104357</v>
      </c>
      <c r="K48" s="3">
        <f t="shared" si="2"/>
        <v>2.659388304998958</v>
      </c>
      <c r="L48" s="3">
        <f t="shared" si="3"/>
        <v>1.9855127749806756</v>
      </c>
      <c r="M48" s="6">
        <f t="shared" si="4"/>
        <v>0.5646057056853564</v>
      </c>
      <c r="N48" s="6">
        <f t="shared" si="5"/>
        <v>0.36940007430997879</v>
      </c>
      <c r="O48" s="6">
        <f t="shared" si="6"/>
        <v>0.91619453443026577</v>
      </c>
      <c r="P48" s="6">
        <f t="shared" si="7"/>
        <v>66.612282024210486</v>
      </c>
      <c r="Q48" s="6">
        <f t="shared" si="8"/>
        <v>71.369788336520813</v>
      </c>
      <c r="R48" s="6">
        <v>124600</v>
      </c>
      <c r="S48" s="6">
        <v>3526</v>
      </c>
      <c r="T48" s="6">
        <v>8183</v>
      </c>
      <c r="U48" s="6">
        <v>1902</v>
      </c>
      <c r="V48" s="6">
        <f t="shared" si="9"/>
        <v>124.6</v>
      </c>
      <c r="W48" s="6">
        <f t="shared" si="10"/>
        <v>3.5259999999999998</v>
      </c>
      <c r="X48" s="6">
        <f t="shared" si="11"/>
        <v>8.1829999999999998</v>
      </c>
      <c r="Y48" s="6">
        <f t="shared" si="12"/>
        <v>1.9019999999999999</v>
      </c>
      <c r="Z48" s="6">
        <f t="shared" si="13"/>
        <v>1.2460000000000001E-2</v>
      </c>
      <c r="AA48" s="6">
        <f t="shared" si="43"/>
        <v>3.5260000000000001E-4</v>
      </c>
      <c r="AB48" s="6">
        <f t="shared" si="44"/>
        <v>1.9019999999999999E-4</v>
      </c>
      <c r="AC48">
        <f>(J48/J56-1)*100</f>
        <v>-17.601890135853516</v>
      </c>
      <c r="AD48">
        <f>(K48/K56-1)*100</f>
        <v>-24.356775300171517</v>
      </c>
      <c r="AE48">
        <f>(L48/L56-1)*100</f>
        <v>-26.086956521739136</v>
      </c>
      <c r="AF48">
        <f t="shared" si="16"/>
        <v>39.929139836346749</v>
      </c>
      <c r="AG48">
        <f t="shared" si="17"/>
        <v>0.12777324747630961</v>
      </c>
      <c r="AH48">
        <f t="shared" si="18"/>
        <v>1.7568821527992569E-3</v>
      </c>
      <c r="AI48">
        <f>J56*(100-AG48)/100</f>
        <v>4.4741836832942035</v>
      </c>
      <c r="AJ48">
        <f>L56*(100-AH48)/100</f>
        <v>2.6862347948708871</v>
      </c>
      <c r="AK48">
        <f t="shared" si="19"/>
        <v>1.6655966529200041</v>
      </c>
      <c r="AL48">
        <f>AK48/AM56-1</f>
        <v>-1.2601857932144078E-3</v>
      </c>
      <c r="AM48">
        <f t="shared" si="20"/>
        <v>1.8591466159901</v>
      </c>
      <c r="AN48">
        <f t="shared" si="41"/>
        <v>1.3393962197119789</v>
      </c>
      <c r="AO48" s="6">
        <f t="shared" si="22"/>
        <v>0.2843626658059914</v>
      </c>
      <c r="AP48" s="6">
        <f t="shared" si="23"/>
        <v>6.2754569786745741E-3</v>
      </c>
      <c r="AQ48" s="6">
        <f t="shared" si="24"/>
        <v>1.7758636682830295E-4</v>
      </c>
      <c r="AR48" s="6">
        <f t="shared" si="25"/>
        <v>9.5793893847825355E-5</v>
      </c>
      <c r="AS48" s="6">
        <f t="shared" si="26"/>
        <v>0.53942144072603515</v>
      </c>
      <c r="AT48">
        <f t="shared" ref="AT48:AZ48" si="74">AM48/AM56-1</f>
        <v>0.11479795698551154</v>
      </c>
      <c r="AU48">
        <f t="shared" si="74"/>
        <v>2.3408334174150003E-2</v>
      </c>
      <c r="AV48" s="6">
        <f t="shared" si="74"/>
        <v>2.9586056644880183</v>
      </c>
      <c r="AW48" s="6">
        <f t="shared" si="74"/>
        <v>-1.3018322082931411E-2</v>
      </c>
      <c r="AX48" s="6">
        <f t="shared" si="74"/>
        <v>-1.3668435764507825E-3</v>
      </c>
      <c r="AY48" s="6">
        <f t="shared" si="74"/>
        <v>-5.5325213785954896E-2</v>
      </c>
      <c r="AZ48" s="6">
        <f t="shared" si="74"/>
        <v>-5.4032223807536806E-2</v>
      </c>
    </row>
    <row r="49" spans="1:52">
      <c r="A49" s="6" t="s">
        <v>281</v>
      </c>
      <c r="B49" s="6" t="s">
        <v>240</v>
      </c>
      <c r="C49">
        <v>477.5</v>
      </c>
      <c r="D49">
        <v>14.06</v>
      </c>
      <c r="E49">
        <v>4.5599999999999996</v>
      </c>
      <c r="F49">
        <v>1.23</v>
      </c>
      <c r="G49" s="6">
        <v>0.83</v>
      </c>
      <c r="H49" s="6">
        <v>1.04</v>
      </c>
      <c r="I49" s="6">
        <v>2.27</v>
      </c>
      <c r="J49" s="3">
        <f t="shared" si="1"/>
        <v>3.720466849744998</v>
      </c>
      <c r="K49" s="3">
        <f t="shared" si="2"/>
        <v>2.7498436895227316</v>
      </c>
      <c r="L49" s="3">
        <f t="shared" si="3"/>
        <v>2.0522527001901101</v>
      </c>
      <c r="M49" s="6">
        <f t="shared" si="4"/>
        <v>0.59319333635296934</v>
      </c>
      <c r="N49" s="6">
        <f t="shared" si="5"/>
        <v>0.43165851380042464</v>
      </c>
      <c r="O49" s="6">
        <f t="shared" si="6"/>
        <v>0.8420087421687058</v>
      </c>
      <c r="P49" s="6">
        <f t="shared" si="7"/>
        <v>66.587592875504825</v>
      </c>
      <c r="Q49" s="6">
        <f t="shared" si="8"/>
        <v>72.162640803931765</v>
      </c>
      <c r="R49" s="6">
        <v>129600</v>
      </c>
      <c r="S49" s="6">
        <v>3617</v>
      </c>
      <c r="T49" s="6">
        <v>11990</v>
      </c>
      <c r="U49" s="6">
        <v>1988</v>
      </c>
      <c r="V49" s="6">
        <f t="shared" si="9"/>
        <v>129.6</v>
      </c>
      <c r="W49" s="6">
        <f t="shared" si="10"/>
        <v>3.617</v>
      </c>
      <c r="X49" s="6">
        <f t="shared" si="11"/>
        <v>11.99</v>
      </c>
      <c r="Y49" s="6">
        <f t="shared" si="12"/>
        <v>1.988</v>
      </c>
      <c r="Z49" s="6">
        <f t="shared" si="13"/>
        <v>1.2959999999999999E-2</v>
      </c>
      <c r="AA49" s="6">
        <f t="shared" si="43"/>
        <v>3.6170000000000001E-4</v>
      </c>
      <c r="AB49" s="6">
        <f t="shared" si="44"/>
        <v>1.9880000000000001E-4</v>
      </c>
      <c r="AC49">
        <f>(J49/J56-1)*100</f>
        <v>-16.952155936207923</v>
      </c>
      <c r="AD49">
        <f>(K49/K56-1)*100</f>
        <v>-21.783876500857644</v>
      </c>
      <c r="AE49">
        <f>(L49/L56-1)*100</f>
        <v>-23.602484472049699</v>
      </c>
      <c r="AF49">
        <f t="shared" si="16"/>
        <v>35.711272952225649</v>
      </c>
      <c r="AG49">
        <f t="shared" si="17"/>
        <v>0.11427607344712208</v>
      </c>
      <c r="AH49">
        <f t="shared" si="18"/>
        <v>1.5712960098979284E-3</v>
      </c>
      <c r="AI49">
        <f>J56*(100-AG49)/100</f>
        <v>4.4747883442472594</v>
      </c>
      <c r="AJ49">
        <f>L56*(100-AH49)/100</f>
        <v>2.6862397802380196</v>
      </c>
      <c r="AK49">
        <f t="shared" si="19"/>
        <v>1.6658186574285494</v>
      </c>
      <c r="AL49">
        <f>AK49/AM56-1</f>
        <v>-1.1270654839072858E-3</v>
      </c>
      <c r="AM49">
        <f t="shared" si="20"/>
        <v>1.8128697549772272</v>
      </c>
      <c r="AN49">
        <f t="shared" si="41"/>
        <v>1.3399147625767529</v>
      </c>
      <c r="AO49" s="6">
        <f t="shared" si="22"/>
        <v>0.28904497789088984</v>
      </c>
      <c r="AP49" s="6">
        <f t="shared" si="23"/>
        <v>6.3150117910915418E-3</v>
      </c>
      <c r="AQ49" s="6">
        <f t="shared" si="24"/>
        <v>1.7624535222513971E-4</v>
      </c>
      <c r="AR49" s="6">
        <f t="shared" si="25"/>
        <v>9.6869162351002973E-5</v>
      </c>
      <c r="AS49" s="6">
        <f t="shared" si="26"/>
        <v>0.54962676251036768</v>
      </c>
      <c r="AT49">
        <f t="shared" ref="AT49:AZ49" si="75">AM49/AM56-1</f>
        <v>8.7049015794351758E-2</v>
      </c>
      <c r="AU49">
        <f t="shared" si="75"/>
        <v>2.3804543362757613E-2</v>
      </c>
      <c r="AV49" s="6">
        <f t="shared" si="75"/>
        <v>3.0237880156579342</v>
      </c>
      <c r="AW49" s="6">
        <f t="shared" si="75"/>
        <v>-6.7972810875649436E-3</v>
      </c>
      <c r="AX49" s="6">
        <f t="shared" si="75"/>
        <v>-8.9078596458980197E-3</v>
      </c>
      <c r="AY49" s="6">
        <f t="shared" si="75"/>
        <v>-4.4721416377159318E-2</v>
      </c>
      <c r="AZ49" s="6">
        <f t="shared" si="75"/>
        <v>-3.6135446214380917E-2</v>
      </c>
    </row>
    <row r="50" spans="1:52">
      <c r="A50" s="6" t="s">
        <v>282</v>
      </c>
      <c r="B50" s="6" t="s">
        <v>240</v>
      </c>
      <c r="C50">
        <v>493.5</v>
      </c>
      <c r="D50">
        <v>14.7</v>
      </c>
      <c r="E50">
        <v>4.95</v>
      </c>
      <c r="F50">
        <v>1.26</v>
      </c>
      <c r="G50" s="6">
        <v>0.76</v>
      </c>
      <c r="H50" s="6">
        <v>1.6</v>
      </c>
      <c r="I50" s="6">
        <v>1.65</v>
      </c>
      <c r="J50">
        <f t="shared" si="1"/>
        <v>3.8898195370733624</v>
      </c>
      <c r="K50" s="3">
        <f t="shared" si="2"/>
        <v>2.9850276892845446</v>
      </c>
      <c r="L50" s="3">
        <f t="shared" si="3"/>
        <v>2.102307644097186</v>
      </c>
      <c r="M50" s="6">
        <f t="shared" si="4"/>
        <v>0.54316498268464664</v>
      </c>
      <c r="N50" s="6">
        <f t="shared" si="5"/>
        <v>0.66409002123142258</v>
      </c>
      <c r="O50" s="6">
        <f t="shared" si="6"/>
        <v>0.61203278615786982</v>
      </c>
      <c r="P50" s="6">
        <f t="shared" si="7"/>
        <v>68.133585763520898</v>
      </c>
      <c r="Q50" s="6">
        <f t="shared" si="8"/>
        <v>77.102204040253525</v>
      </c>
      <c r="R50" s="6">
        <v>131900</v>
      </c>
      <c r="S50" s="6">
        <v>3692</v>
      </c>
      <c r="T50" s="6">
        <v>20620</v>
      </c>
      <c r="U50" s="6">
        <v>2155</v>
      </c>
      <c r="V50" s="6">
        <f t="shared" si="9"/>
        <v>131.9</v>
      </c>
      <c r="W50" s="6">
        <f t="shared" si="10"/>
        <v>3.6920000000000002</v>
      </c>
      <c r="X50" s="6">
        <f t="shared" si="11"/>
        <v>20.62</v>
      </c>
      <c r="Y50" s="6">
        <f t="shared" si="12"/>
        <v>2.1549999999999998</v>
      </c>
      <c r="Z50" s="6">
        <f t="shared" si="13"/>
        <v>1.319E-2</v>
      </c>
      <c r="AA50" s="6">
        <f t="shared" si="43"/>
        <v>3.6919999999999998E-4</v>
      </c>
      <c r="AB50" s="6">
        <f t="shared" si="44"/>
        <v>2.1550000000000001E-4</v>
      </c>
      <c r="AC50">
        <f>(J50/J56-1)*100</f>
        <v>-13.171884229178964</v>
      </c>
      <c r="AD50">
        <f>(K50/K56-1)*100</f>
        <v>-15.094339622641506</v>
      </c>
      <c r="AE50">
        <f>(L50/L56-1)*100</f>
        <v>-21.739130434782616</v>
      </c>
      <c r="AF50">
        <f t="shared" si="16"/>
        <v>24.744819053510668</v>
      </c>
      <c r="AG50">
        <f t="shared" si="17"/>
        <v>7.9183420971234139E-2</v>
      </c>
      <c r="AH50">
        <f t="shared" si="18"/>
        <v>1.0887720383544693E-3</v>
      </c>
      <c r="AI50">
        <f>J56*(100-AG50)/100</f>
        <v>4.4763604627252045</v>
      </c>
      <c r="AJ50">
        <f>L56*(100-AH50)/100</f>
        <v>2.6862527421925626</v>
      </c>
      <c r="AK50">
        <f t="shared" si="19"/>
        <v>1.666395865294316</v>
      </c>
      <c r="AL50">
        <f>AK50/AM56-1</f>
        <v>-7.8095499214825281E-4</v>
      </c>
      <c r="AM50">
        <f t="shared" si="20"/>
        <v>1.850261805399944</v>
      </c>
      <c r="AN50">
        <f t="shared" si="41"/>
        <v>1.4198814800801591</v>
      </c>
      <c r="AO50" s="6">
        <f t="shared" si="22"/>
        <v>0.25836607891796121</v>
      </c>
      <c r="AP50" s="6">
        <f t="shared" si="23"/>
        <v>6.2740579558061343E-3</v>
      </c>
      <c r="AQ50" s="6">
        <f t="shared" si="24"/>
        <v>1.7561654262953939E-4</v>
      </c>
      <c r="AR50" s="6">
        <f t="shared" si="25"/>
        <v>1.0250640557060061E-4</v>
      </c>
      <c r="AS50" s="6">
        <f t="shared" si="26"/>
        <v>0.58369447453954504</v>
      </c>
      <c r="AT50">
        <f t="shared" ref="AT50:AZ50" si="76">AM50/AM56-1</f>
        <v>0.10947036818271316</v>
      </c>
      <c r="AU50">
        <f t="shared" si="76"/>
        <v>8.4905660377358583E-2</v>
      </c>
      <c r="AV50" s="6">
        <f t="shared" si="76"/>
        <v>2.5967078189300414</v>
      </c>
      <c r="AW50" s="6">
        <f t="shared" si="76"/>
        <v>-1.3238355451470118E-2</v>
      </c>
      <c r="AX50" s="6">
        <f t="shared" si="76"/>
        <v>-1.2443886214034805E-2</v>
      </c>
      <c r="AY50" s="6">
        <f t="shared" si="76"/>
        <v>1.087045194974734E-2</v>
      </c>
      <c r="AZ50" s="6">
        <f t="shared" si="76"/>
        <v>2.3608114858812979E-2</v>
      </c>
    </row>
    <row r="51" spans="1:52">
      <c r="A51" s="6" t="s">
        <v>283</v>
      </c>
      <c r="B51" s="6" t="s">
        <v>240</v>
      </c>
      <c r="C51">
        <v>510</v>
      </c>
      <c r="D51">
        <v>18.78</v>
      </c>
      <c r="E51">
        <v>6.48</v>
      </c>
      <c r="F51">
        <v>1.77</v>
      </c>
      <c r="G51" s="6">
        <v>0.31</v>
      </c>
      <c r="H51" s="6">
        <v>2.33</v>
      </c>
      <c r="I51" s="15">
        <v>0</v>
      </c>
      <c r="J51" s="3">
        <f t="shared" si="1"/>
        <v>4.9694429187916835</v>
      </c>
      <c r="K51" s="3">
        <f t="shared" si="2"/>
        <v>3.9076726114270408</v>
      </c>
      <c r="L51" s="3">
        <f t="shared" si="3"/>
        <v>2.9532416905174759</v>
      </c>
      <c r="M51" s="6">
        <f t="shared" si="4"/>
        <v>0.22155413767400062</v>
      </c>
      <c r="N51" s="6">
        <f t="shared" si="5"/>
        <v>0.9670810934182591</v>
      </c>
      <c r="O51" s="6">
        <f>I51*22.989769/61.9789</f>
        <v>0</v>
      </c>
      <c r="P51" s="6">
        <f>100*(J51/(J51+M51+N51+O51))</f>
        <v>80.697951501075693</v>
      </c>
      <c r="Q51" s="6">
        <f>100*(J51/(J51+M51+O51))</f>
        <v>95.731954087740391</v>
      </c>
      <c r="R51" s="6">
        <v>185800</v>
      </c>
      <c r="S51" s="6">
        <v>5026</v>
      </c>
      <c r="T51" s="6">
        <v>120300</v>
      </c>
      <c r="U51" s="6">
        <v>3483</v>
      </c>
      <c r="V51" s="6">
        <f t="shared" si="9"/>
        <v>185.8</v>
      </c>
      <c r="W51" s="6">
        <f t="shared" si="10"/>
        <v>5.0259999999999998</v>
      </c>
      <c r="X51" s="6">
        <f t="shared" si="11"/>
        <v>120.3</v>
      </c>
      <c r="Y51" s="6">
        <f t="shared" si="12"/>
        <v>3.4830000000000001</v>
      </c>
      <c r="Z51" s="6">
        <f t="shared" si="13"/>
        <v>1.8579999999999999E-2</v>
      </c>
      <c r="AA51" s="6">
        <f t="shared" si="43"/>
        <v>5.0259999999999997E-4</v>
      </c>
      <c r="AB51" s="6">
        <f t="shared" si="44"/>
        <v>3.4830000000000001E-4</v>
      </c>
      <c r="AC51">
        <f>(J51/J56-1)*100</f>
        <v>10.927347903130546</v>
      </c>
      <c r="AD51">
        <f>(K51/K56-1)*100</f>
        <v>11.149228130360234</v>
      </c>
      <c r="AE51">
        <f>(L51/L56-1)*100</f>
        <v>9.9378881987577614</v>
      </c>
      <c r="AF51">
        <f t="shared" si="16"/>
        <v>-18.277423164524972</v>
      </c>
      <c r="AG51">
        <f t="shared" si="17"/>
        <v>-5.8487754126479913E-2</v>
      </c>
      <c r="AH51">
        <f t="shared" si="18"/>
        <v>-8.0420661923909871E-4</v>
      </c>
      <c r="AI51">
        <f>J56*(100-AG51)/100</f>
        <v>4.4825280044463716</v>
      </c>
      <c r="AJ51">
        <f>L56*(100-AH51)/100</f>
        <v>2.6863035929373105</v>
      </c>
      <c r="AK51">
        <f t="shared" si="19"/>
        <v>1.6686602423611392</v>
      </c>
      <c r="AL51">
        <f>AK51/AM56-1</f>
        <v>5.7683083616044684E-4</v>
      </c>
      <c r="AM51">
        <f t="shared" si="20"/>
        <v>1.6827078307705059</v>
      </c>
      <c r="AN51">
        <f t="shared" si="41"/>
        <v>1.3231807691101389</v>
      </c>
      <c r="AO51" s="6">
        <f t="shared" si="22"/>
        <v>7.5020658954323249E-2</v>
      </c>
      <c r="AP51" s="6">
        <f t="shared" si="23"/>
        <v>6.2913916120235849E-3</v>
      </c>
      <c r="AQ51" s="6">
        <f t="shared" si="24"/>
        <v>1.7018586782578329E-4</v>
      </c>
      <c r="AR51" s="6">
        <f t="shared" si="25"/>
        <v>1.1793819690354224E-4</v>
      </c>
      <c r="AS51" s="6">
        <f t="shared" si="26"/>
        <v>0.69299641862315964</v>
      </c>
      <c r="AT51">
        <f t="shared" ref="AT51:AZ51" si="77">AM51/AM56-1</f>
        <v>9.0001701923172472E-3</v>
      </c>
      <c r="AU51">
        <f t="shared" si="77"/>
        <v>1.10184027676834E-2</v>
      </c>
      <c r="AV51" s="6">
        <f t="shared" si="77"/>
        <v>4.4360744925716622E-2</v>
      </c>
      <c r="AW51" s="6">
        <f t="shared" si="77"/>
        <v>-1.0512179309067449E-2</v>
      </c>
      <c r="AX51" s="6">
        <f t="shared" si="77"/>
        <v>-4.2982558847774688E-2</v>
      </c>
      <c r="AY51" s="6">
        <f t="shared" si="77"/>
        <v>0.16305159411632952</v>
      </c>
      <c r="AZ51" s="6">
        <f t="shared" si="77"/>
        <v>0.21528777230647345</v>
      </c>
    </row>
    <row r="52" spans="1:52">
      <c r="A52" s="6" t="s">
        <v>284</v>
      </c>
      <c r="B52" s="6" t="s">
        <v>240</v>
      </c>
      <c r="C52">
        <v>520.5</v>
      </c>
      <c r="D52">
        <v>20.5</v>
      </c>
      <c r="E52">
        <v>5.0599999999999996</v>
      </c>
      <c r="F52">
        <v>1.87</v>
      </c>
      <c r="G52" s="6">
        <v>0.35</v>
      </c>
      <c r="H52" s="6">
        <v>4.58</v>
      </c>
      <c r="I52" s="6">
        <v>0.06</v>
      </c>
      <c r="J52" s="3">
        <f t="shared" si="1"/>
        <v>5.4245782659866624</v>
      </c>
      <c r="K52" s="3">
        <f t="shared" si="2"/>
        <v>3.0513616379353117</v>
      </c>
      <c r="L52" s="3">
        <f t="shared" si="3"/>
        <v>3.1200915035410621</v>
      </c>
      <c r="M52" s="6">
        <f t="shared" si="4"/>
        <v>0.25014176834161356</v>
      </c>
      <c r="N52" s="6">
        <f t="shared" si="5"/>
        <v>1.9009576857749471</v>
      </c>
      <c r="O52" s="6">
        <f t="shared" si="6"/>
        <v>2.2255737678467991E-2</v>
      </c>
      <c r="P52" s="6">
        <f t="shared" si="7"/>
        <v>71.395443196872037</v>
      </c>
      <c r="Q52" s="6">
        <f t="shared" si="8"/>
        <v>95.218559514355633</v>
      </c>
      <c r="R52" s="6">
        <v>198400</v>
      </c>
      <c r="S52" s="6">
        <v>5681</v>
      </c>
      <c r="T52" s="6">
        <v>243300</v>
      </c>
      <c r="U52" s="6">
        <v>3893</v>
      </c>
      <c r="V52" s="6">
        <f t="shared" si="9"/>
        <v>198.4</v>
      </c>
      <c r="W52" s="6">
        <f t="shared" si="10"/>
        <v>5.681</v>
      </c>
      <c r="X52" s="6">
        <f t="shared" si="11"/>
        <v>243.3</v>
      </c>
      <c r="Y52" s="6">
        <f t="shared" si="12"/>
        <v>3.8929999999999998</v>
      </c>
      <c r="Z52" s="6">
        <f t="shared" si="13"/>
        <v>1.984E-2</v>
      </c>
      <c r="AA52" s="6">
        <f t="shared" si="43"/>
        <v>5.6809999999999999E-4</v>
      </c>
      <c r="AB52" s="6">
        <f t="shared" si="44"/>
        <v>3.8929999999999998E-4</v>
      </c>
      <c r="AC52">
        <f>(J52/J56-1)*100</f>
        <v>21.086828115770828</v>
      </c>
      <c r="AD52">
        <f>(K52/K56-1)*100</f>
        <v>-13.20754716981134</v>
      </c>
      <c r="AE52">
        <f>(L52/L56-1)*100</f>
        <v>16.149068322981375</v>
      </c>
      <c r="AF52">
        <f t="shared" si="16"/>
        <v>21.65171667182187</v>
      </c>
      <c r="AG52">
        <f t="shared" si="17"/>
        <v>6.9285493349829988E-2</v>
      </c>
      <c r="AH52">
        <f t="shared" si="18"/>
        <v>9.5267553356016225E-4</v>
      </c>
      <c r="AI52">
        <f>J56*(100-AG52)/100</f>
        <v>4.4768038807574451</v>
      </c>
      <c r="AJ52">
        <f>L56*(100-AH52)/100</f>
        <v>2.6862563981284597</v>
      </c>
      <c r="AK52">
        <f t="shared" si="19"/>
        <v>1.6665586665057277</v>
      </c>
      <c r="AL52">
        <f>AK52/AM56-1</f>
        <v>-6.8333468812509235E-4</v>
      </c>
      <c r="AM52">
        <f t="shared" si="20"/>
        <v>1.7385958904827588</v>
      </c>
      <c r="AN52">
        <f t="shared" si="41"/>
        <v>0.97797184296430173</v>
      </c>
      <c r="AO52" s="6">
        <f t="shared" si="22"/>
        <v>8.017129243091814E-2</v>
      </c>
      <c r="AP52" s="6">
        <f t="shared" si="23"/>
        <v>6.3587878680747461E-3</v>
      </c>
      <c r="AQ52" s="6">
        <f t="shared" si="24"/>
        <v>1.820779933393782E-4</v>
      </c>
      <c r="AR52" s="6">
        <f t="shared" si="25"/>
        <v>1.247719817057207E-4</v>
      </c>
      <c r="AS52" s="6">
        <f t="shared" si="26"/>
        <v>0.68526667840168987</v>
      </c>
      <c r="AT52">
        <f t="shared" ref="AT52:AZ52" si="78">AM52/AM56-1</f>
        <v>4.2512263456636612E-2</v>
      </c>
      <c r="AU52">
        <f t="shared" si="78"/>
        <v>-0.25274947028554151</v>
      </c>
      <c r="AV52" s="6">
        <f t="shared" si="78"/>
        <v>0.11606258665082159</v>
      </c>
      <c r="AW52" s="6">
        <f t="shared" si="78"/>
        <v>8.7665468571751504E-5</v>
      </c>
      <c r="AX52" s="6">
        <f t="shared" si="78"/>
        <v>2.3891216714672314E-2</v>
      </c>
      <c r="AY52" s="6">
        <f t="shared" si="78"/>
        <v>0.23044319850487249</v>
      </c>
      <c r="AZ52" s="6">
        <f t="shared" si="78"/>
        <v>0.20173235048637017</v>
      </c>
    </row>
    <row r="53" spans="1:52">
      <c r="A53" s="6" t="s">
        <v>285</v>
      </c>
      <c r="B53" s="6" t="s">
        <v>240</v>
      </c>
      <c r="C53">
        <v>539</v>
      </c>
      <c r="D53">
        <v>20.75</v>
      </c>
      <c r="E53">
        <v>3.12</v>
      </c>
      <c r="F53">
        <v>1.89</v>
      </c>
      <c r="G53" s="6">
        <v>0.35</v>
      </c>
      <c r="H53" s="6">
        <v>6.25</v>
      </c>
      <c r="I53" s="6">
        <v>0.08</v>
      </c>
      <c r="J53" s="3">
        <f t="shared" si="1"/>
        <v>5.4907316594743047</v>
      </c>
      <c r="K53" s="3">
        <f t="shared" si="2"/>
        <v>1.8814719980945009</v>
      </c>
      <c r="L53" s="3">
        <f t="shared" si="3"/>
        <v>3.1534614661457794</v>
      </c>
      <c r="M53" s="6">
        <f t="shared" si="4"/>
        <v>0.25014176834161356</v>
      </c>
      <c r="N53" s="6">
        <f t="shared" si="5"/>
        <v>2.5941016454352441</v>
      </c>
      <c r="O53" s="6">
        <f t="shared" si="6"/>
        <v>2.9674316904623989E-2</v>
      </c>
      <c r="P53" s="6">
        <f t="shared" si="7"/>
        <v>65.642101699280474</v>
      </c>
      <c r="Q53" s="6">
        <f t="shared" si="8"/>
        <v>95.150961440320103</v>
      </c>
      <c r="R53" s="6">
        <v>199500</v>
      </c>
      <c r="S53" s="6">
        <v>5579</v>
      </c>
      <c r="T53" s="6">
        <v>334500</v>
      </c>
      <c r="U53" s="6">
        <v>2991</v>
      </c>
      <c r="V53" s="6">
        <f t="shared" si="9"/>
        <v>199.5</v>
      </c>
      <c r="W53" s="6">
        <f t="shared" si="10"/>
        <v>5.5789999999999997</v>
      </c>
      <c r="X53" s="6">
        <f t="shared" si="11"/>
        <v>334.5</v>
      </c>
      <c r="Y53" s="6">
        <f t="shared" si="12"/>
        <v>2.9910000000000001</v>
      </c>
      <c r="Z53" s="6">
        <f t="shared" si="13"/>
        <v>1.9949999999999999E-2</v>
      </c>
      <c r="AA53" s="6">
        <f t="shared" si="43"/>
        <v>5.5789999999999995E-4</v>
      </c>
      <c r="AB53" s="6">
        <f t="shared" si="44"/>
        <v>2.9910000000000001E-4</v>
      </c>
      <c r="AC53">
        <f>(J53/J56-1)*100</f>
        <v>22.563496751329026</v>
      </c>
      <c r="AD53">
        <f>(K53/K56-1)*100</f>
        <v>-46.483704974271014</v>
      </c>
      <c r="AE53">
        <f>(L53/L56-1)*100</f>
        <v>17.391304347826097</v>
      </c>
      <c r="AF53">
        <f t="shared" si="16"/>
        <v>76.202795039788555</v>
      </c>
      <c r="AG53">
        <f t="shared" si="17"/>
        <v>0.24384894412732339</v>
      </c>
      <c r="AH53">
        <f t="shared" si="18"/>
        <v>3.3529229817506963E-3</v>
      </c>
      <c r="AI53">
        <f>J56*(100-AG53)/100</f>
        <v>4.4689835990979248</v>
      </c>
      <c r="AJ53">
        <f>L56*(100-AH53)/100</f>
        <v>2.6861919207135516</v>
      </c>
      <c r="AK53">
        <f t="shared" si="19"/>
        <v>1.6636873801298597</v>
      </c>
      <c r="AL53">
        <f>AK53/AM56-1</f>
        <v>-2.405040850623319E-3</v>
      </c>
      <c r="AM53">
        <f t="shared" si="20"/>
        <v>1.7411760753763645</v>
      </c>
      <c r="AN53">
        <f t="shared" si="41"/>
        <v>0.59663706637711733</v>
      </c>
      <c r="AO53" s="6">
        <f t="shared" si="22"/>
        <v>7.9322918966040698E-2</v>
      </c>
      <c r="AP53" s="6">
        <f t="shared" si="23"/>
        <v>6.3263814110857894E-3</v>
      </c>
      <c r="AQ53" s="6">
        <f t="shared" si="24"/>
        <v>1.769167012152763E-4</v>
      </c>
      <c r="AR53" s="6">
        <f t="shared" si="25"/>
        <v>9.4848154388759898E-5</v>
      </c>
      <c r="AS53" s="6">
        <f t="shared" si="26"/>
        <v>0.5361175837963793</v>
      </c>
      <c r="AT53">
        <f t="shared" ref="AT53:AZ53" si="79">AM53/AM56-1</f>
        <v>4.405941677058034E-2</v>
      </c>
      <c r="AU53">
        <f t="shared" si="79"/>
        <v>-0.54412044978082708</v>
      </c>
      <c r="AV53" s="6">
        <f t="shared" si="79"/>
        <v>0.10425240054869644</v>
      </c>
      <c r="AW53" s="6">
        <f t="shared" si="79"/>
        <v>-5.0091074681239967E-3</v>
      </c>
      <c r="AX53" s="6">
        <f t="shared" si="79"/>
        <v>-5.132618488281171E-3</v>
      </c>
      <c r="AY53" s="6">
        <f t="shared" si="79"/>
        <v>-6.4651656061347706E-2</v>
      </c>
      <c r="AZ53" s="6">
        <f t="shared" si="79"/>
        <v>-5.9826102130945746E-2</v>
      </c>
    </row>
    <row r="54" spans="1:52">
      <c r="A54" s="6" t="s">
        <v>286</v>
      </c>
      <c r="B54" s="6" t="s">
        <v>240</v>
      </c>
      <c r="C54">
        <v>549</v>
      </c>
      <c r="D54">
        <v>20.21</v>
      </c>
      <c r="E54">
        <v>3.15</v>
      </c>
      <c r="F54">
        <v>1.9</v>
      </c>
      <c r="G54" s="6">
        <v>0.36</v>
      </c>
      <c r="H54" s="6">
        <v>6.05</v>
      </c>
      <c r="I54" s="6">
        <v>0.08</v>
      </c>
      <c r="J54">
        <f t="shared" si="1"/>
        <v>5.3478403295409969</v>
      </c>
      <c r="K54" s="3">
        <f t="shared" si="2"/>
        <v>1.8995630749992556</v>
      </c>
      <c r="L54" s="3">
        <f t="shared" si="3"/>
        <v>3.1701464474481376</v>
      </c>
      <c r="M54" s="6">
        <f t="shared" si="4"/>
        <v>0.25728867600851685</v>
      </c>
      <c r="N54" s="6">
        <f t="shared" si="5"/>
        <v>2.5110903927813162</v>
      </c>
      <c r="O54" s="6">
        <f t="shared" si="6"/>
        <v>2.9674316904623989E-2</v>
      </c>
      <c r="P54" s="6">
        <f t="shared" si="7"/>
        <v>65.650750138549029</v>
      </c>
      <c r="Q54" s="6">
        <f t="shared" si="8"/>
        <v>94.907311285034183</v>
      </c>
      <c r="R54" s="6">
        <v>201100</v>
      </c>
      <c r="S54" s="6">
        <v>5643</v>
      </c>
      <c r="T54" s="6">
        <v>320700</v>
      </c>
      <c r="U54" s="6">
        <v>3162</v>
      </c>
      <c r="V54" s="6">
        <f t="shared" si="9"/>
        <v>201.1</v>
      </c>
      <c r="W54" s="6">
        <f t="shared" si="10"/>
        <v>5.6429999999999998</v>
      </c>
      <c r="X54" s="6">
        <f t="shared" si="11"/>
        <v>320.7</v>
      </c>
      <c r="Y54" s="6">
        <f t="shared" si="12"/>
        <v>3.1619999999999999</v>
      </c>
      <c r="Z54" s="6">
        <f t="shared" si="13"/>
        <v>2.0109999999999999E-2</v>
      </c>
      <c r="AA54" s="6">
        <f t="shared" si="43"/>
        <v>5.643E-4</v>
      </c>
      <c r="AB54" s="6">
        <f t="shared" si="44"/>
        <v>3.1619999999999999E-4</v>
      </c>
      <c r="AC54">
        <f>(J54/J56-1)*100</f>
        <v>19.373892498523325</v>
      </c>
      <c r="AD54">
        <f>(K54/K56-1)*100</f>
        <v>-45.969125214408237</v>
      </c>
      <c r="AE54">
        <f>(L54/L56-1)*100</f>
        <v>18.012422360248426</v>
      </c>
      <c r="AF54">
        <f t="shared" si="16"/>
        <v>75.35922166296433</v>
      </c>
      <c r="AG54">
        <f t="shared" si="17"/>
        <v>0.24114950932148588</v>
      </c>
      <c r="AH54">
        <f t="shared" si="18"/>
        <v>3.3158057531704303E-3</v>
      </c>
      <c r="AI54">
        <f>J56*(100-AG54)/100</f>
        <v>4.4691045312885356</v>
      </c>
      <c r="AJ54">
        <f>L56*(100-AH54)/100</f>
        <v>2.6861929177869772</v>
      </c>
      <c r="AK54">
        <f t="shared" si="19"/>
        <v>1.6637317825148656</v>
      </c>
      <c r="AL54">
        <f>AK54/AM56-1</f>
        <v>-2.3784158993342963E-3</v>
      </c>
      <c r="AM54">
        <f t="shared" si="20"/>
        <v>1.6869379437804302</v>
      </c>
      <c r="AN54">
        <f t="shared" si="41"/>
        <v>0.59920357197641161</v>
      </c>
      <c r="AO54" s="6">
        <f t="shared" si="22"/>
        <v>8.1159870773675355E-2</v>
      </c>
      <c r="AP54" s="6">
        <f t="shared" si="23"/>
        <v>6.3435555212876301E-3</v>
      </c>
      <c r="AQ54" s="6">
        <f t="shared" si="24"/>
        <v>1.7800439486139282E-4</v>
      </c>
      <c r="AR54" s="6">
        <f t="shared" si="25"/>
        <v>9.9743026147744841E-5</v>
      </c>
      <c r="AS54" s="6">
        <f t="shared" si="26"/>
        <v>0.56034024455077081</v>
      </c>
      <c r="AT54">
        <f t="shared" ref="AT54:AZ54" si="80">AM54/AM56-1</f>
        <v>1.1536668013802931E-2</v>
      </c>
      <c r="AU54">
        <f t="shared" si="80"/>
        <v>-0.54215942944840656</v>
      </c>
      <c r="AV54" s="6">
        <f t="shared" si="80"/>
        <v>0.12982456140350895</v>
      </c>
      <c r="AW54" s="6">
        <f t="shared" si="80"/>
        <v>-2.3080241587575268E-3</v>
      </c>
      <c r="AX54" s="6">
        <f t="shared" si="80"/>
        <v>9.8388109692271186E-4</v>
      </c>
      <c r="AY54" s="6">
        <f t="shared" si="80"/>
        <v>-1.6380709482958444E-2</v>
      </c>
      <c r="AZ54" s="6">
        <f t="shared" si="80"/>
        <v>-1.734752268023787E-2</v>
      </c>
    </row>
    <row r="55" spans="1:52">
      <c r="A55" s="6" t="s">
        <v>287</v>
      </c>
      <c r="B55" s="6" t="s">
        <v>240</v>
      </c>
      <c r="C55">
        <v>559</v>
      </c>
      <c r="D55">
        <v>19.059999999999999</v>
      </c>
      <c r="E55">
        <v>3.09</v>
      </c>
      <c r="F55">
        <v>1.86</v>
      </c>
      <c r="G55" s="6">
        <v>0.36</v>
      </c>
      <c r="H55" s="6">
        <v>5.62</v>
      </c>
      <c r="I55" s="6">
        <v>0.08</v>
      </c>
      <c r="J55" s="3">
        <f t="shared" si="1"/>
        <v>5.0435347194978419</v>
      </c>
      <c r="K55" s="3">
        <f t="shared" si="2"/>
        <v>1.8633809211897459</v>
      </c>
      <c r="L55" s="3">
        <f t="shared" si="3"/>
        <v>3.1034065222387031</v>
      </c>
      <c r="M55" s="6">
        <f t="shared" si="4"/>
        <v>0.25728867600851685</v>
      </c>
      <c r="N55" s="6">
        <f t="shared" si="5"/>
        <v>2.3326161995753716</v>
      </c>
      <c r="O55" s="6">
        <f t="shared" si="6"/>
        <v>2.9674316904623989E-2</v>
      </c>
      <c r="P55" s="6">
        <f t="shared" si="7"/>
        <v>65.81573466641197</v>
      </c>
      <c r="Q55" s="6">
        <f t="shared" si="8"/>
        <v>94.616581632799395</v>
      </c>
      <c r="R55" s="6">
        <v>195400</v>
      </c>
      <c r="S55" s="6">
        <v>5368</v>
      </c>
      <c r="T55" s="6">
        <v>301400</v>
      </c>
      <c r="U55" s="6">
        <v>3125</v>
      </c>
      <c r="V55" s="6">
        <f t="shared" si="9"/>
        <v>195.4</v>
      </c>
      <c r="W55" s="6">
        <f t="shared" si="10"/>
        <v>5.3680000000000003</v>
      </c>
      <c r="X55" s="6">
        <f t="shared" si="11"/>
        <v>301.39999999999998</v>
      </c>
      <c r="Y55" s="6">
        <f t="shared" si="12"/>
        <v>3.125</v>
      </c>
      <c r="Z55" s="6">
        <f t="shared" si="13"/>
        <v>1.9539999999999998E-2</v>
      </c>
      <c r="AA55" s="6">
        <f t="shared" si="43"/>
        <v>5.3680000000000004E-4</v>
      </c>
      <c r="AB55" s="6">
        <f t="shared" si="44"/>
        <v>3.1250000000000001E-4</v>
      </c>
      <c r="AC55">
        <f>(J55/J56-1)*100</f>
        <v>12.581216774955696</v>
      </c>
      <c r="AD55">
        <f>(K55/K56-1)*100</f>
        <v>-46.99828473413379</v>
      </c>
      <c r="AE55">
        <f>(L55/L56-1)*100</f>
        <v>15.527950310559003</v>
      </c>
      <c r="AF55">
        <f t="shared" si="16"/>
        <v>77.046368416612779</v>
      </c>
      <c r="AG55">
        <f t="shared" si="17"/>
        <v>0.24654837893316089</v>
      </c>
      <c r="AH55">
        <f t="shared" si="18"/>
        <v>3.3900402103309623E-3</v>
      </c>
      <c r="AI55">
        <f>J56*(100-AG55)/100</f>
        <v>4.4688626669073139</v>
      </c>
      <c r="AJ55">
        <f>L56*(100-AH55)/100</f>
        <v>2.6861909236401247</v>
      </c>
      <c r="AK55">
        <f t="shared" si="19"/>
        <v>1.6636429777118917</v>
      </c>
      <c r="AL55">
        <f>AK55/AM56-1</f>
        <v>-2.4316658216774201E-3</v>
      </c>
      <c r="AM55">
        <f t="shared" si="20"/>
        <v>1.6251608299964484</v>
      </c>
      <c r="AN55">
        <f t="shared" si="41"/>
        <v>0.60043081943565668</v>
      </c>
      <c r="AO55" s="6">
        <f t="shared" si="22"/>
        <v>8.2905244338700626E-2</v>
      </c>
      <c r="AP55" s="6">
        <f t="shared" si="23"/>
        <v>6.2963069323913245E-3</v>
      </c>
      <c r="AQ55" s="6">
        <f t="shared" si="24"/>
        <v>1.7297121603416908E-4</v>
      </c>
      <c r="AR55" s="6">
        <f t="shared" si="25"/>
        <v>1.0069579920021951E-4</v>
      </c>
      <c r="AS55" s="6">
        <f t="shared" si="26"/>
        <v>0.58215350223546947</v>
      </c>
      <c r="AT55">
        <f t="shared" ref="AT55:AZ55" si="81">AM55/AM56-1</f>
        <v>-2.5506672001727515E-2</v>
      </c>
      <c r="AU55">
        <f t="shared" si="81"/>
        <v>-0.54122171194599678</v>
      </c>
      <c r="AV55" s="6">
        <f t="shared" si="81"/>
        <v>0.15412186379928317</v>
      </c>
      <c r="AW55" s="6">
        <f t="shared" si="81"/>
        <v>-9.7391151066456016E-3</v>
      </c>
      <c r="AX55" s="6">
        <f t="shared" si="81"/>
        <v>-2.7319526134411798E-2</v>
      </c>
      <c r="AY55" s="6">
        <f t="shared" si="81"/>
        <v>-6.9849051837114207E-3</v>
      </c>
      <c r="AZ55" s="6">
        <f t="shared" si="81"/>
        <v>2.0905756306474954E-2</v>
      </c>
    </row>
    <row r="56" spans="1:52" s="2" customFormat="1">
      <c r="A56" s="2" t="s">
        <v>288</v>
      </c>
      <c r="B56" s="2" t="s">
        <v>42</v>
      </c>
      <c r="C56" s="2">
        <v>650</v>
      </c>
      <c r="D56" s="2">
        <v>16.93</v>
      </c>
      <c r="E56" s="2">
        <v>5.83</v>
      </c>
      <c r="F56" s="2">
        <v>1.61</v>
      </c>
      <c r="G56" s="2">
        <v>0.27</v>
      </c>
      <c r="H56" s="2">
        <v>3.53</v>
      </c>
      <c r="I56" s="2">
        <v>0.14000000000000001</v>
      </c>
      <c r="J56" s="2">
        <f t="shared" si="1"/>
        <v>4.4799078069831308</v>
      </c>
      <c r="K56" s="2">
        <f t="shared" si="2"/>
        <v>3.5156992784906858</v>
      </c>
      <c r="L56" s="2">
        <f t="shared" si="3"/>
        <v>2.6862819896797379</v>
      </c>
      <c r="M56" s="2">
        <f t="shared" si="4"/>
        <v>0.19296650700638762</v>
      </c>
      <c r="N56" s="2">
        <f t="shared" si="5"/>
        <v>1.4651486093418258</v>
      </c>
      <c r="O56" s="2">
        <f t="shared" si="6"/>
        <v>5.1930054583091988E-2</v>
      </c>
      <c r="R56" s="2">
        <v>170800</v>
      </c>
      <c r="S56" s="2">
        <v>4777</v>
      </c>
      <c r="T56" s="2">
        <v>150800</v>
      </c>
      <c r="U56" s="2">
        <v>2724</v>
      </c>
      <c r="V56" s="2">
        <f t="shared" si="9"/>
        <v>170.8</v>
      </c>
      <c r="W56" s="2">
        <f t="shared" si="10"/>
        <v>4.7770000000000001</v>
      </c>
      <c r="X56" s="2">
        <f>T56/1000</f>
        <v>150.80000000000001</v>
      </c>
      <c r="Y56" s="2">
        <f t="shared" si="12"/>
        <v>2.7240000000000002</v>
      </c>
      <c r="Z56" s="2">
        <f t="shared" si="13"/>
        <v>1.7080000000000001E-2</v>
      </c>
      <c r="AA56" s="2">
        <f t="shared" si="43"/>
        <v>4.7770000000000001E-4</v>
      </c>
      <c r="AB56" s="2">
        <f t="shared" si="44"/>
        <v>2.7240000000000001E-4</v>
      </c>
      <c r="AM56" s="2">
        <f t="shared" si="20"/>
        <v>1.6676982625778731</v>
      </c>
      <c r="AN56" s="2">
        <f t="shared" si="41"/>
        <v>1.3087603207695377</v>
      </c>
      <c r="AO56" s="2">
        <f t="shared" si="22"/>
        <v>7.1834047113346192E-2</v>
      </c>
      <c r="AP56" s="2">
        <f t="shared" si="23"/>
        <v>6.3582304708212339E-3</v>
      </c>
      <c r="AQ56" s="2">
        <f t="shared" si="24"/>
        <v>1.7782943184492409E-4</v>
      </c>
      <c r="AR56" s="2">
        <f t="shared" si="25"/>
        <v>1.0140409720443232E-4</v>
      </c>
      <c r="AS56" s="2">
        <f t="shared" si="26"/>
        <v>0.57023236340799666</v>
      </c>
    </row>
    <row r="57" spans="1:52">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9"/>
      <c r="AL57" s="6"/>
      <c r="AM57" s="3"/>
      <c r="AN57" s="39"/>
      <c r="AO57" s="39"/>
      <c r="AP57" s="39"/>
      <c r="AQ57" s="39"/>
      <c r="AR57" s="39"/>
      <c r="AS57" s="39" t="s">
        <v>97</v>
      </c>
      <c r="AT57" s="6">
        <f>_xlfn.VAR.P(AT3:AT55)</f>
        <v>7.2277925203511279E-3</v>
      </c>
      <c r="AU57" s="3"/>
    </row>
    <row r="58" spans="1:52">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67" t="s">
        <v>98</v>
      </c>
      <c r="AT58" s="3">
        <f>AVERAGE(AT3:AT55)</f>
        <v>5.8409480329939562E-2</v>
      </c>
      <c r="AU58" s="3"/>
    </row>
    <row r="59" spans="1:52">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row>
    <row r="60" spans="1:52">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row>
    <row r="61" spans="1:52">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row>
    <row r="62" spans="1:52">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row>
    <row r="63" spans="1:52">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row>
    <row r="64" spans="1:52">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row>
    <row r="65" spans="3:47">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row>
  </sheetData>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65"/>
  <sheetViews>
    <sheetView topLeftCell="A12" workbookViewId="0">
      <selection activeCell="Q23" sqref="Q23"/>
    </sheetView>
  </sheetViews>
  <sheetFormatPr defaultRowHeight="14.5"/>
  <cols>
    <col min="1" max="1" width="11.08984375" style="6" customWidth="1"/>
    <col min="2" max="2" width="13.08984375" style="6" customWidth="1"/>
    <col min="3" max="3" width="9.81640625" customWidth="1"/>
    <col min="4" max="4" width="7.26953125" customWidth="1"/>
    <col min="7" max="9" width="8.7265625" style="6"/>
    <col min="13" max="22" width="8.7265625" style="6"/>
    <col min="23" max="23" width="13.26953125" customWidth="1"/>
    <col min="24" max="25" width="12.54296875" customWidth="1"/>
    <col min="26" max="26" width="17.90625" customWidth="1"/>
    <col min="27" max="28" width="20" customWidth="1"/>
    <col min="29" max="30" width="11.90625" customWidth="1"/>
    <col min="31" max="31" width="13.81640625" customWidth="1"/>
    <col min="32" max="32" width="18.36328125" customWidth="1"/>
    <col min="35" max="37" width="8.7265625" style="6"/>
    <col min="39" max="39" width="11" customWidth="1"/>
    <col min="40" max="40" width="11.81640625" customWidth="1"/>
    <col min="41" max="41" width="9.90625" customWidth="1"/>
  </cols>
  <sheetData>
    <row r="1" spans="1:43" s="6" customFormat="1">
      <c r="A1" s="81" t="s">
        <v>178</v>
      </c>
      <c r="B1" s="81"/>
      <c r="C1" s="81"/>
      <c r="D1" s="81"/>
      <c r="E1" s="81"/>
      <c r="F1" s="81"/>
      <c r="G1" s="81"/>
      <c r="H1" s="81"/>
      <c r="I1" s="81"/>
      <c r="J1" s="81"/>
      <c r="K1" s="81"/>
      <c r="L1" s="81"/>
      <c r="M1" s="81"/>
      <c r="N1" s="81"/>
      <c r="O1" s="81"/>
      <c r="P1" s="81"/>
      <c r="Q1" s="81"/>
    </row>
    <row r="2" spans="1:43">
      <c r="A2" s="1" t="s">
        <v>197</v>
      </c>
      <c r="B2" s="1" t="s">
        <v>196</v>
      </c>
      <c r="C2" s="1" t="s">
        <v>21</v>
      </c>
      <c r="D2" s="1" t="s">
        <v>1</v>
      </c>
      <c r="E2" s="1" t="s">
        <v>2</v>
      </c>
      <c r="F2" s="1" t="s">
        <v>3</v>
      </c>
      <c r="G2" s="1" t="s">
        <v>48</v>
      </c>
      <c r="H2" s="1" t="s">
        <v>49</v>
      </c>
      <c r="I2" s="1" t="s">
        <v>50</v>
      </c>
      <c r="J2" s="1" t="s">
        <v>4</v>
      </c>
      <c r="K2" s="1" t="s">
        <v>5</v>
      </c>
      <c r="L2" s="1" t="s">
        <v>6</v>
      </c>
      <c r="M2" s="1" t="s">
        <v>45</v>
      </c>
      <c r="N2" s="1" t="s">
        <v>46</v>
      </c>
      <c r="O2" s="1" t="s">
        <v>47</v>
      </c>
      <c r="P2" s="1" t="s">
        <v>51</v>
      </c>
      <c r="Q2" s="1" t="s">
        <v>52</v>
      </c>
      <c r="R2" s="1" t="s">
        <v>110</v>
      </c>
      <c r="S2" s="1" t="s">
        <v>108</v>
      </c>
      <c r="T2" s="1" t="s">
        <v>378</v>
      </c>
      <c r="U2" s="1" t="s">
        <v>120</v>
      </c>
      <c r="V2" s="1" t="s">
        <v>122</v>
      </c>
      <c r="W2" s="1" t="s">
        <v>7</v>
      </c>
      <c r="X2" s="1" t="s">
        <v>8</v>
      </c>
      <c r="Y2" s="1" t="s">
        <v>9</v>
      </c>
      <c r="Z2" s="1" t="s">
        <v>10</v>
      </c>
      <c r="AA2" s="1" t="s">
        <v>11</v>
      </c>
      <c r="AB2" s="1" t="s">
        <v>12</v>
      </c>
      <c r="AC2" s="1" t="s">
        <v>13</v>
      </c>
      <c r="AD2" s="1" t="s">
        <v>14</v>
      </c>
      <c r="AE2" s="1" t="s">
        <v>15</v>
      </c>
      <c r="AF2" s="1" t="s">
        <v>460</v>
      </c>
      <c r="AG2" s="1" t="s">
        <v>16</v>
      </c>
      <c r="AH2" s="1" t="s">
        <v>17</v>
      </c>
      <c r="AI2" s="1" t="s">
        <v>107</v>
      </c>
      <c r="AJ2" s="1" t="s">
        <v>134</v>
      </c>
      <c r="AK2" s="1" t="s">
        <v>135</v>
      </c>
      <c r="AL2" s="1" t="s">
        <v>459</v>
      </c>
      <c r="AM2" s="1" t="s">
        <v>461</v>
      </c>
      <c r="AN2" s="1" t="s">
        <v>462</v>
      </c>
      <c r="AO2" s="1" t="s">
        <v>465</v>
      </c>
      <c r="AP2" s="1" t="s">
        <v>463</v>
      </c>
      <c r="AQ2" s="1" t="s">
        <v>153</v>
      </c>
    </row>
    <row r="3" spans="1:43" s="3" customFormat="1">
      <c r="A3" s="3">
        <v>9</v>
      </c>
      <c r="B3" s="3" t="s">
        <v>290</v>
      </c>
      <c r="C3" s="3">
        <v>12.4</v>
      </c>
      <c r="D3" s="3">
        <v>20.76</v>
      </c>
      <c r="E3" s="3">
        <v>0.9</v>
      </c>
      <c r="F3" s="3">
        <v>0.28999999999999998</v>
      </c>
      <c r="G3" s="3">
        <v>0.08</v>
      </c>
      <c r="H3" s="3">
        <v>8.74</v>
      </c>
      <c r="I3" s="3">
        <v>0</v>
      </c>
      <c r="J3" s="3">
        <f t="shared" ref="J3:J11" si="0">D3*26.98/101.96</f>
        <v>5.4933777952138101</v>
      </c>
      <c r="K3" s="3">
        <f t="shared" ref="K3:K11" si="1">E3*24.305/40.3044</f>
        <v>0.54273230714264453</v>
      </c>
      <c r="L3" s="3">
        <f t="shared" ref="L3:L11" si="2">F3*79.866/47.867</f>
        <v>0.48386445776839998</v>
      </c>
      <c r="M3" s="3">
        <f t="shared" ref="M3:M11" si="3">G3*40.078/56.0774</f>
        <v>5.7175261335225963E-2</v>
      </c>
      <c r="N3" s="3">
        <f t="shared" ref="N3:N11" si="4">H3*39.0983/94.2</f>
        <v>3.6275917409766456</v>
      </c>
      <c r="O3" s="3">
        <f t="shared" ref="O3:O11" si="5">I3*22.989769/61.9789</f>
        <v>0</v>
      </c>
      <c r="P3" s="3">
        <f t="shared" ref="P3:P9" si="6">100*(J3/(J3+M3+N3+O3))</f>
        <v>59.852812484444115</v>
      </c>
      <c r="Q3" s="3">
        <f t="shared" ref="Q3:Q9" si="7">100*(J3/(J3+M3+O3))</f>
        <v>98.969917758595855</v>
      </c>
      <c r="R3" s="3">
        <v>314</v>
      </c>
      <c r="S3" s="3">
        <v>0</v>
      </c>
      <c r="T3" s="3">
        <v>587</v>
      </c>
      <c r="U3" s="3">
        <f>R3/10000</f>
        <v>3.1399999999999997E-2</v>
      </c>
      <c r="V3" s="3">
        <f>S3/10000</f>
        <v>0</v>
      </c>
      <c r="W3" s="3">
        <f>(J3/AVERAGE(J10:J11)-1)*100</f>
        <v>42.191780821917831</v>
      </c>
      <c r="X3" s="3">
        <f>(K3/AVERAGE(K10:K11)-1)*100</f>
        <v>50.000000000000021</v>
      </c>
      <c r="Y3" s="3">
        <f>(L3/AVERAGE(L10:L11)-1)*100</f>
        <v>13.725490196078427</v>
      </c>
      <c r="Z3" s="3">
        <f t="shared" ref="Z3:Z9" si="8">X3/-0.13</f>
        <v>-384.61538461538476</v>
      </c>
      <c r="AA3" s="3">
        <f t="shared" ref="AA3:AA9" si="9">Z3*0.0018</f>
        <v>-0.69230769230769251</v>
      </c>
      <c r="AB3" s="3">
        <f t="shared" ref="AB3:AB9" si="10">Z3*0.00015</f>
        <v>-5.7692307692307709E-2</v>
      </c>
      <c r="AC3" s="3">
        <f>AVERAGE(J10:J11)*(100-AA3)/100</f>
        <v>3.8901045055376162</v>
      </c>
      <c r="AD3" s="3">
        <f>AVERAGE(L10:L11)*(100-AB3)/100</f>
        <v>0.42571248495430447</v>
      </c>
      <c r="AE3" s="3">
        <f t="shared" ref="AE3:AE9" si="11">AC3/AD3</f>
        <v>9.1378680283599767</v>
      </c>
      <c r="AF3" s="3">
        <f>AE3/AVERAGE(AG10:AG11)-1</f>
        <v>-4.5333783296443997E-3</v>
      </c>
      <c r="AG3" s="3">
        <f t="shared" ref="AG3:AG11" si="12">J3/L3</f>
        <v>11.353133521212662</v>
      </c>
      <c r="AH3" s="3">
        <f t="shared" ref="AH3:AH11" si="13">K3/L3</f>
        <v>1.1216618588721006</v>
      </c>
      <c r="AI3" s="3">
        <f t="shared" ref="AI3:AI11" si="14">M3/L3</f>
        <v>0.11816379652872272</v>
      </c>
      <c r="AJ3" s="3">
        <f>U3/L3</f>
        <v>6.4894206416437172E-2</v>
      </c>
      <c r="AK3" s="3">
        <f>V3/L3</f>
        <v>0</v>
      </c>
      <c r="AL3" s="3">
        <f>AG3/AVERAGE(AG10:AG11)-1</f>
        <v>0.23679456046624581</v>
      </c>
      <c r="AM3" s="3">
        <f>AH3/AVERAGE(AH10:AH11)-1</f>
        <v>0.33910933980246072</v>
      </c>
      <c r="AN3" s="3">
        <f>AI3/AVERAGE(AI10:AI11)-1</f>
        <v>-0.85269057013781668</v>
      </c>
      <c r="AO3" s="3">
        <f>AJ3/AVERAGE(AJ10:AJ11)-1</f>
        <v>0.16839234538226844</v>
      </c>
      <c r="AP3" s="3" t="s">
        <v>137</v>
      </c>
      <c r="AQ3" s="3">
        <f>221*EXP(0.0197*Q3)</f>
        <v>1552.8854832278039</v>
      </c>
    </row>
    <row r="4" spans="1:43" s="3" customFormat="1">
      <c r="A4" s="3">
        <v>8</v>
      </c>
      <c r="B4" s="3" t="s">
        <v>290</v>
      </c>
      <c r="C4" s="3">
        <v>11</v>
      </c>
      <c r="D4" s="3">
        <v>19.940000000000001</v>
      </c>
      <c r="E4" s="3">
        <v>0.75</v>
      </c>
      <c r="F4" s="3">
        <v>0.26</v>
      </c>
      <c r="G4" s="3">
        <v>0.18</v>
      </c>
      <c r="H4" s="3">
        <v>8.2899999999999991</v>
      </c>
      <c r="I4" s="3">
        <v>0</v>
      </c>
      <c r="J4" s="3">
        <f t="shared" si="0"/>
        <v>5.2763946645743438</v>
      </c>
      <c r="K4" s="3">
        <f t="shared" si="1"/>
        <v>0.45227692261887031</v>
      </c>
      <c r="L4" s="3">
        <f t="shared" si="2"/>
        <v>0.43380951386132416</v>
      </c>
      <c r="M4" s="3">
        <f t="shared" si="3"/>
        <v>0.12864433800425842</v>
      </c>
      <c r="N4" s="3">
        <f t="shared" si="4"/>
        <v>3.4408164225053079</v>
      </c>
      <c r="O4" s="3">
        <f t="shared" si="5"/>
        <v>0</v>
      </c>
      <c r="P4" s="3">
        <f t="shared" si="6"/>
        <v>59.648212762015518</v>
      </c>
      <c r="Q4" s="3">
        <f t="shared" si="7"/>
        <v>97.619918414226319</v>
      </c>
      <c r="R4" s="3">
        <v>276</v>
      </c>
      <c r="S4" s="3">
        <v>1</v>
      </c>
      <c r="T4" s="3">
        <v>519</v>
      </c>
      <c r="U4" s="3">
        <f t="shared" ref="U4:U11" si="15">R4/10000</f>
        <v>2.76E-2</v>
      </c>
      <c r="V4" s="3">
        <f t="shared" ref="V4:V11" si="16">S4/10000</f>
        <v>1E-4</v>
      </c>
      <c r="W4" s="3">
        <f>(J4/AVERAGE(J10:J11)-1)*100</f>
        <v>36.575342465753444</v>
      </c>
      <c r="X4" s="3">
        <f>(K4/AVERAGE(K10:K11)-1)*100</f>
        <v>24.999999999999979</v>
      </c>
      <c r="Y4" s="3">
        <f>(L4/AVERAGE(L10:L11)-1)*100</f>
        <v>1.9607843137255054</v>
      </c>
      <c r="Z4" s="3">
        <f t="shared" si="8"/>
        <v>-192.30769230769215</v>
      </c>
      <c r="AA4" s="3">
        <f t="shared" si="9"/>
        <v>-0.34615384615384587</v>
      </c>
      <c r="AB4" s="3">
        <f t="shared" si="10"/>
        <v>-2.884615384615382E-2</v>
      </c>
      <c r="AC4" s="3">
        <f>AVERAGE(J10:J11)*(100-AA4)/100</f>
        <v>3.8767313426079602</v>
      </c>
      <c r="AD4" s="3">
        <f>AVERAGE(L10:L11)*(100-AB4)/100</f>
        <v>0.42558975408222466</v>
      </c>
      <c r="AE4" s="3">
        <f t="shared" si="11"/>
        <v>9.1090805298357083</v>
      </c>
      <c r="AF4" s="3">
        <f>AE4/AVERAGE(AG10:AG11)-1</f>
        <v>-7.6694483421850812E-3</v>
      </c>
      <c r="AG4" s="3">
        <f t="shared" si="12"/>
        <v>12.16292980209062</v>
      </c>
      <c r="AH4" s="3">
        <f t="shared" si="13"/>
        <v>1.0425703175413752</v>
      </c>
      <c r="AI4" s="3">
        <f t="shared" si="14"/>
        <v>0.29654568167304451</v>
      </c>
      <c r="AJ4" s="3">
        <f t="shared" ref="AJ4:AJ11" si="17">U4/L4</f>
        <v>6.3622394433753449E-2</v>
      </c>
      <c r="AK4" s="3">
        <f t="shared" ref="AK4:AK11" si="18">V4/L4</f>
        <v>2.3051592186142556E-4</v>
      </c>
      <c r="AL4" s="3">
        <f>AG4/AVERAGE(AG10:AG11)-1</f>
        <v>0.3250126399422173</v>
      </c>
      <c r="AM4" s="3">
        <f>AH4/AVERAGE(AH10:AH11)-1</f>
        <v>0.24468496327792799</v>
      </c>
      <c r="AN4" s="3">
        <f>AI4/AVERAGE(AI10:AI11)-1</f>
        <v>-0.63030998851894382</v>
      </c>
      <c r="AO4" s="3">
        <f>AJ4/AVERAGE(AJ10:AJ11)-1</f>
        <v>0.14549391627139596</v>
      </c>
      <c r="AP4" s="3" t="s">
        <v>137</v>
      </c>
      <c r="AQ4" s="3">
        <f t="shared" ref="AQ4:AQ9" si="19">221*EXP(0.0197*Q4)</f>
        <v>1512.1308504199169</v>
      </c>
    </row>
    <row r="5" spans="1:43">
      <c r="A5" s="6">
        <v>7</v>
      </c>
      <c r="B5" s="3" t="s">
        <v>290</v>
      </c>
      <c r="C5">
        <v>10.199999999999999</v>
      </c>
      <c r="D5">
        <v>19.29</v>
      </c>
      <c r="E5">
        <v>0.89</v>
      </c>
      <c r="F5">
        <v>0.27</v>
      </c>
      <c r="G5" s="6">
        <v>0.13</v>
      </c>
      <c r="H5" s="6">
        <v>8.19</v>
      </c>
      <c r="I5" s="6">
        <v>0</v>
      </c>
      <c r="J5">
        <f t="shared" si="0"/>
        <v>5.1043958415064736</v>
      </c>
      <c r="K5">
        <f t="shared" si="1"/>
        <v>0.53670194817439287</v>
      </c>
      <c r="L5">
        <f t="shared" si="2"/>
        <v>0.45049449516368273</v>
      </c>
      <c r="M5" s="3">
        <f t="shared" si="3"/>
        <v>9.2909799669742194E-2</v>
      </c>
      <c r="N5" s="3">
        <f t="shared" si="4"/>
        <v>3.399310796178344</v>
      </c>
      <c r="O5" s="3">
        <f t="shared" si="5"/>
        <v>0</v>
      </c>
      <c r="P5" s="3">
        <f t="shared" si="6"/>
        <v>59.376801078695685</v>
      </c>
      <c r="Q5" s="3">
        <f t="shared" si="7"/>
        <v>98.21234681805791</v>
      </c>
      <c r="R5" s="3">
        <v>289</v>
      </c>
      <c r="S5" s="3">
        <v>0</v>
      </c>
      <c r="T5" s="3">
        <v>540</v>
      </c>
      <c r="U5" s="3">
        <f t="shared" si="15"/>
        <v>2.8899999999999999E-2</v>
      </c>
      <c r="V5" s="3">
        <f t="shared" si="16"/>
        <v>0</v>
      </c>
      <c r="W5">
        <f>(J5/AVERAGE(J10:J11)-1)*100</f>
        <v>32.123287671232895</v>
      </c>
      <c r="X5">
        <f>(K5/AVERAGE(K10:K11)-1)*100</f>
        <v>48.333333333333343</v>
      </c>
      <c r="Y5">
        <f>(L5/AVERAGE(L10:L11)-1)*100</f>
        <v>5.8823529411764719</v>
      </c>
      <c r="Z5">
        <f t="shared" si="8"/>
        <v>-371.79487179487188</v>
      </c>
      <c r="AA5">
        <f t="shared" si="9"/>
        <v>-0.66923076923076941</v>
      </c>
      <c r="AB5">
        <f t="shared" si="10"/>
        <v>-5.5769230769230779E-2</v>
      </c>
      <c r="AC5">
        <f>AVERAGE(J10:J11)*(100-AA5)/100</f>
        <v>3.8892129613423059</v>
      </c>
      <c r="AD5">
        <f>AVERAGE(L10:L11)*(100-AB5)/100</f>
        <v>0.42570430289616579</v>
      </c>
      <c r="AE5">
        <f t="shared" si="11"/>
        <v>9.1359493782023851</v>
      </c>
      <c r="AF5">
        <f>AE5/AVERAGE(AG10:AG11)-1</f>
        <v>-4.7423934067517548E-3</v>
      </c>
      <c r="AG5">
        <f t="shared" si="12"/>
        <v>11.330650865449181</v>
      </c>
      <c r="AH5">
        <f t="shared" si="13"/>
        <v>1.1913618344645645</v>
      </c>
      <c r="AI5" s="3">
        <f t="shared" si="14"/>
        <v>0.20623958931170588</v>
      </c>
      <c r="AJ5" s="3">
        <f t="shared" si="17"/>
        <v>6.4151727291361177E-2</v>
      </c>
      <c r="AK5" s="3">
        <f t="shared" si="18"/>
        <v>0</v>
      </c>
      <c r="AL5">
        <f>AG5/AVERAGE(AG10:AG11)-1</f>
        <v>0.23434533124673962</v>
      </c>
      <c r="AM5">
        <f>AH5/AVERAGE(AH10:AH11)-1</f>
        <v>0.42232148396302516</v>
      </c>
      <c r="AN5" s="6">
        <f>AI5/AVERAGE(AI10:AI11)-1</f>
        <v>-0.74289048584239303</v>
      </c>
      <c r="AO5" s="6">
        <f>AJ5/AVERAGE(AJ10:AJ11)-1</f>
        <v>0.15502432727633786</v>
      </c>
      <c r="AP5" s="3" t="s">
        <v>137</v>
      </c>
      <c r="AQ5" s="3">
        <f t="shared" si="19"/>
        <v>1529.8820712989923</v>
      </c>
    </row>
    <row r="6" spans="1:43">
      <c r="A6" s="6">
        <v>6</v>
      </c>
      <c r="B6" s="3" t="s">
        <v>290</v>
      </c>
      <c r="C6">
        <v>8.6999999999999993</v>
      </c>
      <c r="D6">
        <v>20.02</v>
      </c>
      <c r="E6">
        <v>0.98</v>
      </c>
      <c r="F6">
        <v>0.27</v>
      </c>
      <c r="G6" s="6">
        <v>0.08</v>
      </c>
      <c r="H6" s="6">
        <v>8.84</v>
      </c>
      <c r="I6" s="6">
        <v>0</v>
      </c>
      <c r="J6">
        <f t="shared" si="0"/>
        <v>5.2975637504903883</v>
      </c>
      <c r="K6">
        <f t="shared" si="1"/>
        <v>0.59097517888865725</v>
      </c>
      <c r="L6">
        <f t="shared" si="2"/>
        <v>0.45049449516368273</v>
      </c>
      <c r="M6" s="3">
        <f t="shared" si="3"/>
        <v>5.7175261335225963E-2</v>
      </c>
      <c r="N6" s="3">
        <f t="shared" si="4"/>
        <v>3.6690973673036096</v>
      </c>
      <c r="O6" s="3">
        <f t="shared" si="5"/>
        <v>0</v>
      </c>
      <c r="P6" s="3">
        <f t="shared" si="6"/>
        <v>58.706336506087986</v>
      </c>
      <c r="Q6" s="3">
        <f t="shared" si="7"/>
        <v>98.932249336355</v>
      </c>
      <c r="R6" s="3">
        <v>302</v>
      </c>
      <c r="S6" s="3">
        <v>0</v>
      </c>
      <c r="T6" s="3">
        <v>528</v>
      </c>
      <c r="U6" s="3">
        <f t="shared" si="15"/>
        <v>3.0200000000000001E-2</v>
      </c>
      <c r="V6" s="3">
        <f t="shared" si="16"/>
        <v>0</v>
      </c>
      <c r="W6">
        <f>(J6/AVERAGE(J10:J11)-1)*100</f>
        <v>37.123287671232873</v>
      </c>
      <c r="X6">
        <f>(K6/AVERAGE(K10:K11)-1)*100</f>
        <v>63.333333333333307</v>
      </c>
      <c r="Y6">
        <f>(L6/AVERAGE(L10:L11)-1)*100</f>
        <v>5.8823529411764719</v>
      </c>
      <c r="Z6">
        <f t="shared" si="8"/>
        <v>-487.17948717948696</v>
      </c>
      <c r="AA6">
        <f t="shared" si="9"/>
        <v>-0.87692307692307647</v>
      </c>
      <c r="AB6">
        <f t="shared" si="10"/>
        <v>-7.3076923076923039E-2</v>
      </c>
      <c r="AC6">
        <f>AVERAGE(J10:J11)*(100-AA6)/100</f>
        <v>3.897236859100099</v>
      </c>
      <c r="AD6">
        <f>AVERAGE(L10:L11)*(100-AB6)/100</f>
        <v>0.42577794141941377</v>
      </c>
      <c r="AE6">
        <f t="shared" si="11"/>
        <v>9.153214574968116</v>
      </c>
      <c r="AF6">
        <f>AE6/AVERAGE(AG10:AG11)-1</f>
        <v>-2.8615469069429578E-3</v>
      </c>
      <c r="AG6">
        <f t="shared" si="12"/>
        <v>11.759441696541865</v>
      </c>
      <c r="AH6">
        <f t="shared" si="13"/>
        <v>1.3118366267137898</v>
      </c>
      <c r="AI6" s="3">
        <f t="shared" si="14"/>
        <v>0.12691667034566514</v>
      </c>
      <c r="AJ6" s="3">
        <f t="shared" si="17"/>
        <v>6.7037445127996795E-2</v>
      </c>
      <c r="AK6" s="3">
        <f t="shared" si="18"/>
        <v>0</v>
      </c>
      <c r="AL6">
        <f>AG6/AVERAGE(AG10:AG11)-1</f>
        <v>0.28105720744218377</v>
      </c>
      <c r="AM6">
        <f>AH6/AVERAGE(AH10:AH11)-1</f>
        <v>0.56615174638625221</v>
      </c>
      <c r="AN6" s="6">
        <f>AI6/AVERAGE(AI10:AI11)-1</f>
        <v>-0.84177876051839573</v>
      </c>
      <c r="AO6" s="6">
        <f>AJ6/AVERAGE(AJ10:AJ11)-1</f>
        <v>0.20698043888392403</v>
      </c>
      <c r="AP6" s="3" t="s">
        <v>137</v>
      </c>
      <c r="AQ6" s="3">
        <f t="shared" si="19"/>
        <v>1551.7335641840912</v>
      </c>
    </row>
    <row r="7" spans="1:43">
      <c r="A7" s="6">
        <v>5</v>
      </c>
      <c r="B7" s="3" t="s">
        <v>290</v>
      </c>
      <c r="C7">
        <v>6.7</v>
      </c>
      <c r="D7">
        <v>16.7</v>
      </c>
      <c r="E7">
        <v>1.04</v>
      </c>
      <c r="F7">
        <v>0.28000000000000003</v>
      </c>
      <c r="G7" s="6">
        <v>0.05</v>
      </c>
      <c r="H7" s="6">
        <v>8.17</v>
      </c>
      <c r="I7" s="6">
        <v>0</v>
      </c>
      <c r="J7">
        <f t="shared" si="0"/>
        <v>4.4190466849745</v>
      </c>
      <c r="K7">
        <f t="shared" si="1"/>
        <v>0.62715733269816698</v>
      </c>
      <c r="L7">
        <f t="shared" si="2"/>
        <v>0.46717947646604135</v>
      </c>
      <c r="M7" s="3">
        <f t="shared" si="3"/>
        <v>3.573453833451623E-2</v>
      </c>
      <c r="N7" s="3">
        <f t="shared" si="4"/>
        <v>3.3910096709129509</v>
      </c>
      <c r="O7" s="3">
        <f t="shared" si="5"/>
        <v>0</v>
      </c>
      <c r="P7" s="3">
        <f t="shared" si="6"/>
        <v>56.32378869833132</v>
      </c>
      <c r="Q7" s="3">
        <f t="shared" si="7"/>
        <v>99.197838534751369</v>
      </c>
      <c r="R7" s="3">
        <v>297</v>
      </c>
      <c r="S7" s="3">
        <v>5</v>
      </c>
      <c r="T7" s="3">
        <v>528</v>
      </c>
      <c r="U7" s="3">
        <f t="shared" si="15"/>
        <v>2.9700000000000001E-2</v>
      </c>
      <c r="V7" s="3">
        <f t="shared" si="16"/>
        <v>5.0000000000000001E-4</v>
      </c>
      <c r="W7">
        <f>(J7/AVERAGE(J10:J11)-1)*100</f>
        <v>14.38356164383563</v>
      </c>
      <c r="X7">
        <f>(K7/AVERAGE(K10:K11)-1)*100</f>
        <v>73.333333333333343</v>
      </c>
      <c r="Y7">
        <f>(L7/AVERAGE(L10:L11)-1)*100</f>
        <v>9.8039215686274606</v>
      </c>
      <c r="Z7">
        <f t="shared" si="8"/>
        <v>-564.1025641025642</v>
      </c>
      <c r="AA7">
        <f t="shared" si="9"/>
        <v>-1.0153846153846156</v>
      </c>
      <c r="AB7">
        <f t="shared" si="10"/>
        <v>-8.461538461538462E-2</v>
      </c>
      <c r="AC7">
        <f>AVERAGE(J10:J11)*(100-AA7)/100</f>
        <v>3.9025861242719615</v>
      </c>
      <c r="AD7">
        <f>AVERAGE(L10:L11)*(100-AB7)/100</f>
        <v>0.42582703376824571</v>
      </c>
      <c r="AE7">
        <f t="shared" si="11"/>
        <v>9.1647213887221746</v>
      </c>
      <c r="AF7">
        <f>AE7/AVERAGE(AG10:AG11)-1</f>
        <v>-1.6080106358573598E-3</v>
      </c>
      <c r="AG7">
        <f t="shared" si="12"/>
        <v>9.4589914745446109</v>
      </c>
      <c r="AH7">
        <f t="shared" si="13"/>
        <v>1.342433399348514</v>
      </c>
      <c r="AI7" s="3">
        <f t="shared" si="14"/>
        <v>7.6489957574396417E-2</v>
      </c>
      <c r="AJ7" s="3">
        <f t="shared" si="17"/>
        <v>6.3572998164783151E-2</v>
      </c>
      <c r="AK7" s="3">
        <f t="shared" si="18"/>
        <v>1.0702524943566186E-3</v>
      </c>
      <c r="AL7">
        <f>AG7/AVERAGE(AG10:AG11)-1</f>
        <v>3.0449362843729011E-2</v>
      </c>
      <c r="AM7">
        <f>AH7/AVERAGE(AH10:AH11)-1</f>
        <v>0.6026800670016752</v>
      </c>
      <c r="AN7" s="6">
        <f>AI7/AVERAGE(AI10:AI11)-1</f>
        <v>-0.90464344941956876</v>
      </c>
      <c r="AO7" s="6">
        <f>AJ7/AVERAGE(AJ10:AJ11)-1</f>
        <v>0.14460455764075064</v>
      </c>
      <c r="AP7" s="3" t="s">
        <v>137</v>
      </c>
      <c r="AQ7" s="3">
        <f t="shared" si="19"/>
        <v>1559.8736769525478</v>
      </c>
    </row>
    <row r="8" spans="1:43">
      <c r="A8" s="6">
        <v>4</v>
      </c>
      <c r="B8" s="3" t="s">
        <v>290</v>
      </c>
      <c r="C8">
        <v>5.5</v>
      </c>
      <c r="D8">
        <v>17.38</v>
      </c>
      <c r="E8">
        <v>1.04</v>
      </c>
      <c r="F8">
        <v>0.31</v>
      </c>
      <c r="G8" s="6">
        <v>0.1</v>
      </c>
      <c r="H8" s="6">
        <v>8.4600000000000009</v>
      </c>
      <c r="I8" s="6">
        <v>0</v>
      </c>
      <c r="J8">
        <f t="shared" si="0"/>
        <v>4.5989839152608871</v>
      </c>
      <c r="K8">
        <f t="shared" si="1"/>
        <v>0.62715733269816698</v>
      </c>
      <c r="L8">
        <f t="shared" si="2"/>
        <v>0.51723442037311718</v>
      </c>
      <c r="M8" s="3">
        <f t="shared" si="3"/>
        <v>7.1469076669032461E-2</v>
      </c>
      <c r="N8" s="3">
        <f t="shared" si="4"/>
        <v>3.5113759872611467</v>
      </c>
      <c r="O8" s="3">
        <f t="shared" si="5"/>
        <v>0</v>
      </c>
      <c r="P8" s="3">
        <f t="shared" si="6"/>
        <v>56.209729229950078</v>
      </c>
      <c r="Q8" s="3">
        <f t="shared" si="7"/>
        <v>98.469761353073807</v>
      </c>
      <c r="R8" s="3">
        <v>350</v>
      </c>
      <c r="S8" s="3">
        <v>5</v>
      </c>
      <c r="T8" s="3">
        <v>601</v>
      </c>
      <c r="U8" s="3">
        <f t="shared" si="15"/>
        <v>3.5000000000000003E-2</v>
      </c>
      <c r="V8" s="3">
        <f t="shared" si="16"/>
        <v>5.0000000000000001E-4</v>
      </c>
      <c r="W8">
        <f>(J8/AVERAGE(J10:J11)-1)*100</f>
        <v>19.041095890410986</v>
      </c>
      <c r="X8">
        <f>(K8/AVERAGE(K10:K11)-1)*100</f>
        <v>73.333333333333343</v>
      </c>
      <c r="Y8">
        <f>(L8/AVERAGE(L10:L11)-1)*100</f>
        <v>21.568627450980383</v>
      </c>
      <c r="Z8">
        <f t="shared" si="8"/>
        <v>-564.1025641025642</v>
      </c>
      <c r="AA8">
        <f t="shared" si="9"/>
        <v>-1.0153846153846156</v>
      </c>
      <c r="AB8">
        <f t="shared" si="10"/>
        <v>-8.461538461538462E-2</v>
      </c>
      <c r="AC8">
        <f>AVERAGE(J10:J11)*(100-AA8)/100</f>
        <v>3.9025861242719615</v>
      </c>
      <c r="AD8">
        <f>AVERAGE(L10:L11)*(100-AB8)/100</f>
        <v>0.42582703376824571</v>
      </c>
      <c r="AE8">
        <f t="shared" si="11"/>
        <v>9.1647213887221746</v>
      </c>
      <c r="AF8">
        <f>AE8/AVERAGE(AG10:AG11)-1</f>
        <v>-1.6080106358573598E-3</v>
      </c>
      <c r="AG8">
        <f t="shared" si="12"/>
        <v>8.8914885284380727</v>
      </c>
      <c r="AH8">
        <f t="shared" si="13"/>
        <v>1.2125204897341417</v>
      </c>
      <c r="AI8" s="3">
        <f t="shared" si="14"/>
        <v>0.13817540723116772</v>
      </c>
      <c r="AJ8" s="3">
        <f t="shared" si="17"/>
        <v>6.7667577062547515E-2</v>
      </c>
      <c r="AK8" s="3">
        <f t="shared" si="18"/>
        <v>9.6667967232210729E-4</v>
      </c>
      <c r="AL8">
        <f>AG8/AVERAGE(AG10:AG11)-1</f>
        <v>-3.1373618052400354E-2</v>
      </c>
      <c r="AM8">
        <f>AH8/AVERAGE(AH10:AH11)-1</f>
        <v>0.44758199600151327</v>
      </c>
      <c r="AN8" s="6">
        <f>AI8/AVERAGE(AI10:AI11)-1</f>
        <v>-0.82774300540309209</v>
      </c>
      <c r="AO8" s="6">
        <f>AJ8/AVERAGE(AJ10:AJ11)-1</f>
        <v>0.21832569402404234</v>
      </c>
      <c r="AP8" s="3" t="s">
        <v>137</v>
      </c>
      <c r="AQ8" s="3">
        <f t="shared" si="19"/>
        <v>1537.6599090725913</v>
      </c>
    </row>
    <row r="9" spans="1:43">
      <c r="A9" s="6">
        <v>3</v>
      </c>
      <c r="B9" s="6" t="s">
        <v>289</v>
      </c>
      <c r="C9">
        <v>4.5</v>
      </c>
      <c r="D9">
        <v>17.100000000000001</v>
      </c>
      <c r="E9">
        <v>1.1399999999999999</v>
      </c>
      <c r="F9">
        <v>0.23</v>
      </c>
      <c r="G9" s="6">
        <v>0.95</v>
      </c>
      <c r="H9" s="6">
        <v>6.74</v>
      </c>
      <c r="I9" s="6">
        <v>1.46</v>
      </c>
      <c r="J9">
        <f t="shared" si="0"/>
        <v>4.5248921145547278</v>
      </c>
      <c r="K9">
        <f t="shared" si="1"/>
        <v>0.6874609223806829</v>
      </c>
      <c r="L9">
        <f t="shared" si="2"/>
        <v>0.38375456995424823</v>
      </c>
      <c r="M9" s="3">
        <f t="shared" si="3"/>
        <v>0.67895622835580827</v>
      </c>
      <c r="N9" s="3">
        <f t="shared" si="4"/>
        <v>2.7974792144373675</v>
      </c>
      <c r="O9" s="3">
        <f t="shared" si="5"/>
        <v>0.54155628350938778</v>
      </c>
      <c r="P9" s="3">
        <f t="shared" si="6"/>
        <v>52.966799020653056</v>
      </c>
      <c r="Q9" s="3">
        <f t="shared" si="7"/>
        <v>78.756717912386236</v>
      </c>
      <c r="R9" s="3">
        <v>236</v>
      </c>
      <c r="S9" s="3">
        <v>0</v>
      </c>
      <c r="T9" s="3">
        <v>417</v>
      </c>
      <c r="U9" s="3">
        <f t="shared" si="15"/>
        <v>2.3599999999999999E-2</v>
      </c>
      <c r="V9" s="3">
        <f t="shared" si="16"/>
        <v>0</v>
      </c>
      <c r="W9">
        <f>(J9/AVERAGE(J10:J11)-1)*100</f>
        <v>17.123287671232902</v>
      </c>
      <c r="X9">
        <f>(K9/AVERAGE(K10:K11)-1)*100</f>
        <v>89.999999999999972</v>
      </c>
      <c r="Y9">
        <f>(L9/AVERAGE(L10:L11)-1)*100</f>
        <v>-9.8039215686274499</v>
      </c>
      <c r="Z9">
        <f t="shared" si="8"/>
        <v>-692.30769230769204</v>
      </c>
      <c r="AA9">
        <f t="shared" si="9"/>
        <v>-1.2461538461538457</v>
      </c>
      <c r="AB9">
        <f t="shared" si="10"/>
        <v>-0.1038461538461538</v>
      </c>
      <c r="AC9">
        <f>AVERAGE(J10:J11)*(100-AA9)/100</f>
        <v>3.9115015662250654</v>
      </c>
      <c r="AD9">
        <f>AVERAGE(L10:L11)*(100-AB9)/100</f>
        <v>0.42590885434963222</v>
      </c>
      <c r="AE9">
        <f t="shared" si="11"/>
        <v>9.1838935168370099</v>
      </c>
      <c r="AF9">
        <f>AE9/AVERAGE(AG10:AG11)-1</f>
        <v>4.8057431037684673E-4</v>
      </c>
      <c r="AG9">
        <f t="shared" si="12"/>
        <v>11.791109393418278</v>
      </c>
      <c r="AH9">
        <f t="shared" si="13"/>
        <v>1.7914077804015285</v>
      </c>
      <c r="AI9" s="3">
        <f t="shared" si="14"/>
        <v>1.7692459751990821</v>
      </c>
      <c r="AJ9" s="3">
        <f t="shared" si="17"/>
        <v>6.149763898007423E-2</v>
      </c>
      <c r="AK9" s="3">
        <f t="shared" si="18"/>
        <v>0</v>
      </c>
      <c r="AL9">
        <f>AG9/AVERAGE(AG10:AG11)-1</f>
        <v>0.28450704225352119</v>
      </c>
      <c r="AM9">
        <f>AH9/AVERAGE(AH10:AH11)-1</f>
        <v>1.1386934673366835</v>
      </c>
      <c r="AN9" s="6">
        <f>AI9/AVERAGE(AI10:AI11)-1</f>
        <v>1.2056384742951907</v>
      </c>
      <c r="AO9" s="6">
        <f>AJ9/AVERAGE(AJ10:AJ11)-1</f>
        <v>0.10723860589812317</v>
      </c>
      <c r="AP9" s="3" t="s">
        <v>137</v>
      </c>
      <c r="AQ9" s="3">
        <f t="shared" si="19"/>
        <v>1042.805591855235</v>
      </c>
    </row>
    <row r="10" spans="1:43" s="2" customFormat="1">
      <c r="A10" s="2">
        <v>2</v>
      </c>
      <c r="B10" s="2" t="s">
        <v>42</v>
      </c>
      <c r="C10" s="2">
        <v>2.5</v>
      </c>
      <c r="D10" s="2">
        <v>14.42</v>
      </c>
      <c r="E10" s="2">
        <v>0.75</v>
      </c>
      <c r="F10" s="2">
        <v>0.28000000000000003</v>
      </c>
      <c r="G10" s="2">
        <v>0.44</v>
      </c>
      <c r="H10" s="2">
        <v>5</v>
      </c>
      <c r="I10" s="2">
        <v>4.29</v>
      </c>
      <c r="J10" s="2">
        <f t="shared" si="0"/>
        <v>3.8157277363672031</v>
      </c>
      <c r="K10" s="2">
        <f t="shared" si="1"/>
        <v>0.45227692261887031</v>
      </c>
      <c r="L10" s="2">
        <f t="shared" si="2"/>
        <v>0.46717947646604135</v>
      </c>
      <c r="M10" s="2">
        <f t="shared" si="3"/>
        <v>0.31446393734374284</v>
      </c>
      <c r="N10" s="2">
        <f t="shared" si="4"/>
        <v>2.0752813163481951</v>
      </c>
      <c r="O10" s="2">
        <f t="shared" si="5"/>
        <v>1.5912852440104615</v>
      </c>
      <c r="R10" s="2">
        <v>256</v>
      </c>
      <c r="S10" s="2">
        <v>0</v>
      </c>
      <c r="T10" s="2">
        <v>251</v>
      </c>
      <c r="U10" s="2">
        <f t="shared" si="15"/>
        <v>2.5600000000000001E-2</v>
      </c>
      <c r="V10" s="2">
        <f t="shared" si="16"/>
        <v>0</v>
      </c>
      <c r="AG10" s="2">
        <f t="shared" si="12"/>
        <v>8.1675842552654672</v>
      </c>
      <c r="AH10" s="2">
        <f t="shared" si="13"/>
        <v>0.96810100914556274</v>
      </c>
      <c r="AI10" s="2">
        <f t="shared" si="14"/>
        <v>0.67311162665468849</v>
      </c>
      <c r="AJ10" s="2">
        <f t="shared" si="17"/>
        <v>5.4796927711058881E-2</v>
      </c>
      <c r="AK10" s="2">
        <f t="shared" si="18"/>
        <v>0</v>
      </c>
    </row>
    <row r="11" spans="1:43" s="2" customFormat="1">
      <c r="A11" s="2">
        <v>1</v>
      </c>
      <c r="B11" s="2" t="s">
        <v>42</v>
      </c>
      <c r="C11" s="2">
        <v>0</v>
      </c>
      <c r="D11" s="2">
        <v>14.78</v>
      </c>
      <c r="E11" s="2">
        <v>0.45</v>
      </c>
      <c r="F11" s="2">
        <v>0.23</v>
      </c>
      <c r="G11" s="2">
        <v>0.5</v>
      </c>
      <c r="H11" s="2">
        <v>5.3</v>
      </c>
      <c r="I11" s="2">
        <v>3.84</v>
      </c>
      <c r="J11" s="2">
        <f t="shared" si="0"/>
        <v>3.9109886229894073</v>
      </c>
      <c r="K11" s="2">
        <f t="shared" si="1"/>
        <v>0.27136615357132227</v>
      </c>
      <c r="L11" s="2">
        <f t="shared" si="2"/>
        <v>0.38375456995424823</v>
      </c>
      <c r="M11" s="2">
        <f t="shared" si="3"/>
        <v>0.35734538334516225</v>
      </c>
      <c r="N11" s="2">
        <f t="shared" si="4"/>
        <v>2.199798195329087</v>
      </c>
      <c r="O11" s="2">
        <f t="shared" si="5"/>
        <v>1.4243672114219514</v>
      </c>
      <c r="R11" s="2">
        <v>216</v>
      </c>
      <c r="S11" s="2">
        <v>0</v>
      </c>
      <c r="T11" s="2">
        <v>278</v>
      </c>
      <c r="U11" s="2">
        <f t="shared" si="15"/>
        <v>2.1600000000000001E-2</v>
      </c>
      <c r="V11" s="2">
        <f t="shared" si="16"/>
        <v>0</v>
      </c>
      <c r="AG11" s="2">
        <f t="shared" si="12"/>
        <v>10.191379931855094</v>
      </c>
      <c r="AH11" s="2">
        <f t="shared" si="13"/>
        <v>0.7071346501584983</v>
      </c>
      <c r="AI11" s="2">
        <f t="shared" si="14"/>
        <v>0.93118209221004322</v>
      </c>
      <c r="AJ11" s="2">
        <f t="shared" si="17"/>
        <v>5.6285974659728961E-2</v>
      </c>
      <c r="AK11" s="2">
        <f t="shared" si="18"/>
        <v>0</v>
      </c>
    </row>
    <row r="12" spans="1:4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9"/>
      <c r="AF12" s="6"/>
      <c r="AG12" s="3"/>
      <c r="AH12" s="39"/>
      <c r="AI12" s="39"/>
      <c r="AJ12" s="39"/>
      <c r="AK12" s="39" t="s">
        <v>97</v>
      </c>
      <c r="AL12" s="6">
        <f>_xlfn.VAR.P(AL3:AL9)</f>
        <v>1.6276411235429607E-2</v>
      </c>
      <c r="AM12" s="3"/>
    </row>
    <row r="13" spans="1:4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67" t="s">
        <v>98</v>
      </c>
      <c r="AL13" s="3">
        <f>AVERAGE(AL3:AL9)</f>
        <v>0.19439893230603378</v>
      </c>
      <c r="AM13" s="3"/>
    </row>
    <row r="14" spans="1:4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row>
    <row r="15" spans="1:4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row>
    <row r="16" spans="1:4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3:41">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3:41">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row>
    <row r="19" spans="3:41">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row>
    <row r="20" spans="3:41">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row>
    <row r="21" spans="3:41">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row>
    <row r="22" spans="3:41">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row>
    <row r="23" spans="3:41">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row>
    <row r="24" spans="3:41">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row>
    <row r="25" spans="3:41">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row>
    <row r="26" spans="3:41">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row>
    <row r="27" spans="3:41">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row>
    <row r="28" spans="3:41">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row>
    <row r="29" spans="3:41">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row>
    <row r="30" spans="3:41">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row>
    <row r="31" spans="3:41">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row>
    <row r="32" spans="3:41">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row>
    <row r="33" spans="3:39">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row>
    <row r="34" spans="3:39">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row>
    <row r="35" spans="3:39">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row>
    <row r="36" spans="3:39">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row>
    <row r="37" spans="3:39">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row>
    <row r="38" spans="3:39">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row>
    <row r="39" spans="3:39">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row>
    <row r="40" spans="3:39">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row>
    <row r="41" spans="3:39">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row>
    <row r="42" spans="3:39">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row>
    <row r="43" spans="3:39">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row>
    <row r="44" spans="3:39">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row>
    <row r="45" spans="3:39">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row>
    <row r="46" spans="3:39">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row>
    <row r="47" spans="3:39">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row>
    <row r="48" spans="3:39">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row>
    <row r="49" spans="3:39">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row>
    <row r="50" spans="3:39">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row>
    <row r="51" spans="3:39">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row>
    <row r="52" spans="3:39">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row>
    <row r="53" spans="3:39">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row>
    <row r="54" spans="3:39">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row>
    <row r="55" spans="3:39">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row>
    <row r="56" spans="3:39">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row>
    <row r="57" spans="3:39">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row>
    <row r="58" spans="3:39">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row>
    <row r="59" spans="3:39">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row>
    <row r="60" spans="3:39">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row>
    <row r="61" spans="3:39">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row>
    <row r="62" spans="3:39">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row>
    <row r="63" spans="3:39">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row>
    <row r="64" spans="3:39">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row>
    <row r="65" spans="3:39">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row>
  </sheetData>
  <sortState ref="C3:AO11">
    <sortCondition descending="1" ref="C3:C11"/>
  </sortState>
  <pageMargins left="0.7" right="0.7"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65"/>
  <sheetViews>
    <sheetView topLeftCell="A2" zoomScale="90" zoomScaleNormal="90" workbookViewId="0">
      <selection activeCell="H19" sqref="H19"/>
    </sheetView>
  </sheetViews>
  <sheetFormatPr defaultRowHeight="14.5"/>
  <cols>
    <col min="1" max="1" width="12" style="6" customWidth="1"/>
    <col min="2" max="2" width="16.26953125" style="6" customWidth="1"/>
    <col min="3" max="3" width="10.26953125" customWidth="1"/>
    <col min="4" max="4" width="7.26953125" customWidth="1"/>
    <col min="7" max="9" width="8.7265625" style="6"/>
    <col min="13" max="13" width="8.7265625" style="6"/>
    <col min="15" max="17" width="8.7265625" style="6"/>
    <col min="18" max="18" width="13.26953125" customWidth="1"/>
    <col min="19" max="20" width="12.54296875" customWidth="1"/>
    <col min="21" max="21" width="17.90625" customWidth="1"/>
    <col min="22" max="23" width="20" customWidth="1"/>
    <col min="24" max="25" width="11.90625" customWidth="1"/>
    <col min="26" max="26" width="13.81640625" customWidth="1"/>
    <col min="27" max="27" width="18.36328125" customWidth="1"/>
    <col min="30" max="30" width="8.7265625" style="6"/>
    <col min="32" max="32" width="11" customWidth="1"/>
    <col min="33" max="33" width="13.54296875" customWidth="1"/>
    <col min="34" max="34" width="27.08984375" customWidth="1"/>
  </cols>
  <sheetData>
    <row r="1" spans="1:34" s="6" customFormat="1">
      <c r="A1" s="81" t="s">
        <v>179</v>
      </c>
      <c r="B1" s="81"/>
      <c r="C1" s="81"/>
      <c r="D1" s="81"/>
      <c r="E1" s="81"/>
      <c r="F1" s="81"/>
      <c r="G1" s="81"/>
      <c r="H1" s="81"/>
      <c r="I1" s="81"/>
      <c r="J1" s="81"/>
      <c r="K1" s="81"/>
      <c r="L1" s="81"/>
      <c r="M1" s="81"/>
      <c r="N1" s="81"/>
      <c r="O1" s="81"/>
    </row>
    <row r="2" spans="1:34">
      <c r="A2" s="1" t="s">
        <v>197</v>
      </c>
      <c r="B2" s="1" t="s">
        <v>196</v>
      </c>
      <c r="C2" s="1" t="s">
        <v>20</v>
      </c>
      <c r="D2" s="1" t="s">
        <v>1</v>
      </c>
      <c r="E2" s="1" t="s">
        <v>2</v>
      </c>
      <c r="F2" s="1" t="s">
        <v>3</v>
      </c>
      <c r="G2" s="1" t="s">
        <v>48</v>
      </c>
      <c r="H2" s="1" t="s">
        <v>49</v>
      </c>
      <c r="I2" s="1" t="s">
        <v>50</v>
      </c>
      <c r="J2" s="1" t="s">
        <v>4</v>
      </c>
      <c r="K2" s="1" t="s">
        <v>5</v>
      </c>
      <c r="L2" s="1" t="s">
        <v>6</v>
      </c>
      <c r="M2" s="1" t="s">
        <v>45</v>
      </c>
      <c r="N2" s="1" t="s">
        <v>46</v>
      </c>
      <c r="O2" s="1" t="s">
        <v>47</v>
      </c>
      <c r="P2" s="1" t="s">
        <v>51</v>
      </c>
      <c r="Q2" s="1" t="s">
        <v>52</v>
      </c>
      <c r="R2" s="1" t="s">
        <v>7</v>
      </c>
      <c r="S2" s="1" t="s">
        <v>8</v>
      </c>
      <c r="T2" s="1" t="s">
        <v>9</v>
      </c>
      <c r="U2" s="1" t="s">
        <v>10</v>
      </c>
      <c r="V2" s="1" t="s">
        <v>11</v>
      </c>
      <c r="W2" s="1" t="s">
        <v>12</v>
      </c>
      <c r="X2" s="1" t="s">
        <v>13</v>
      </c>
      <c r="Y2" s="1" t="s">
        <v>14</v>
      </c>
      <c r="Z2" s="1" t="s">
        <v>15</v>
      </c>
      <c r="AA2" s="1" t="s">
        <v>460</v>
      </c>
      <c r="AB2" s="1" t="s">
        <v>16</v>
      </c>
      <c r="AC2" s="1" t="s">
        <v>17</v>
      </c>
      <c r="AD2" s="1" t="s">
        <v>107</v>
      </c>
      <c r="AE2" s="1" t="s">
        <v>459</v>
      </c>
      <c r="AF2" s="1" t="s">
        <v>461</v>
      </c>
      <c r="AG2" s="1" t="s">
        <v>462</v>
      </c>
      <c r="AH2" s="1"/>
    </row>
    <row r="3" spans="1:34">
      <c r="A3" s="6" t="s">
        <v>291</v>
      </c>
      <c r="B3" s="6" t="s">
        <v>294</v>
      </c>
      <c r="C3">
        <v>102.5</v>
      </c>
      <c r="D3">
        <v>15</v>
      </c>
      <c r="E3">
        <v>1</v>
      </c>
      <c r="F3">
        <v>0.56000000000000005</v>
      </c>
      <c r="G3" s="6">
        <v>0.15</v>
      </c>
      <c r="H3" s="6">
        <v>0.56000000000000005</v>
      </c>
      <c r="I3" s="6" t="s">
        <v>57</v>
      </c>
      <c r="J3">
        <f>D3*26.98/101.96</f>
        <v>3.9692036092585328</v>
      </c>
      <c r="K3">
        <f>E3*24.305/40.3044</f>
        <v>0.60303589682516046</v>
      </c>
      <c r="L3">
        <f>F3*79.866/47.867</f>
        <v>0.93435895293208271</v>
      </c>
      <c r="M3" s="6">
        <f>G3*40.078/56.0774</f>
        <v>0.10720361500354868</v>
      </c>
      <c r="N3">
        <f>H3*39.0983/94.2</f>
        <v>0.23243150743099789</v>
      </c>
      <c r="O3" s="6">
        <v>0</v>
      </c>
      <c r="P3" s="6">
        <f>100*(J3/(J3+M3+N3+O3))</f>
        <v>92.117710975432743</v>
      </c>
      <c r="Q3" s="6">
        <f>100*(J3/(J3+M3+O3))</f>
        <v>97.370144612503609</v>
      </c>
      <c r="R3">
        <f>(J3/J10-1)*100</f>
        <v>-16.666666666666675</v>
      </c>
      <c r="S3">
        <f>(K3/K10-1)*100</f>
        <v>-77.272727272727266</v>
      </c>
      <c r="T3">
        <f>(L3/L10-1)*100</f>
        <v>-34.117647058823529</v>
      </c>
      <c r="U3">
        <f>S3/-0.61</f>
        <v>126.67660208643814</v>
      </c>
      <c r="V3">
        <f>U3*0.0032</f>
        <v>0.40536512667660207</v>
      </c>
      <c r="W3">
        <f>U3*0.000044</f>
        <v>5.5737704918032783E-3</v>
      </c>
      <c r="X3">
        <f>J10*(100-V3)/100</f>
        <v>4.7437366104237721</v>
      </c>
      <c r="Y3">
        <f>L10*(100-W3)/100</f>
        <v>1.4181443621825094</v>
      </c>
      <c r="Z3">
        <f>X3/Y3</f>
        <v>3.3450308282601151</v>
      </c>
      <c r="AA3">
        <f>Z3/AB10-1</f>
        <v>-3.9981364087953164E-3</v>
      </c>
      <c r="AB3">
        <f>J3/L3</f>
        <v>4.2480500634182388</v>
      </c>
      <c r="AC3">
        <f>K3/L3</f>
        <v>0.64540067276370849</v>
      </c>
      <c r="AD3" s="6">
        <f>M3/L3</f>
        <v>0.1147349363615946</v>
      </c>
      <c r="AE3">
        <f>AB3/AB10-1</f>
        <v>0.26488095238095255</v>
      </c>
      <c r="AF3">
        <f>AC3/AC10-1</f>
        <v>-0.65503246753246758</v>
      </c>
      <c r="AG3" s="6">
        <f>AD3/AD10-1</f>
        <v>-0.8325892857142857</v>
      </c>
    </row>
    <row r="4" spans="1:34">
      <c r="A4" s="6" t="s">
        <v>292</v>
      </c>
      <c r="B4" s="6" t="s">
        <v>295</v>
      </c>
      <c r="C4">
        <v>102.9</v>
      </c>
      <c r="D4">
        <v>26.6</v>
      </c>
      <c r="E4">
        <v>0.5</v>
      </c>
      <c r="F4">
        <v>1.17</v>
      </c>
      <c r="G4" s="6">
        <v>0.71</v>
      </c>
      <c r="H4" s="6">
        <v>3.75</v>
      </c>
      <c r="I4" s="6">
        <v>0.6</v>
      </c>
      <c r="J4">
        <f t="shared" ref="J4:J10" si="0">D4*26.98/101.96</f>
        <v>7.0387210670851319</v>
      </c>
      <c r="K4">
        <f t="shared" ref="K4:K10" si="1">E4*24.305/40.3044</f>
        <v>0.30151794841258023</v>
      </c>
      <c r="L4">
        <f t="shared" ref="L4:L10" si="2">F4*79.866/47.867</f>
        <v>1.9521428123759583</v>
      </c>
      <c r="M4" s="6">
        <f t="shared" ref="M4:M10" si="3">G4*40.078/56.0774</f>
        <v>0.50743044435013041</v>
      </c>
      <c r="N4" s="6">
        <f t="shared" ref="N4:N10" si="4">H4*39.0983/94.2</f>
        <v>1.5564609872611466</v>
      </c>
      <c r="O4" s="6">
        <f t="shared" ref="O4:O10" si="5">I4*22.989769/61.9789</f>
        <v>0.22255737678467993</v>
      </c>
      <c r="P4" s="6">
        <f t="shared" ref="P4:P9" si="6">100*(J4/(J4+M4+N4+O4))</f>
        <v>75.480888402818522</v>
      </c>
      <c r="Q4" s="6">
        <f t="shared" ref="Q4:Q9" si="7">100*(J4/(J4+M4+O4))</f>
        <v>90.603485963520598</v>
      </c>
      <c r="R4">
        <f>(J4/J10-1)*100</f>
        <v>47.777777777777786</v>
      </c>
      <c r="S4">
        <f>(K4/K10-1)*100</f>
        <v>-88.63636363636364</v>
      </c>
      <c r="T4">
        <f>(L4/L10-1)*100</f>
        <v>37.647058823529392</v>
      </c>
      <c r="U4">
        <f t="shared" ref="U4:U9" si="8">S4/-0.61</f>
        <v>145.30551415797319</v>
      </c>
      <c r="V4">
        <f t="shared" ref="V4:V9" si="9">U4*0.0032</f>
        <v>0.46497764530551422</v>
      </c>
      <c r="W4">
        <f t="shared" ref="W4:W9" si="10">U4*0.000044</f>
        <v>6.3934426229508203E-3</v>
      </c>
      <c r="X4">
        <f>J10*(100-V4)/100</f>
        <v>4.7408972397345854</v>
      </c>
      <c r="Y4">
        <f>L10*(100-W4)/100</f>
        <v>1.4181327374004544</v>
      </c>
      <c r="Z4">
        <f t="shared" ref="Z4:Z9" si="11">X4/Y4</f>
        <v>3.3430560586486511</v>
      </c>
      <c r="AA4">
        <f>Z4/AB10-1</f>
        <v>-4.5861352387507326E-3</v>
      </c>
      <c r="AB4">
        <f t="shared" ref="AB4:AB10" si="12">J4/L4</f>
        <v>3.6056383900101476</v>
      </c>
      <c r="AC4">
        <f t="shared" ref="AC4:AC10" si="13">K4/L4</f>
        <v>0.15445486185798155</v>
      </c>
      <c r="AD4" s="6">
        <f t="shared" ref="AD4:AD10" si="14">M4/L4</f>
        <v>0.25993510368871808</v>
      </c>
      <c r="AE4">
        <f>AB4/AB10-1</f>
        <v>7.359924026590714E-2</v>
      </c>
      <c r="AF4">
        <f>AC4/AC10-1</f>
        <v>-0.91744366744366745</v>
      </c>
      <c r="AG4" s="6">
        <f>AD4/AD10-1</f>
        <v>-0.62072649572649574</v>
      </c>
    </row>
    <row r="5" spans="1:34">
      <c r="A5" s="6" t="s">
        <v>293</v>
      </c>
      <c r="B5" s="6" t="s">
        <v>296</v>
      </c>
      <c r="C5">
        <v>103.2</v>
      </c>
      <c r="D5">
        <v>37.5</v>
      </c>
      <c r="E5">
        <v>0.2</v>
      </c>
      <c r="F5">
        <v>1.58</v>
      </c>
      <c r="G5" s="6">
        <v>0.09</v>
      </c>
      <c r="H5" s="6">
        <v>7.64</v>
      </c>
      <c r="I5" s="6">
        <v>0.9</v>
      </c>
      <c r="J5">
        <f t="shared" si="0"/>
        <v>9.9230090231463333</v>
      </c>
      <c r="K5">
        <f t="shared" si="1"/>
        <v>0.12060717936503212</v>
      </c>
      <c r="L5">
        <f t="shared" si="2"/>
        <v>2.636227045772662</v>
      </c>
      <c r="M5" s="6">
        <f t="shared" si="3"/>
        <v>6.4322169002129212E-2</v>
      </c>
      <c r="N5" s="6">
        <f t="shared" si="4"/>
        <v>3.1710298513800423</v>
      </c>
      <c r="O5" s="6">
        <f t="shared" si="5"/>
        <v>0.33383606517701991</v>
      </c>
      <c r="P5" s="6">
        <f t="shared" si="6"/>
        <v>73.546279699277022</v>
      </c>
      <c r="Q5" s="6">
        <f t="shared" si="7"/>
        <v>96.142313904499971</v>
      </c>
      <c r="R5">
        <f>(J5/J10-1)*100</f>
        <v>108.33333333333334</v>
      </c>
      <c r="S5">
        <f>(K5/K10-1)*100</f>
        <v>-95.454545454545453</v>
      </c>
      <c r="T5">
        <f>(L5/L10-1)*100</f>
        <v>85.882352941176478</v>
      </c>
      <c r="U5">
        <f t="shared" si="8"/>
        <v>156.48286140089419</v>
      </c>
      <c r="V5">
        <f t="shared" si="9"/>
        <v>0.50074515648286144</v>
      </c>
      <c r="W5">
        <f t="shared" si="10"/>
        <v>6.8852459016393447E-3</v>
      </c>
      <c r="X5">
        <f>J10*(100-V5)/100</f>
        <v>4.7391936173210736</v>
      </c>
      <c r="Y5">
        <f>L10*(100-W5)/100</f>
        <v>1.4181257625312214</v>
      </c>
      <c r="Z5">
        <f t="shared" si="11"/>
        <v>3.3418711813415318</v>
      </c>
      <c r="AA5">
        <f>Z5/AB10-1</f>
        <v>-4.9389391639185209E-3</v>
      </c>
      <c r="AB5">
        <f t="shared" si="12"/>
        <v>3.7640949929022369</v>
      </c>
      <c r="AC5">
        <f t="shared" si="13"/>
        <v>4.5749921107300869E-2</v>
      </c>
      <c r="AD5" s="6">
        <f t="shared" si="14"/>
        <v>2.4399328238921384E-2</v>
      </c>
      <c r="AE5">
        <f>AB5/AB10-1</f>
        <v>0.12078059071729963</v>
      </c>
      <c r="AF5">
        <f>AC5/AC10-1</f>
        <v>-0.97554660529344073</v>
      </c>
      <c r="AG5" s="6">
        <f>AD5/AD10-1</f>
        <v>-0.96439873417721522</v>
      </c>
    </row>
    <row r="6" spans="1:34">
      <c r="A6" s="6" t="s">
        <v>298</v>
      </c>
      <c r="B6" s="6" t="s">
        <v>297</v>
      </c>
      <c r="C6">
        <v>104.6</v>
      </c>
      <c r="D6">
        <v>30.2</v>
      </c>
      <c r="E6">
        <v>0.3</v>
      </c>
      <c r="F6">
        <v>1.3</v>
      </c>
      <c r="G6" s="6">
        <v>0.15</v>
      </c>
      <c r="H6" s="6">
        <v>3.9</v>
      </c>
      <c r="I6" s="6">
        <v>0.7</v>
      </c>
      <c r="J6">
        <f t="shared" si="0"/>
        <v>7.9913299333071803</v>
      </c>
      <c r="K6">
        <f t="shared" si="1"/>
        <v>0.18091076904754813</v>
      </c>
      <c r="L6">
        <f t="shared" si="2"/>
        <v>2.1690475693066205</v>
      </c>
      <c r="M6" s="6">
        <f t="shared" si="3"/>
        <v>0.10720361500354868</v>
      </c>
      <c r="N6" s="6">
        <f t="shared" si="4"/>
        <v>1.6187194267515923</v>
      </c>
      <c r="O6" s="6">
        <f t="shared" si="5"/>
        <v>0.25965027291545989</v>
      </c>
      <c r="P6" s="6">
        <f t="shared" si="6"/>
        <v>80.098300391225536</v>
      </c>
      <c r="Q6" s="6">
        <f t="shared" si="7"/>
        <v>95.610842070889163</v>
      </c>
      <c r="R6">
        <f>(J6/J10-1)*100</f>
        <v>67.7777777777778</v>
      </c>
      <c r="S6">
        <f>(K6/K10-1)*100</f>
        <v>-93.181818181818187</v>
      </c>
      <c r="T6">
        <f>(L6/L10-1)*100</f>
        <v>52.941176470588225</v>
      </c>
      <c r="U6">
        <f t="shared" si="8"/>
        <v>152.7570789865872</v>
      </c>
      <c r="V6">
        <f t="shared" si="9"/>
        <v>0.48882265275707909</v>
      </c>
      <c r="W6">
        <f t="shared" si="10"/>
        <v>6.7213114754098371E-3</v>
      </c>
      <c r="X6">
        <f>J10*(100-V6)/100</f>
        <v>4.7397614914589106</v>
      </c>
      <c r="Y6">
        <f>L10*(100-W6)/100</f>
        <v>1.4181280874876321</v>
      </c>
      <c r="Z6">
        <f t="shared" si="11"/>
        <v>3.3422661417389405</v>
      </c>
      <c r="AA6">
        <f>Z6/AB10-1</f>
        <v>-4.8213374699250799E-3</v>
      </c>
      <c r="AB6">
        <f t="shared" si="12"/>
        <v>3.6842575729502185</v>
      </c>
      <c r="AC6">
        <f t="shared" si="13"/>
        <v>8.3405625403310021E-2</v>
      </c>
      <c r="AD6" s="6">
        <f t="shared" si="14"/>
        <v>4.9424280278840757E-2</v>
      </c>
      <c r="AE6">
        <f>AB6/AB10-1</f>
        <v>9.700854700854733E-2</v>
      </c>
      <c r="AF6">
        <f>AC6/AC10-1</f>
        <v>-0.95541958041958042</v>
      </c>
      <c r="AG6" s="6">
        <f>AD6/AD10-1</f>
        <v>-0.92788461538461542</v>
      </c>
    </row>
    <row r="7" spans="1:34">
      <c r="A7" s="6" t="s">
        <v>299</v>
      </c>
      <c r="B7" s="6" t="s">
        <v>303</v>
      </c>
      <c r="C7">
        <v>105</v>
      </c>
      <c r="D7">
        <v>37.6</v>
      </c>
      <c r="E7">
        <v>0.1</v>
      </c>
      <c r="F7">
        <v>1.58</v>
      </c>
      <c r="G7" s="6">
        <v>0.18</v>
      </c>
      <c r="H7" s="6">
        <v>5.0599999999999996</v>
      </c>
      <c r="I7" s="6">
        <v>0.9</v>
      </c>
      <c r="J7">
        <f t="shared" si="0"/>
        <v>9.9494703805413902</v>
      </c>
      <c r="K7">
        <f t="shared" si="1"/>
        <v>6.0303589682516062E-2</v>
      </c>
      <c r="L7">
        <f t="shared" si="2"/>
        <v>2.636227045772662</v>
      </c>
      <c r="M7" s="6">
        <f t="shared" si="3"/>
        <v>0.12864433800425842</v>
      </c>
      <c r="N7" s="6">
        <f t="shared" si="4"/>
        <v>2.1001846921443739</v>
      </c>
      <c r="O7" s="6">
        <f t="shared" si="5"/>
        <v>0.33383606517701991</v>
      </c>
      <c r="P7" s="6">
        <f t="shared" si="6"/>
        <v>79.518563395765426</v>
      </c>
      <c r="Q7" s="6">
        <f t="shared" si="7"/>
        <v>95.558177206289827</v>
      </c>
      <c r="R7">
        <f>(J7/J10-1)*100</f>
        <v>108.8888888888889</v>
      </c>
      <c r="S7">
        <f>(K7/K10-1)*100</f>
        <v>-97.727272727272734</v>
      </c>
      <c r="T7">
        <f>(L7/L10-1)*100</f>
        <v>85.882352941176478</v>
      </c>
      <c r="U7">
        <f t="shared" si="8"/>
        <v>160.20864381520121</v>
      </c>
      <c r="V7">
        <f t="shared" si="9"/>
        <v>0.51266766020864396</v>
      </c>
      <c r="W7">
        <f t="shared" si="10"/>
        <v>7.0491803278688531E-3</v>
      </c>
      <c r="X7">
        <f>J10*(100-V7)/100</f>
        <v>4.7386257431832357</v>
      </c>
      <c r="Y7">
        <f>L10*(100-W7)/100</f>
        <v>1.4181234375748104</v>
      </c>
      <c r="Z7">
        <f t="shared" si="11"/>
        <v>3.3414762196490799</v>
      </c>
      <c r="AA7">
        <f>Z7/AB10-1</f>
        <v>-5.0565412435185086E-3</v>
      </c>
      <c r="AB7">
        <f t="shared" si="12"/>
        <v>3.7741325795499763</v>
      </c>
      <c r="AC7">
        <f t="shared" si="13"/>
        <v>2.2874960553650434E-2</v>
      </c>
      <c r="AD7" s="6">
        <f t="shared" si="14"/>
        <v>4.8798656477842768E-2</v>
      </c>
      <c r="AE7">
        <f>AB7/AB10-1</f>
        <v>0.12376933895921249</v>
      </c>
      <c r="AF7">
        <f>AC7/AC10-1</f>
        <v>-0.98777330264672036</v>
      </c>
      <c r="AG7" s="6">
        <f>AD7/AD10-1</f>
        <v>-0.92879746835443044</v>
      </c>
    </row>
    <row r="8" spans="1:34">
      <c r="A8" s="6" t="s">
        <v>300</v>
      </c>
      <c r="B8" s="6" t="s">
        <v>216</v>
      </c>
      <c r="C8">
        <v>107.2</v>
      </c>
      <c r="D8">
        <v>29.2</v>
      </c>
      <c r="E8">
        <v>0.4</v>
      </c>
      <c r="F8">
        <v>1.24</v>
      </c>
      <c r="G8" s="6">
        <v>0.19</v>
      </c>
      <c r="H8" s="6">
        <v>2.86</v>
      </c>
      <c r="I8" s="6">
        <v>0.3</v>
      </c>
      <c r="J8">
        <f t="shared" si="0"/>
        <v>7.7267163593566108</v>
      </c>
      <c r="K8">
        <f t="shared" si="1"/>
        <v>0.24121435873006425</v>
      </c>
      <c r="L8">
        <f t="shared" si="2"/>
        <v>2.0689376814924687</v>
      </c>
      <c r="M8" s="6">
        <f t="shared" si="3"/>
        <v>0.13579124567116166</v>
      </c>
      <c r="N8" s="6">
        <f t="shared" si="4"/>
        <v>1.1870609129511678</v>
      </c>
      <c r="O8" s="6">
        <f t="shared" si="5"/>
        <v>0.11127868839233997</v>
      </c>
      <c r="P8" s="6">
        <f t="shared" si="6"/>
        <v>84.344997632781769</v>
      </c>
      <c r="Q8" s="6">
        <f t="shared" si="7"/>
        <v>96.901472838977625</v>
      </c>
      <c r="R8">
        <f>(J8/J10-1)*100</f>
        <v>62.222222222222221</v>
      </c>
      <c r="S8">
        <f>(K8/K10-1)*100</f>
        <v>-90.909090909090907</v>
      </c>
      <c r="T8">
        <f>(L8/L10-1)*100</f>
        <v>45.882352941176464</v>
      </c>
      <c r="U8">
        <f t="shared" si="8"/>
        <v>149.03129657228018</v>
      </c>
      <c r="V8">
        <f t="shared" si="9"/>
        <v>0.47690014903129663</v>
      </c>
      <c r="W8">
        <f t="shared" si="10"/>
        <v>6.5573770491803279E-3</v>
      </c>
      <c r="X8">
        <f>J10*(100-V8)/100</f>
        <v>4.7403293655967476</v>
      </c>
      <c r="Y8">
        <f>L10*(100-W8)/100</f>
        <v>1.4181304124440433</v>
      </c>
      <c r="Z8">
        <f t="shared" si="11"/>
        <v>3.3426611008413105</v>
      </c>
      <c r="AA8">
        <f>Z8/AB10-1</f>
        <v>-4.7037361615367423E-3</v>
      </c>
      <c r="AB8">
        <f t="shared" si="12"/>
        <v>3.7346298191943572</v>
      </c>
      <c r="AC8">
        <f t="shared" si="13"/>
        <v>0.11658850862828288</v>
      </c>
      <c r="AD8" s="6">
        <f t="shared" si="14"/>
        <v>6.5633318434804661E-2</v>
      </c>
      <c r="AE8">
        <f>AB8/AB10-1</f>
        <v>0.11200716845878156</v>
      </c>
      <c r="AF8">
        <f>AC8/AC10-1</f>
        <v>-0.93768328445747795</v>
      </c>
      <c r="AG8" s="6">
        <f>AD8/AD10-1</f>
        <v>-0.90423387096774199</v>
      </c>
    </row>
    <row r="9" spans="1:34">
      <c r="A9" s="6" t="s">
        <v>301</v>
      </c>
      <c r="B9" s="6" t="s">
        <v>304</v>
      </c>
      <c r="C9">
        <v>111.9</v>
      </c>
      <c r="D9">
        <v>15.6</v>
      </c>
      <c r="E9">
        <v>9.5</v>
      </c>
      <c r="F9">
        <v>0.65</v>
      </c>
      <c r="G9" s="6">
        <v>1.06</v>
      </c>
      <c r="H9" s="6">
        <v>7.0000000000000007E-2</v>
      </c>
      <c r="I9" s="6" t="s">
        <v>57</v>
      </c>
      <c r="J9">
        <f t="shared" si="0"/>
        <v>4.1279717536288745</v>
      </c>
      <c r="K9">
        <f t="shared" si="1"/>
        <v>5.7288410198390247</v>
      </c>
      <c r="L9">
        <f t="shared" si="2"/>
        <v>1.0845237846533102</v>
      </c>
      <c r="M9" s="6">
        <f t="shared" si="3"/>
        <v>0.75757221269174402</v>
      </c>
      <c r="N9" s="6">
        <f t="shared" si="4"/>
        <v>2.9053938428874736E-2</v>
      </c>
      <c r="O9" s="6">
        <v>0</v>
      </c>
      <c r="P9" s="6">
        <f t="shared" si="6"/>
        <v>83.994089315823402</v>
      </c>
      <c r="Q9" s="6">
        <f t="shared" si="7"/>
        <v>84.493595433503316</v>
      </c>
      <c r="R9">
        <f>(J9/J10-1)*100</f>
        <v>-13.33333333333333</v>
      </c>
      <c r="S9">
        <f>(K9/K10-1)*100</f>
        <v>115.90909090909088</v>
      </c>
      <c r="T9">
        <f>(L9/L10-1)*100</f>
        <v>-23.529411764705888</v>
      </c>
      <c r="U9">
        <f t="shared" si="8"/>
        <v>-190.01490312965717</v>
      </c>
      <c r="V9">
        <f t="shared" si="9"/>
        <v>-0.608047690014903</v>
      </c>
      <c r="W9">
        <f t="shared" si="10"/>
        <v>-8.3606557377049161E-3</v>
      </c>
      <c r="X9">
        <f>J10*(100-V9)/100</f>
        <v>4.792005912139941</v>
      </c>
      <c r="Y9">
        <f>L10*(100-W9)/100</f>
        <v>1.4183419834774429</v>
      </c>
      <c r="Z9">
        <f t="shared" si="11"/>
        <v>3.3785969589584193</v>
      </c>
      <c r="AA9">
        <f>Z9/AB10-1</f>
        <v>5.9963690070026221E-3</v>
      </c>
      <c r="AB9">
        <f t="shared" si="12"/>
        <v>3.8062528568227423</v>
      </c>
      <c r="AC9">
        <f t="shared" si="13"/>
        <v>5.2823562755429689</v>
      </c>
      <c r="AD9" s="6">
        <f t="shared" si="14"/>
        <v>0.69852982794094942</v>
      </c>
      <c r="AE9">
        <f>AB9/AB10-1</f>
        <v>0.13333333333333353</v>
      </c>
      <c r="AF9">
        <f>AC9/AC10-1</f>
        <v>1.8234265734265733</v>
      </c>
      <c r="AG9" s="6">
        <f>AD9/AD10-1</f>
        <v>1.9230769230769384E-2</v>
      </c>
    </row>
    <row r="10" spans="1:34" s="2" customFormat="1">
      <c r="A10" s="2" t="s">
        <v>302</v>
      </c>
      <c r="B10" s="2" t="s">
        <v>42</v>
      </c>
      <c r="C10" s="2">
        <v>128.12</v>
      </c>
      <c r="D10" s="2">
        <v>18</v>
      </c>
      <c r="E10" s="2">
        <v>4.4000000000000004</v>
      </c>
      <c r="F10" s="2">
        <v>0.85</v>
      </c>
      <c r="G10" s="2">
        <v>1.36</v>
      </c>
      <c r="H10" s="2">
        <v>1.57</v>
      </c>
      <c r="I10" s="2">
        <v>5.6</v>
      </c>
      <c r="J10" s="2">
        <f t="shared" si="0"/>
        <v>4.7630443311102395</v>
      </c>
      <c r="K10" s="2">
        <f t="shared" si="1"/>
        <v>2.6533579460307064</v>
      </c>
      <c r="L10" s="2">
        <f t="shared" si="2"/>
        <v>1.4182234107004827</v>
      </c>
      <c r="M10" s="2">
        <f t="shared" si="3"/>
        <v>0.97197944269884151</v>
      </c>
      <c r="N10" s="2">
        <f t="shared" si="4"/>
        <v>0.65163833333333332</v>
      </c>
      <c r="O10" s="2">
        <f t="shared" si="5"/>
        <v>2.0772021833236791</v>
      </c>
      <c r="AB10" s="2">
        <f t="shared" si="12"/>
        <v>3.3584584030788895</v>
      </c>
      <c r="AC10" s="2">
        <f t="shared" si="13"/>
        <v>1.8709026561056212</v>
      </c>
      <c r="AD10" s="2">
        <f t="shared" si="14"/>
        <v>0.68535001986659183</v>
      </c>
    </row>
    <row r="11" spans="1:34">
      <c r="C11" s="3"/>
      <c r="D11" s="3"/>
      <c r="E11" s="3"/>
      <c r="F11" s="3"/>
      <c r="G11" s="3"/>
      <c r="H11" s="3"/>
      <c r="I11" s="3"/>
      <c r="J11" s="3"/>
      <c r="K11" s="3"/>
      <c r="L11" s="3"/>
      <c r="M11" s="3"/>
      <c r="O11" s="3"/>
      <c r="P11" s="3"/>
      <c r="Q11" s="3"/>
      <c r="R11" s="3"/>
      <c r="S11" s="3"/>
      <c r="T11" s="3"/>
      <c r="U11" s="3"/>
      <c r="V11" s="3"/>
      <c r="W11" s="3"/>
      <c r="X11" s="3"/>
      <c r="Y11" s="3"/>
      <c r="Z11" s="39"/>
      <c r="AA11" s="6"/>
      <c r="AB11" s="3"/>
      <c r="AC11" s="39"/>
      <c r="AD11" s="39" t="s">
        <v>97</v>
      </c>
      <c r="AE11" s="6">
        <f>_xlfn.VAR.P(AE3:AE9)</f>
        <v>3.2696051874069455E-3</v>
      </c>
      <c r="AF11" s="3"/>
    </row>
    <row r="12" spans="1:34">
      <c r="C12" s="3"/>
      <c r="D12" s="3"/>
      <c r="E12" s="3"/>
      <c r="F12" s="3"/>
      <c r="G12" s="3"/>
      <c r="H12" s="3"/>
      <c r="I12" s="3"/>
      <c r="J12" s="3"/>
      <c r="K12" s="3"/>
      <c r="L12" s="3"/>
      <c r="M12" s="3"/>
      <c r="O12" s="3"/>
      <c r="P12" s="3"/>
      <c r="Q12" s="3"/>
      <c r="R12" s="3"/>
      <c r="S12" s="3"/>
      <c r="T12" s="3"/>
      <c r="U12" s="3"/>
      <c r="V12" s="3"/>
      <c r="W12" s="3"/>
      <c r="X12" s="3"/>
      <c r="Y12" s="3"/>
      <c r="Z12" s="3"/>
      <c r="AA12" s="3"/>
      <c r="AB12" s="3"/>
      <c r="AC12" s="3"/>
      <c r="AD12" s="67" t="s">
        <v>98</v>
      </c>
      <c r="AE12" s="3">
        <f>AVERAGE(AE3:AE9)</f>
        <v>0.13219702444629061</v>
      </c>
      <c r="AF12" s="3"/>
    </row>
    <row r="13" spans="1:34">
      <c r="C13" s="3"/>
      <c r="D13" s="3"/>
      <c r="E13" s="3"/>
      <c r="F13" s="3"/>
      <c r="G13" s="3"/>
      <c r="H13" s="3"/>
      <c r="I13" s="3"/>
      <c r="J13" s="3"/>
      <c r="K13" s="3"/>
      <c r="L13" s="3"/>
      <c r="M13" s="3"/>
      <c r="O13" s="3"/>
      <c r="P13" s="3"/>
      <c r="Q13" s="3"/>
      <c r="R13" s="3"/>
      <c r="S13" s="3"/>
      <c r="T13" s="3"/>
      <c r="U13" s="3"/>
      <c r="V13" s="3"/>
      <c r="W13" s="3"/>
      <c r="X13" s="3"/>
      <c r="Y13" s="3"/>
      <c r="Z13" s="3"/>
      <c r="AA13" s="3"/>
      <c r="AB13" s="3"/>
      <c r="AC13" s="3"/>
      <c r="AD13" s="3"/>
      <c r="AE13" s="3"/>
      <c r="AF13" s="3"/>
    </row>
    <row r="14" spans="1:34">
      <c r="C14" s="3"/>
      <c r="D14" s="3"/>
      <c r="E14" s="3"/>
      <c r="F14" s="3"/>
      <c r="G14" s="3"/>
      <c r="H14" s="3"/>
      <c r="I14" s="3"/>
      <c r="J14" s="3"/>
      <c r="K14" s="3"/>
      <c r="L14" s="3"/>
      <c r="M14" s="3"/>
      <c r="O14" s="3"/>
      <c r="P14" s="3"/>
      <c r="Q14" s="3"/>
      <c r="R14" s="3"/>
      <c r="S14" s="3"/>
      <c r="T14" s="3"/>
      <c r="U14" s="3"/>
      <c r="V14" s="3"/>
      <c r="W14" s="3"/>
      <c r="X14" s="3"/>
      <c r="Y14" s="3"/>
      <c r="Z14" s="3"/>
      <c r="AA14" s="3"/>
      <c r="AB14" s="3"/>
      <c r="AC14" s="3"/>
      <c r="AD14" s="3"/>
      <c r="AE14" s="3"/>
      <c r="AF14" s="3"/>
    </row>
    <row r="15" spans="1:34">
      <c r="C15" s="3"/>
      <c r="D15" s="3"/>
      <c r="E15" s="3"/>
      <c r="F15" s="3"/>
      <c r="G15" s="3"/>
      <c r="H15" s="3"/>
      <c r="I15" s="3"/>
      <c r="J15" s="3"/>
      <c r="K15" s="3"/>
      <c r="L15" s="3"/>
      <c r="M15" s="3"/>
      <c r="O15" s="3"/>
      <c r="P15" s="3"/>
      <c r="Q15" s="3"/>
      <c r="R15" s="3"/>
      <c r="S15" s="3"/>
      <c r="T15" s="3"/>
      <c r="U15" s="3"/>
      <c r="V15" s="3"/>
      <c r="W15" s="3"/>
      <c r="X15" s="3"/>
      <c r="Y15" s="3"/>
      <c r="Z15" s="3"/>
      <c r="AA15" s="3"/>
      <c r="AB15" s="3"/>
      <c r="AC15" s="3"/>
      <c r="AD15" s="3"/>
      <c r="AE15" s="3"/>
      <c r="AF15" s="3"/>
      <c r="AG15" s="3"/>
      <c r="AH15" s="3"/>
    </row>
    <row r="16" spans="1:34">
      <c r="C16" s="3"/>
      <c r="D16" s="3"/>
      <c r="E16" s="3"/>
      <c r="F16" s="3"/>
      <c r="G16" s="3"/>
      <c r="H16" s="3"/>
      <c r="I16" s="3"/>
      <c r="J16" s="3"/>
      <c r="K16" s="3"/>
      <c r="L16" s="3"/>
      <c r="M16" s="3"/>
      <c r="O16" s="3"/>
      <c r="P16" s="3"/>
      <c r="Q16" s="3"/>
      <c r="R16" s="3"/>
      <c r="S16" s="3"/>
      <c r="T16" s="3"/>
      <c r="U16" s="3"/>
      <c r="V16" s="3"/>
      <c r="W16" s="3"/>
      <c r="X16" s="3"/>
      <c r="Y16" s="3"/>
      <c r="Z16" s="3"/>
      <c r="AA16" s="3"/>
      <c r="AB16" s="3"/>
      <c r="AC16" s="3"/>
      <c r="AD16" s="3"/>
      <c r="AE16" s="3"/>
      <c r="AF16" s="3"/>
      <c r="AG16" s="3"/>
      <c r="AH16" s="3"/>
    </row>
    <row r="17" spans="3:34">
      <c r="C17" s="3"/>
      <c r="D17" s="3"/>
      <c r="E17" s="3"/>
      <c r="F17" s="3"/>
      <c r="G17" s="3"/>
      <c r="H17" s="3"/>
      <c r="I17" s="3"/>
      <c r="J17" s="3"/>
      <c r="K17" s="3"/>
      <c r="L17" s="3"/>
      <c r="M17" s="3"/>
      <c r="O17" s="3"/>
      <c r="P17" s="3"/>
      <c r="Q17" s="3"/>
      <c r="R17" s="3"/>
      <c r="S17" s="3"/>
      <c r="T17" s="3"/>
      <c r="U17" s="3"/>
      <c r="V17" s="3"/>
      <c r="W17" s="3"/>
      <c r="X17" s="3"/>
      <c r="Y17" s="3"/>
      <c r="Z17" s="3"/>
      <c r="AA17" s="3"/>
      <c r="AB17" s="3"/>
      <c r="AC17" s="3"/>
      <c r="AD17" s="3"/>
      <c r="AE17" s="3"/>
      <c r="AF17" s="3"/>
      <c r="AG17" s="3"/>
      <c r="AH17" s="3"/>
    </row>
    <row r="18" spans="3:34">
      <c r="C18" s="3"/>
      <c r="D18" s="3"/>
      <c r="E18" s="3"/>
      <c r="F18" s="3"/>
      <c r="G18" s="3"/>
      <c r="H18" s="3"/>
      <c r="I18" s="3"/>
      <c r="J18" s="3"/>
      <c r="K18" s="3"/>
      <c r="L18" s="3"/>
      <c r="M18" s="3"/>
      <c r="O18" s="3"/>
      <c r="P18" s="3"/>
      <c r="Q18" s="3"/>
      <c r="R18" s="3"/>
      <c r="S18" s="3"/>
      <c r="T18" s="3"/>
      <c r="U18" s="3"/>
      <c r="V18" s="3"/>
      <c r="W18" s="3"/>
      <c r="X18" s="3"/>
      <c r="Y18" s="3"/>
      <c r="Z18" s="3"/>
      <c r="AA18" s="3"/>
      <c r="AB18" s="3"/>
      <c r="AC18" s="3"/>
      <c r="AD18" s="3"/>
      <c r="AE18" s="3"/>
      <c r="AF18" s="3"/>
    </row>
    <row r="19" spans="3:34">
      <c r="C19" s="3"/>
      <c r="D19" s="3"/>
      <c r="E19" s="3"/>
      <c r="F19" s="3"/>
      <c r="G19" s="3"/>
      <c r="H19" s="3"/>
      <c r="I19" s="3"/>
      <c r="J19" s="3"/>
      <c r="K19" s="3"/>
      <c r="L19" s="3"/>
      <c r="M19" s="3"/>
      <c r="O19" s="3"/>
      <c r="P19" s="3"/>
      <c r="Q19" s="3"/>
      <c r="R19" s="3"/>
      <c r="S19" s="3"/>
      <c r="T19" s="3"/>
      <c r="U19" s="3"/>
      <c r="V19" s="3"/>
      <c r="W19" s="3"/>
      <c r="X19" s="3"/>
      <c r="Y19" s="3"/>
      <c r="Z19" s="3"/>
      <c r="AA19" s="3"/>
      <c r="AB19" s="3"/>
      <c r="AC19" s="3"/>
      <c r="AD19" s="3"/>
      <c r="AE19" s="3"/>
      <c r="AF19" s="3"/>
    </row>
    <row r="20" spans="3:34">
      <c r="C20" s="3"/>
      <c r="D20" s="3"/>
      <c r="E20" s="3"/>
      <c r="F20" s="3"/>
      <c r="G20" s="3"/>
      <c r="H20" s="3"/>
      <c r="I20" s="3"/>
      <c r="J20" s="3"/>
      <c r="K20" s="3"/>
      <c r="L20" s="3"/>
      <c r="M20" s="3"/>
      <c r="O20" s="3"/>
      <c r="P20" s="3"/>
      <c r="Q20" s="3"/>
      <c r="R20" s="3"/>
      <c r="S20" s="3"/>
      <c r="T20" s="3"/>
      <c r="U20" s="3"/>
      <c r="V20" s="3"/>
      <c r="W20" s="3"/>
      <c r="X20" s="3"/>
      <c r="Y20" s="3"/>
      <c r="Z20" s="3"/>
      <c r="AA20" s="3"/>
      <c r="AB20" s="3"/>
      <c r="AC20" s="3"/>
      <c r="AD20" s="3"/>
      <c r="AE20" s="3"/>
      <c r="AF20" s="3"/>
    </row>
    <row r="21" spans="3:34">
      <c r="C21" s="3"/>
      <c r="D21" s="3"/>
      <c r="E21" s="3"/>
      <c r="F21" s="3"/>
      <c r="G21" s="3"/>
      <c r="H21" s="3"/>
      <c r="I21" s="3"/>
      <c r="J21" s="3"/>
      <c r="K21" s="3"/>
      <c r="L21" s="3"/>
      <c r="M21" s="3"/>
      <c r="O21" s="3"/>
      <c r="P21" s="3"/>
      <c r="Q21" s="3"/>
      <c r="R21" s="3"/>
      <c r="S21" s="3"/>
      <c r="T21" s="3"/>
      <c r="U21" s="3"/>
      <c r="V21" s="3"/>
      <c r="W21" s="3"/>
      <c r="X21" s="3"/>
      <c r="Y21" s="3"/>
      <c r="Z21" s="3"/>
      <c r="AA21" s="3"/>
      <c r="AB21" s="3"/>
      <c r="AC21" s="3"/>
      <c r="AD21" s="3"/>
      <c r="AE21" s="3"/>
      <c r="AF21" s="3"/>
    </row>
    <row r="22" spans="3:34">
      <c r="C22" s="3"/>
      <c r="D22" s="3"/>
      <c r="E22" s="3"/>
      <c r="F22" s="3"/>
      <c r="G22" s="3"/>
      <c r="H22" s="3"/>
      <c r="I22" s="3"/>
      <c r="J22" s="3"/>
      <c r="K22" s="3"/>
      <c r="L22" s="3"/>
      <c r="M22" s="3"/>
      <c r="O22" s="3"/>
      <c r="P22" s="3"/>
      <c r="Q22" s="3"/>
      <c r="R22" s="3"/>
      <c r="S22" s="3"/>
      <c r="T22" s="3"/>
      <c r="U22" s="3"/>
      <c r="V22" s="3"/>
      <c r="W22" s="3"/>
      <c r="X22" s="3"/>
      <c r="Y22" s="3"/>
      <c r="Z22" s="3"/>
      <c r="AA22" s="3"/>
      <c r="AB22" s="3"/>
      <c r="AC22" s="3"/>
      <c r="AD22" s="3"/>
      <c r="AE22" s="3"/>
      <c r="AF22" s="3"/>
    </row>
    <row r="23" spans="3:34">
      <c r="C23" s="3"/>
      <c r="D23" s="3"/>
      <c r="E23" s="3"/>
      <c r="F23" s="3"/>
      <c r="G23" s="3"/>
      <c r="H23" s="3"/>
      <c r="I23" s="3"/>
      <c r="J23" s="3"/>
      <c r="K23" s="3"/>
      <c r="L23" s="3"/>
      <c r="M23" s="3"/>
      <c r="O23" s="3"/>
      <c r="P23" s="3"/>
      <c r="Q23" s="3"/>
      <c r="R23" s="3"/>
      <c r="S23" s="3"/>
      <c r="T23" s="3"/>
      <c r="U23" s="3"/>
      <c r="V23" s="3"/>
      <c r="W23" s="3"/>
      <c r="X23" s="3"/>
      <c r="Y23" s="3"/>
      <c r="Z23" s="3"/>
      <c r="AA23" s="3"/>
      <c r="AB23" s="3"/>
      <c r="AC23" s="3"/>
      <c r="AD23" s="3"/>
      <c r="AE23" s="3"/>
      <c r="AF23" s="3"/>
    </row>
    <row r="24" spans="3:34">
      <c r="C24" s="3"/>
      <c r="D24" s="3"/>
      <c r="E24" s="3"/>
      <c r="F24" s="3"/>
      <c r="G24" s="3"/>
      <c r="H24" s="3"/>
      <c r="I24" s="3"/>
      <c r="J24" s="3"/>
      <c r="K24" s="3"/>
      <c r="L24" s="3"/>
      <c r="M24" s="3"/>
      <c r="O24" s="3"/>
      <c r="P24" s="3"/>
      <c r="Q24" s="3"/>
      <c r="R24" s="3"/>
      <c r="S24" s="3"/>
      <c r="T24" s="3"/>
      <c r="U24" s="3"/>
      <c r="V24" s="3"/>
      <c r="W24" s="3"/>
      <c r="X24" s="3"/>
      <c r="Y24" s="3"/>
      <c r="Z24" s="3"/>
      <c r="AA24" s="3"/>
      <c r="AB24" s="3"/>
      <c r="AC24" s="3"/>
      <c r="AD24" s="3"/>
      <c r="AE24" s="3"/>
      <c r="AF24" s="3"/>
    </row>
    <row r="25" spans="3:34">
      <c r="C25" s="3"/>
      <c r="D25" s="3"/>
      <c r="E25" s="3"/>
      <c r="F25" s="3"/>
      <c r="G25" s="3"/>
      <c r="H25" s="3"/>
      <c r="I25" s="3"/>
      <c r="J25" s="3"/>
      <c r="K25" s="3"/>
      <c r="L25" s="3"/>
      <c r="M25" s="3"/>
      <c r="O25" s="3"/>
      <c r="P25" s="3"/>
      <c r="Q25" s="3"/>
      <c r="R25" s="3"/>
      <c r="S25" s="3"/>
      <c r="T25" s="3"/>
      <c r="U25" s="3"/>
      <c r="V25" s="3"/>
      <c r="W25" s="3"/>
      <c r="X25" s="3"/>
      <c r="Y25" s="3"/>
      <c r="Z25" s="3"/>
      <c r="AA25" s="3"/>
      <c r="AB25" s="3"/>
      <c r="AC25" s="3"/>
      <c r="AD25" s="3"/>
      <c r="AE25" s="3"/>
      <c r="AF25" s="3"/>
    </row>
    <row r="26" spans="3:34">
      <c r="C26" s="3"/>
      <c r="D26" s="3"/>
      <c r="E26" s="3"/>
      <c r="F26" s="3"/>
      <c r="G26" s="3"/>
      <c r="H26" s="3"/>
      <c r="I26" s="3"/>
      <c r="J26" s="3"/>
      <c r="K26" s="3"/>
      <c r="L26" s="3"/>
      <c r="M26" s="3"/>
      <c r="O26" s="3"/>
      <c r="P26" s="3"/>
      <c r="Q26" s="3"/>
      <c r="R26" s="3"/>
      <c r="S26" s="3"/>
      <c r="T26" s="3"/>
      <c r="U26" s="3"/>
      <c r="V26" s="3"/>
      <c r="W26" s="3"/>
      <c r="X26" s="3"/>
      <c r="Y26" s="3"/>
      <c r="Z26" s="3"/>
      <c r="AA26" s="3"/>
      <c r="AB26" s="3"/>
      <c r="AC26" s="3"/>
      <c r="AD26" s="3"/>
      <c r="AE26" s="3"/>
      <c r="AF26" s="3"/>
    </row>
    <row r="27" spans="3:34">
      <c r="C27" s="3"/>
      <c r="D27" s="3"/>
      <c r="E27" s="3"/>
      <c r="F27" s="3"/>
      <c r="G27" s="3"/>
      <c r="H27" s="3"/>
      <c r="I27" s="3"/>
      <c r="J27" s="3"/>
      <c r="K27" s="3"/>
      <c r="L27" s="3"/>
      <c r="M27" s="3"/>
      <c r="O27" s="3"/>
      <c r="P27" s="3"/>
      <c r="Q27" s="3"/>
      <c r="R27" s="3"/>
      <c r="S27" s="3"/>
      <c r="T27" s="3"/>
      <c r="U27" s="3"/>
      <c r="V27" s="3"/>
      <c r="W27" s="3"/>
      <c r="X27" s="3"/>
      <c r="Y27" s="3"/>
      <c r="Z27" s="3"/>
      <c r="AA27" s="3"/>
      <c r="AB27" s="3"/>
      <c r="AC27" s="3"/>
      <c r="AD27" s="3"/>
      <c r="AE27" s="3"/>
      <c r="AF27" s="3"/>
    </row>
    <row r="28" spans="3:34">
      <c r="C28" s="3"/>
      <c r="D28" s="3"/>
      <c r="E28" s="3"/>
      <c r="F28" s="3"/>
      <c r="G28" s="3"/>
      <c r="H28" s="3"/>
      <c r="I28" s="3"/>
      <c r="J28" s="3"/>
      <c r="K28" s="3"/>
      <c r="L28" s="3"/>
      <c r="M28" s="3"/>
      <c r="O28" s="3"/>
      <c r="P28" s="3"/>
      <c r="Q28" s="3"/>
      <c r="R28" s="3"/>
      <c r="S28" s="3"/>
      <c r="T28" s="3"/>
      <c r="U28" s="3"/>
      <c r="V28" s="3"/>
      <c r="W28" s="3"/>
      <c r="X28" s="3"/>
      <c r="Y28" s="3"/>
      <c r="Z28" s="3"/>
      <c r="AA28" s="3"/>
      <c r="AB28" s="3"/>
      <c r="AC28" s="3"/>
      <c r="AD28" s="3"/>
      <c r="AE28" s="3"/>
      <c r="AF28" s="3"/>
    </row>
    <row r="29" spans="3:34">
      <c r="C29" s="3"/>
      <c r="D29" s="3"/>
      <c r="E29" s="3"/>
      <c r="F29" s="3"/>
      <c r="G29" s="3"/>
      <c r="H29" s="3"/>
      <c r="I29" s="3"/>
      <c r="J29" s="3"/>
      <c r="K29" s="3"/>
      <c r="L29" s="3"/>
      <c r="M29" s="3"/>
      <c r="O29" s="3"/>
      <c r="P29" s="3"/>
      <c r="Q29" s="3"/>
      <c r="R29" s="3"/>
      <c r="S29" s="3"/>
      <c r="T29" s="3"/>
      <c r="U29" s="3"/>
      <c r="V29" s="3"/>
      <c r="W29" s="3"/>
      <c r="X29" s="3"/>
      <c r="Y29" s="3"/>
      <c r="Z29" s="3"/>
      <c r="AA29" s="3"/>
      <c r="AB29" s="3"/>
      <c r="AC29" s="3"/>
      <c r="AD29" s="3"/>
      <c r="AE29" s="3"/>
      <c r="AF29" s="3"/>
    </row>
    <row r="30" spans="3:34">
      <c r="C30" s="3"/>
      <c r="D30" s="3"/>
      <c r="E30" s="3"/>
      <c r="F30" s="3"/>
      <c r="G30" s="3"/>
      <c r="H30" s="3"/>
      <c r="I30" s="3"/>
      <c r="J30" s="3"/>
      <c r="K30" s="3"/>
      <c r="L30" s="3"/>
      <c r="M30" s="3"/>
      <c r="O30" s="3"/>
      <c r="P30" s="3"/>
      <c r="Q30" s="3"/>
      <c r="R30" s="3"/>
      <c r="S30" s="3"/>
      <c r="T30" s="3"/>
      <c r="U30" s="3"/>
      <c r="V30" s="3"/>
      <c r="W30" s="3"/>
      <c r="X30" s="3"/>
      <c r="Y30" s="3"/>
      <c r="Z30" s="3"/>
      <c r="AA30" s="3"/>
      <c r="AB30" s="3"/>
      <c r="AC30" s="3"/>
      <c r="AD30" s="3"/>
      <c r="AE30" s="3"/>
      <c r="AF30" s="3"/>
    </row>
    <row r="31" spans="3:34">
      <c r="C31" s="3"/>
      <c r="D31" s="3"/>
      <c r="E31" s="3"/>
      <c r="F31" s="3"/>
      <c r="G31" s="3"/>
      <c r="H31" s="3"/>
      <c r="I31" s="3"/>
      <c r="J31" s="3"/>
      <c r="K31" s="3"/>
      <c r="L31" s="3"/>
      <c r="M31" s="3"/>
      <c r="O31" s="3"/>
      <c r="P31" s="3"/>
      <c r="Q31" s="3"/>
      <c r="R31" s="3"/>
      <c r="S31" s="3"/>
      <c r="T31" s="3"/>
      <c r="U31" s="3"/>
      <c r="V31" s="3"/>
      <c r="W31" s="3"/>
      <c r="X31" s="3"/>
      <c r="Y31" s="3"/>
      <c r="Z31" s="3"/>
      <c r="AA31" s="3"/>
      <c r="AB31" s="3"/>
      <c r="AC31" s="3"/>
      <c r="AD31" s="3"/>
      <c r="AE31" s="3"/>
      <c r="AF31" s="3"/>
    </row>
    <row r="32" spans="3:34">
      <c r="C32" s="3"/>
      <c r="D32" s="3"/>
      <c r="E32" s="3"/>
      <c r="F32" s="3"/>
      <c r="G32" s="3"/>
      <c r="H32" s="3"/>
      <c r="I32" s="3"/>
      <c r="J32" s="3"/>
      <c r="K32" s="3"/>
      <c r="L32" s="3"/>
      <c r="M32" s="3"/>
      <c r="O32" s="3"/>
      <c r="P32" s="3"/>
      <c r="Q32" s="3"/>
      <c r="R32" s="3"/>
      <c r="S32" s="3"/>
      <c r="T32" s="3"/>
      <c r="U32" s="3"/>
      <c r="V32" s="3"/>
      <c r="W32" s="3"/>
      <c r="X32" s="3"/>
      <c r="Y32" s="3"/>
      <c r="Z32" s="3"/>
      <c r="AA32" s="3"/>
      <c r="AB32" s="3"/>
      <c r="AC32" s="3"/>
      <c r="AD32" s="3"/>
      <c r="AE32" s="3"/>
      <c r="AF32" s="3"/>
    </row>
    <row r="33" spans="3:32">
      <c r="C33" s="3"/>
      <c r="D33" s="3"/>
      <c r="E33" s="3"/>
      <c r="F33" s="3"/>
      <c r="G33" s="3"/>
      <c r="H33" s="3"/>
      <c r="I33" s="3"/>
      <c r="J33" s="3"/>
      <c r="K33" s="3"/>
      <c r="L33" s="3"/>
      <c r="M33" s="3"/>
      <c r="O33" s="3"/>
      <c r="P33" s="3"/>
      <c r="Q33" s="3"/>
      <c r="R33" s="3"/>
      <c r="S33" s="3"/>
      <c r="T33" s="3"/>
      <c r="U33" s="3"/>
      <c r="V33" s="3"/>
      <c r="W33" s="3"/>
      <c r="X33" s="3"/>
      <c r="Y33" s="3"/>
      <c r="Z33" s="3"/>
      <c r="AA33" s="3"/>
      <c r="AB33" s="3"/>
      <c r="AC33" s="3"/>
      <c r="AD33" s="3"/>
      <c r="AE33" s="3"/>
      <c r="AF33" s="3"/>
    </row>
    <row r="34" spans="3:32">
      <c r="C34" s="3"/>
      <c r="D34" s="3"/>
      <c r="E34" s="3"/>
      <c r="F34" s="3"/>
      <c r="G34" s="3"/>
      <c r="H34" s="3"/>
      <c r="I34" s="3"/>
      <c r="J34" s="3"/>
      <c r="K34" s="3"/>
      <c r="L34" s="3"/>
      <c r="M34" s="3"/>
      <c r="O34" s="3"/>
      <c r="P34" s="3"/>
      <c r="Q34" s="3"/>
      <c r="R34" s="3"/>
      <c r="S34" s="3"/>
      <c r="T34" s="3"/>
      <c r="U34" s="3"/>
      <c r="V34" s="3"/>
      <c r="W34" s="3"/>
      <c r="X34" s="3"/>
      <c r="Y34" s="3"/>
      <c r="Z34" s="3"/>
      <c r="AA34" s="3"/>
      <c r="AB34" s="3"/>
      <c r="AC34" s="3"/>
      <c r="AD34" s="3"/>
      <c r="AE34" s="3"/>
      <c r="AF34" s="3"/>
    </row>
    <row r="35" spans="3:32">
      <c r="C35" s="3"/>
      <c r="D35" s="3"/>
      <c r="E35" s="3"/>
      <c r="F35" s="3"/>
      <c r="G35" s="3"/>
      <c r="H35" s="3"/>
      <c r="I35" s="3"/>
      <c r="J35" s="3"/>
      <c r="K35" s="3"/>
      <c r="L35" s="3"/>
      <c r="M35" s="3"/>
      <c r="O35" s="3"/>
      <c r="P35" s="3"/>
      <c r="Q35" s="3"/>
      <c r="R35" s="3"/>
      <c r="S35" s="3"/>
      <c r="T35" s="3"/>
      <c r="U35" s="3"/>
      <c r="V35" s="3"/>
      <c r="W35" s="3"/>
      <c r="X35" s="3"/>
      <c r="Y35" s="3"/>
      <c r="Z35" s="3"/>
      <c r="AA35" s="3"/>
      <c r="AB35" s="3"/>
      <c r="AC35" s="3"/>
      <c r="AD35" s="3"/>
      <c r="AE35" s="3"/>
      <c r="AF35" s="3"/>
    </row>
    <row r="36" spans="3:32">
      <c r="C36" s="3"/>
      <c r="D36" s="3"/>
      <c r="E36" s="3"/>
      <c r="F36" s="3"/>
      <c r="G36" s="3"/>
      <c r="H36" s="3"/>
      <c r="I36" s="3"/>
      <c r="J36" s="3"/>
      <c r="K36" s="3"/>
      <c r="L36" s="3"/>
      <c r="M36" s="3"/>
      <c r="O36" s="3"/>
      <c r="P36" s="3"/>
      <c r="Q36" s="3"/>
      <c r="R36" s="3"/>
      <c r="S36" s="3"/>
      <c r="T36" s="3"/>
      <c r="U36" s="3"/>
      <c r="V36" s="3"/>
      <c r="W36" s="3"/>
      <c r="X36" s="3"/>
      <c r="Y36" s="3"/>
      <c r="Z36" s="3"/>
      <c r="AA36" s="3"/>
      <c r="AB36" s="3"/>
      <c r="AC36" s="3"/>
      <c r="AD36" s="3"/>
      <c r="AE36" s="3"/>
      <c r="AF36" s="3"/>
    </row>
    <row r="37" spans="3:32">
      <c r="C37" s="3"/>
      <c r="D37" s="3"/>
      <c r="E37" s="3"/>
      <c r="F37" s="3"/>
      <c r="G37" s="3"/>
      <c r="H37" s="3"/>
      <c r="I37" s="3"/>
      <c r="J37" s="3"/>
      <c r="K37" s="3"/>
      <c r="L37" s="3"/>
      <c r="M37" s="3"/>
      <c r="O37" s="3"/>
      <c r="P37" s="3"/>
      <c r="Q37" s="3"/>
      <c r="R37" s="3"/>
      <c r="S37" s="3"/>
      <c r="T37" s="3"/>
      <c r="U37" s="3"/>
      <c r="V37" s="3"/>
      <c r="W37" s="3"/>
      <c r="X37" s="3"/>
      <c r="Y37" s="3"/>
      <c r="Z37" s="3"/>
      <c r="AA37" s="3"/>
      <c r="AB37" s="3"/>
      <c r="AC37" s="3"/>
      <c r="AD37" s="3"/>
      <c r="AE37" s="3"/>
      <c r="AF37" s="3"/>
    </row>
    <row r="38" spans="3:32">
      <c r="C38" s="3"/>
      <c r="D38" s="3"/>
      <c r="E38" s="3"/>
      <c r="F38" s="3"/>
      <c r="G38" s="3"/>
      <c r="H38" s="3"/>
      <c r="I38" s="3"/>
      <c r="J38" s="3"/>
      <c r="K38" s="3"/>
      <c r="L38" s="3"/>
      <c r="M38" s="3"/>
      <c r="O38" s="3"/>
      <c r="P38" s="3"/>
      <c r="Q38" s="3"/>
      <c r="R38" s="3"/>
      <c r="S38" s="3"/>
      <c r="T38" s="3"/>
      <c r="U38" s="3"/>
      <c r="V38" s="3"/>
      <c r="W38" s="3"/>
      <c r="X38" s="3"/>
      <c r="Y38" s="3"/>
      <c r="Z38" s="3"/>
      <c r="AA38" s="3"/>
      <c r="AB38" s="3"/>
      <c r="AC38" s="3"/>
      <c r="AD38" s="3"/>
      <c r="AE38" s="3"/>
      <c r="AF38" s="3"/>
    </row>
    <row r="39" spans="3:32">
      <c r="C39" s="3"/>
      <c r="D39" s="3"/>
      <c r="E39" s="3"/>
      <c r="F39" s="3"/>
      <c r="G39" s="3"/>
      <c r="H39" s="3"/>
      <c r="I39" s="3"/>
      <c r="J39" s="3"/>
      <c r="K39" s="3"/>
      <c r="L39" s="3"/>
      <c r="M39" s="3"/>
      <c r="O39" s="3"/>
      <c r="P39" s="3"/>
      <c r="Q39" s="3"/>
      <c r="R39" s="3"/>
      <c r="S39" s="3"/>
      <c r="T39" s="3"/>
      <c r="U39" s="3"/>
      <c r="V39" s="3"/>
      <c r="W39" s="3"/>
      <c r="X39" s="3"/>
      <c r="Y39" s="3"/>
      <c r="Z39" s="3"/>
      <c r="AA39" s="3"/>
      <c r="AB39" s="3"/>
      <c r="AC39" s="3"/>
      <c r="AD39" s="3"/>
      <c r="AE39" s="3"/>
      <c r="AF39" s="3"/>
    </row>
    <row r="40" spans="3:32">
      <c r="C40" s="3"/>
      <c r="D40" s="3"/>
      <c r="E40" s="3"/>
      <c r="F40" s="3"/>
      <c r="G40" s="3"/>
      <c r="H40" s="3"/>
      <c r="I40" s="3"/>
      <c r="J40" s="3"/>
      <c r="K40" s="3"/>
      <c r="L40" s="3"/>
      <c r="M40" s="3"/>
      <c r="O40" s="3"/>
      <c r="P40" s="3"/>
      <c r="Q40" s="3"/>
      <c r="R40" s="3"/>
      <c r="S40" s="3"/>
      <c r="T40" s="3"/>
      <c r="U40" s="3"/>
      <c r="V40" s="3"/>
      <c r="W40" s="3"/>
      <c r="X40" s="3"/>
      <c r="Y40" s="3"/>
      <c r="Z40" s="3"/>
      <c r="AA40" s="3"/>
      <c r="AB40" s="3"/>
      <c r="AC40" s="3"/>
      <c r="AD40" s="3"/>
      <c r="AE40" s="3"/>
      <c r="AF40" s="3"/>
    </row>
    <row r="41" spans="3:32">
      <c r="C41" s="3"/>
      <c r="D41" s="3"/>
      <c r="E41" s="3"/>
      <c r="F41" s="3"/>
      <c r="G41" s="3"/>
      <c r="H41" s="3"/>
      <c r="I41" s="3"/>
      <c r="J41" s="3"/>
      <c r="K41" s="3"/>
      <c r="L41" s="3"/>
      <c r="M41" s="3"/>
      <c r="O41" s="3"/>
      <c r="P41" s="3"/>
      <c r="Q41" s="3"/>
      <c r="R41" s="3"/>
      <c r="S41" s="3"/>
      <c r="T41" s="3"/>
      <c r="U41" s="3"/>
      <c r="V41" s="3"/>
      <c r="W41" s="3"/>
      <c r="X41" s="3"/>
      <c r="Y41" s="3"/>
      <c r="Z41" s="3"/>
      <c r="AA41" s="3"/>
      <c r="AB41" s="3"/>
      <c r="AC41" s="3"/>
      <c r="AD41" s="3"/>
      <c r="AE41" s="3"/>
      <c r="AF41" s="3"/>
    </row>
    <row r="42" spans="3:32">
      <c r="C42" s="3"/>
      <c r="D42" s="3"/>
      <c r="E42" s="3"/>
      <c r="F42" s="3"/>
      <c r="G42" s="3"/>
      <c r="H42" s="3"/>
      <c r="I42" s="3"/>
      <c r="J42" s="3"/>
      <c r="K42" s="3"/>
      <c r="L42" s="3"/>
      <c r="M42" s="3"/>
      <c r="O42" s="3"/>
      <c r="P42" s="3"/>
      <c r="Q42" s="3"/>
      <c r="R42" s="3"/>
      <c r="S42" s="3"/>
      <c r="T42" s="3"/>
      <c r="U42" s="3"/>
      <c r="V42" s="3"/>
      <c r="W42" s="3"/>
      <c r="X42" s="3"/>
      <c r="Y42" s="3"/>
      <c r="Z42" s="3"/>
      <c r="AA42" s="3"/>
      <c r="AB42" s="3"/>
      <c r="AC42" s="3"/>
      <c r="AD42" s="3"/>
      <c r="AE42" s="3"/>
      <c r="AF42" s="3"/>
    </row>
    <row r="43" spans="3:32">
      <c r="C43" s="3"/>
      <c r="D43" s="3"/>
      <c r="E43" s="3"/>
      <c r="F43" s="3"/>
      <c r="G43" s="3"/>
      <c r="H43" s="3"/>
      <c r="I43" s="3"/>
      <c r="J43" s="3"/>
      <c r="K43" s="3"/>
      <c r="L43" s="3"/>
      <c r="M43" s="3"/>
      <c r="O43" s="3"/>
      <c r="P43" s="3"/>
      <c r="Q43" s="3"/>
      <c r="R43" s="3"/>
      <c r="S43" s="3"/>
      <c r="T43" s="3"/>
      <c r="U43" s="3"/>
      <c r="V43" s="3"/>
      <c r="W43" s="3"/>
      <c r="X43" s="3"/>
      <c r="Y43" s="3"/>
      <c r="Z43" s="3"/>
      <c r="AA43" s="3"/>
      <c r="AB43" s="3"/>
      <c r="AC43" s="3"/>
      <c r="AD43" s="3"/>
      <c r="AE43" s="3"/>
      <c r="AF43" s="3"/>
    </row>
    <row r="44" spans="3:32">
      <c r="C44" s="3"/>
      <c r="D44" s="3"/>
      <c r="E44" s="3"/>
      <c r="F44" s="3"/>
      <c r="G44" s="3"/>
      <c r="H44" s="3"/>
      <c r="I44" s="3"/>
      <c r="J44" s="3"/>
      <c r="K44" s="3"/>
      <c r="L44" s="3"/>
      <c r="M44" s="3"/>
      <c r="O44" s="3"/>
      <c r="P44" s="3"/>
      <c r="Q44" s="3"/>
      <c r="R44" s="3"/>
      <c r="S44" s="3"/>
      <c r="T44" s="3"/>
      <c r="U44" s="3"/>
      <c r="V44" s="3"/>
      <c r="W44" s="3"/>
      <c r="X44" s="3"/>
      <c r="Y44" s="3"/>
      <c r="Z44" s="3"/>
      <c r="AA44" s="3"/>
      <c r="AB44" s="3"/>
      <c r="AC44" s="3"/>
      <c r="AD44" s="3"/>
      <c r="AE44" s="3"/>
      <c r="AF44" s="3"/>
    </row>
    <row r="45" spans="3:32">
      <c r="C45" s="3"/>
      <c r="D45" s="3"/>
      <c r="E45" s="3"/>
      <c r="F45" s="3"/>
      <c r="G45" s="3"/>
      <c r="H45" s="3"/>
      <c r="I45" s="3"/>
      <c r="J45" s="3"/>
      <c r="K45" s="3"/>
      <c r="L45" s="3"/>
      <c r="M45" s="3"/>
      <c r="O45" s="3"/>
      <c r="P45" s="3"/>
      <c r="Q45" s="3"/>
      <c r="R45" s="3"/>
      <c r="S45" s="3"/>
      <c r="T45" s="3"/>
      <c r="U45" s="3"/>
      <c r="V45" s="3"/>
      <c r="W45" s="3"/>
      <c r="X45" s="3"/>
      <c r="Y45" s="3"/>
      <c r="Z45" s="3"/>
      <c r="AA45" s="3"/>
      <c r="AB45" s="3"/>
      <c r="AC45" s="3"/>
      <c r="AD45" s="3"/>
      <c r="AE45" s="3"/>
      <c r="AF45" s="3"/>
    </row>
    <row r="46" spans="3:32">
      <c r="C46" s="3"/>
      <c r="D46" s="3"/>
      <c r="E46" s="3"/>
      <c r="F46" s="3"/>
      <c r="G46" s="3"/>
      <c r="H46" s="3"/>
      <c r="I46" s="3"/>
      <c r="J46" s="3"/>
      <c r="K46" s="3"/>
      <c r="L46" s="3"/>
      <c r="M46" s="3"/>
      <c r="O46" s="3"/>
      <c r="P46" s="3"/>
      <c r="Q46" s="3"/>
      <c r="R46" s="3"/>
      <c r="S46" s="3"/>
      <c r="T46" s="3"/>
      <c r="U46" s="3"/>
      <c r="V46" s="3"/>
      <c r="W46" s="3"/>
      <c r="X46" s="3"/>
      <c r="Y46" s="3"/>
      <c r="Z46" s="3"/>
      <c r="AA46" s="3"/>
      <c r="AB46" s="3"/>
      <c r="AC46" s="3"/>
      <c r="AD46" s="3"/>
      <c r="AE46" s="3"/>
      <c r="AF46" s="3"/>
    </row>
    <row r="47" spans="3:32">
      <c r="C47" s="3"/>
      <c r="D47" s="3"/>
      <c r="E47" s="3"/>
      <c r="F47" s="3"/>
      <c r="G47" s="3"/>
      <c r="H47" s="3"/>
      <c r="I47" s="3"/>
      <c r="J47" s="3"/>
      <c r="K47" s="3"/>
      <c r="L47" s="3"/>
      <c r="M47" s="3"/>
      <c r="O47" s="3"/>
      <c r="P47" s="3"/>
      <c r="Q47" s="3"/>
      <c r="R47" s="3"/>
      <c r="S47" s="3"/>
      <c r="T47" s="3"/>
      <c r="U47" s="3"/>
      <c r="V47" s="3"/>
      <c r="W47" s="3"/>
      <c r="X47" s="3"/>
      <c r="Y47" s="3"/>
      <c r="Z47" s="3"/>
      <c r="AA47" s="3"/>
      <c r="AB47" s="3"/>
      <c r="AC47" s="3"/>
      <c r="AD47" s="3"/>
      <c r="AE47" s="3"/>
      <c r="AF47" s="3"/>
    </row>
    <row r="48" spans="3:32">
      <c r="C48" s="3"/>
      <c r="D48" s="3"/>
      <c r="E48" s="3"/>
      <c r="F48" s="3"/>
      <c r="G48" s="3"/>
      <c r="H48" s="3"/>
      <c r="I48" s="3"/>
      <c r="J48" s="3"/>
      <c r="K48" s="3"/>
      <c r="L48" s="3"/>
      <c r="M48" s="3"/>
      <c r="O48" s="3"/>
      <c r="P48" s="3"/>
      <c r="Q48" s="3"/>
      <c r="R48" s="3"/>
      <c r="S48" s="3"/>
      <c r="T48" s="3"/>
      <c r="U48" s="3"/>
      <c r="V48" s="3"/>
      <c r="W48" s="3"/>
      <c r="X48" s="3"/>
      <c r="Y48" s="3"/>
      <c r="Z48" s="3"/>
      <c r="AA48" s="3"/>
      <c r="AB48" s="3"/>
      <c r="AC48" s="3"/>
      <c r="AD48" s="3"/>
      <c r="AE48" s="3"/>
      <c r="AF48" s="3"/>
    </row>
    <row r="49" spans="3:32">
      <c r="C49" s="3"/>
      <c r="D49" s="3"/>
      <c r="E49" s="3"/>
      <c r="F49" s="3"/>
      <c r="G49" s="3"/>
      <c r="H49" s="3"/>
      <c r="I49" s="3"/>
      <c r="J49" s="3"/>
      <c r="K49" s="3"/>
      <c r="L49" s="3"/>
      <c r="M49" s="3"/>
      <c r="O49" s="3"/>
      <c r="P49" s="3"/>
      <c r="Q49" s="3"/>
      <c r="R49" s="3"/>
      <c r="S49" s="3"/>
      <c r="T49" s="3"/>
      <c r="U49" s="3"/>
      <c r="V49" s="3"/>
      <c r="W49" s="3"/>
      <c r="X49" s="3"/>
      <c r="Y49" s="3"/>
      <c r="Z49" s="3"/>
      <c r="AA49" s="3"/>
      <c r="AB49" s="3"/>
      <c r="AC49" s="3"/>
      <c r="AD49" s="3"/>
      <c r="AE49" s="3"/>
      <c r="AF49" s="3"/>
    </row>
    <row r="50" spans="3:32">
      <c r="C50" s="3"/>
      <c r="D50" s="3"/>
      <c r="E50" s="3"/>
      <c r="F50" s="3"/>
      <c r="G50" s="3"/>
      <c r="H50" s="3"/>
      <c r="I50" s="3"/>
      <c r="J50" s="3"/>
      <c r="K50" s="3"/>
      <c r="L50" s="3"/>
      <c r="M50" s="3"/>
      <c r="O50" s="3"/>
      <c r="P50" s="3"/>
      <c r="Q50" s="3"/>
      <c r="R50" s="3"/>
      <c r="S50" s="3"/>
      <c r="T50" s="3"/>
      <c r="U50" s="3"/>
      <c r="V50" s="3"/>
      <c r="W50" s="3"/>
      <c r="X50" s="3"/>
      <c r="Y50" s="3"/>
      <c r="Z50" s="3"/>
      <c r="AA50" s="3"/>
      <c r="AB50" s="3"/>
      <c r="AC50" s="3"/>
      <c r="AD50" s="3"/>
      <c r="AE50" s="3"/>
      <c r="AF50" s="3"/>
    </row>
    <row r="51" spans="3:32">
      <c r="C51" s="3"/>
      <c r="D51" s="3"/>
      <c r="E51" s="3"/>
      <c r="F51" s="3"/>
      <c r="G51" s="3"/>
      <c r="H51" s="3"/>
      <c r="I51" s="3"/>
      <c r="J51" s="3"/>
      <c r="K51" s="3"/>
      <c r="L51" s="3"/>
      <c r="M51" s="3"/>
      <c r="O51" s="3"/>
      <c r="P51" s="3"/>
      <c r="Q51" s="3"/>
      <c r="R51" s="3"/>
      <c r="S51" s="3"/>
      <c r="T51" s="3"/>
      <c r="U51" s="3"/>
      <c r="V51" s="3"/>
      <c r="W51" s="3"/>
      <c r="X51" s="3"/>
      <c r="Y51" s="3"/>
      <c r="Z51" s="3"/>
      <c r="AA51" s="3"/>
      <c r="AB51" s="3"/>
      <c r="AC51" s="3"/>
      <c r="AD51" s="3"/>
      <c r="AE51" s="3"/>
      <c r="AF51" s="3"/>
    </row>
    <row r="52" spans="3:32">
      <c r="C52" s="3"/>
      <c r="D52" s="3"/>
      <c r="E52" s="3"/>
      <c r="F52" s="3"/>
      <c r="G52" s="3"/>
      <c r="H52" s="3"/>
      <c r="I52" s="3"/>
      <c r="J52" s="3"/>
      <c r="K52" s="3"/>
      <c r="L52" s="3"/>
      <c r="M52" s="3"/>
      <c r="O52" s="3"/>
      <c r="P52" s="3"/>
      <c r="Q52" s="3"/>
      <c r="R52" s="3"/>
      <c r="S52" s="3"/>
      <c r="T52" s="3"/>
      <c r="U52" s="3"/>
      <c r="V52" s="3"/>
      <c r="W52" s="3"/>
      <c r="X52" s="3"/>
      <c r="Y52" s="3"/>
      <c r="Z52" s="3"/>
      <c r="AA52" s="3"/>
      <c r="AB52" s="3"/>
      <c r="AC52" s="3"/>
      <c r="AD52" s="3"/>
      <c r="AE52" s="3"/>
      <c r="AF52" s="3"/>
    </row>
    <row r="53" spans="3:32">
      <c r="C53" s="3"/>
      <c r="D53" s="3"/>
      <c r="E53" s="3"/>
      <c r="F53" s="3"/>
      <c r="G53" s="3"/>
      <c r="H53" s="3"/>
      <c r="I53" s="3"/>
      <c r="J53" s="3"/>
      <c r="K53" s="3"/>
      <c r="L53" s="3"/>
      <c r="M53" s="3"/>
      <c r="O53" s="3"/>
      <c r="P53" s="3"/>
      <c r="Q53" s="3"/>
      <c r="R53" s="3"/>
      <c r="S53" s="3"/>
      <c r="T53" s="3"/>
      <c r="U53" s="3"/>
      <c r="V53" s="3"/>
      <c r="W53" s="3"/>
      <c r="X53" s="3"/>
      <c r="Y53" s="3"/>
      <c r="Z53" s="3"/>
      <c r="AA53" s="3"/>
      <c r="AB53" s="3"/>
      <c r="AC53" s="3"/>
      <c r="AD53" s="3"/>
      <c r="AE53" s="3"/>
      <c r="AF53" s="3"/>
    </row>
    <row r="54" spans="3:32">
      <c r="C54" s="3"/>
      <c r="D54" s="3"/>
      <c r="E54" s="3"/>
      <c r="F54" s="3"/>
      <c r="G54" s="3"/>
      <c r="H54" s="3"/>
      <c r="I54" s="3"/>
      <c r="J54" s="3"/>
      <c r="K54" s="3"/>
      <c r="L54" s="3"/>
      <c r="M54" s="3"/>
      <c r="O54" s="3"/>
      <c r="P54" s="3"/>
      <c r="Q54" s="3"/>
      <c r="R54" s="3"/>
      <c r="S54" s="3"/>
      <c r="T54" s="3"/>
      <c r="U54" s="3"/>
      <c r="V54" s="3"/>
      <c r="W54" s="3"/>
      <c r="X54" s="3"/>
      <c r="Y54" s="3"/>
      <c r="Z54" s="3"/>
      <c r="AA54" s="3"/>
      <c r="AB54" s="3"/>
      <c r="AC54" s="3"/>
      <c r="AD54" s="3"/>
      <c r="AE54" s="3"/>
      <c r="AF54" s="3"/>
    </row>
    <row r="55" spans="3:32">
      <c r="C55" s="3"/>
      <c r="D55" s="3"/>
      <c r="E55" s="3"/>
      <c r="F55" s="3"/>
      <c r="G55" s="3"/>
      <c r="H55" s="3"/>
      <c r="I55" s="3"/>
      <c r="J55" s="3"/>
      <c r="K55" s="3"/>
      <c r="L55" s="3"/>
      <c r="M55" s="3"/>
      <c r="O55" s="3"/>
      <c r="P55" s="3"/>
      <c r="Q55" s="3"/>
      <c r="R55" s="3"/>
      <c r="S55" s="3"/>
      <c r="T55" s="3"/>
      <c r="U55" s="3"/>
      <c r="V55" s="3"/>
      <c r="W55" s="3"/>
      <c r="X55" s="3"/>
      <c r="Y55" s="3"/>
      <c r="Z55" s="3"/>
      <c r="AA55" s="3"/>
      <c r="AB55" s="3"/>
      <c r="AC55" s="3"/>
      <c r="AD55" s="3"/>
      <c r="AE55" s="3"/>
      <c r="AF55" s="3"/>
    </row>
    <row r="56" spans="3:32">
      <c r="C56" s="3"/>
      <c r="D56" s="3"/>
      <c r="E56" s="3"/>
      <c r="F56" s="3"/>
      <c r="G56" s="3"/>
      <c r="H56" s="3"/>
      <c r="I56" s="3"/>
      <c r="J56" s="3"/>
      <c r="K56" s="3"/>
      <c r="L56" s="3"/>
      <c r="M56" s="3"/>
      <c r="O56" s="3"/>
      <c r="P56" s="3"/>
      <c r="Q56" s="3"/>
      <c r="R56" s="3"/>
      <c r="S56" s="3"/>
      <c r="T56" s="3"/>
      <c r="U56" s="3"/>
      <c r="V56" s="3"/>
      <c r="W56" s="3"/>
      <c r="X56" s="3"/>
      <c r="Y56" s="3"/>
      <c r="Z56" s="3"/>
      <c r="AA56" s="3"/>
      <c r="AB56" s="3"/>
      <c r="AC56" s="3"/>
      <c r="AD56" s="3"/>
      <c r="AE56" s="3"/>
      <c r="AF56" s="3"/>
    </row>
    <row r="57" spans="3:32">
      <c r="C57" s="3"/>
      <c r="D57" s="3"/>
      <c r="E57" s="3"/>
      <c r="F57" s="3"/>
      <c r="G57" s="3"/>
      <c r="H57" s="3"/>
      <c r="I57" s="3"/>
      <c r="J57" s="3"/>
      <c r="K57" s="3"/>
      <c r="L57" s="3"/>
      <c r="M57" s="3"/>
      <c r="O57" s="3"/>
      <c r="P57" s="3"/>
      <c r="Q57" s="3"/>
      <c r="R57" s="3"/>
      <c r="S57" s="3"/>
      <c r="T57" s="3"/>
      <c r="U57" s="3"/>
      <c r="V57" s="3"/>
      <c r="W57" s="3"/>
      <c r="X57" s="3"/>
      <c r="Y57" s="3"/>
      <c r="Z57" s="3"/>
      <c r="AA57" s="3"/>
      <c r="AB57" s="3"/>
      <c r="AC57" s="3"/>
      <c r="AD57" s="3"/>
      <c r="AE57" s="3"/>
      <c r="AF57" s="3"/>
    </row>
    <row r="58" spans="3:32">
      <c r="C58" s="3"/>
      <c r="D58" s="3"/>
      <c r="E58" s="3"/>
      <c r="F58" s="3"/>
      <c r="G58" s="3"/>
      <c r="H58" s="3"/>
      <c r="I58" s="3"/>
      <c r="J58" s="3"/>
      <c r="K58" s="3"/>
      <c r="L58" s="3"/>
      <c r="M58" s="3"/>
      <c r="O58" s="3"/>
      <c r="P58" s="3"/>
      <c r="Q58" s="3"/>
      <c r="R58" s="3"/>
      <c r="S58" s="3"/>
      <c r="T58" s="3"/>
      <c r="U58" s="3"/>
      <c r="V58" s="3"/>
      <c r="W58" s="3"/>
      <c r="X58" s="3"/>
      <c r="Y58" s="3"/>
      <c r="Z58" s="3"/>
      <c r="AA58" s="3"/>
      <c r="AB58" s="3"/>
      <c r="AC58" s="3"/>
      <c r="AD58" s="3"/>
      <c r="AE58" s="3"/>
      <c r="AF58" s="3"/>
    </row>
    <row r="59" spans="3:32">
      <c r="C59" s="3"/>
      <c r="D59" s="3"/>
      <c r="E59" s="3"/>
      <c r="F59" s="3"/>
      <c r="G59" s="3"/>
      <c r="H59" s="3"/>
      <c r="I59" s="3"/>
      <c r="J59" s="3"/>
      <c r="K59" s="3"/>
      <c r="L59" s="3"/>
      <c r="M59" s="3"/>
      <c r="O59" s="3"/>
      <c r="P59" s="3"/>
      <c r="Q59" s="3"/>
      <c r="R59" s="3"/>
      <c r="S59" s="3"/>
      <c r="T59" s="3"/>
      <c r="U59" s="3"/>
      <c r="V59" s="3"/>
      <c r="W59" s="3"/>
      <c r="X59" s="3"/>
      <c r="Y59" s="3"/>
      <c r="Z59" s="3"/>
      <c r="AA59" s="3"/>
      <c r="AB59" s="3"/>
      <c r="AC59" s="3"/>
      <c r="AD59" s="3"/>
      <c r="AE59" s="3"/>
      <c r="AF59" s="3"/>
    </row>
    <row r="60" spans="3:32">
      <c r="C60" s="3"/>
      <c r="D60" s="3"/>
      <c r="E60" s="3"/>
      <c r="F60" s="3"/>
      <c r="G60" s="3"/>
      <c r="H60" s="3"/>
      <c r="I60" s="3"/>
      <c r="J60" s="3"/>
      <c r="K60" s="3"/>
      <c r="L60" s="3"/>
      <c r="M60" s="3"/>
      <c r="O60" s="3"/>
      <c r="P60" s="3"/>
      <c r="Q60" s="3"/>
      <c r="R60" s="3"/>
      <c r="S60" s="3"/>
      <c r="T60" s="3"/>
      <c r="U60" s="3"/>
      <c r="V60" s="3"/>
      <c r="W60" s="3"/>
      <c r="X60" s="3"/>
      <c r="Y60" s="3"/>
      <c r="Z60" s="3"/>
      <c r="AA60" s="3"/>
      <c r="AB60" s="3"/>
      <c r="AC60" s="3"/>
      <c r="AD60" s="3"/>
      <c r="AE60" s="3"/>
      <c r="AF60" s="3"/>
    </row>
    <row r="61" spans="3:32">
      <c r="C61" s="3"/>
      <c r="D61" s="3"/>
      <c r="E61" s="3"/>
      <c r="F61" s="3"/>
      <c r="G61" s="3"/>
      <c r="H61" s="3"/>
      <c r="I61" s="3"/>
      <c r="J61" s="3"/>
      <c r="K61" s="3"/>
      <c r="L61" s="3"/>
      <c r="M61" s="3"/>
      <c r="O61" s="3"/>
      <c r="P61" s="3"/>
      <c r="Q61" s="3"/>
      <c r="R61" s="3"/>
      <c r="S61" s="3"/>
      <c r="T61" s="3"/>
      <c r="U61" s="3"/>
      <c r="V61" s="3"/>
      <c r="W61" s="3"/>
      <c r="X61" s="3"/>
      <c r="Y61" s="3"/>
      <c r="Z61" s="3"/>
      <c r="AA61" s="3"/>
      <c r="AB61" s="3"/>
      <c r="AC61" s="3"/>
      <c r="AD61" s="3"/>
      <c r="AE61" s="3"/>
      <c r="AF61" s="3"/>
    </row>
    <row r="62" spans="3:32">
      <c r="C62" s="3"/>
      <c r="D62" s="3"/>
      <c r="E62" s="3"/>
      <c r="F62" s="3"/>
      <c r="G62" s="3"/>
      <c r="H62" s="3"/>
      <c r="I62" s="3"/>
      <c r="J62" s="3"/>
      <c r="K62" s="3"/>
      <c r="L62" s="3"/>
      <c r="M62" s="3"/>
      <c r="O62" s="3"/>
      <c r="P62" s="3"/>
      <c r="Q62" s="3"/>
      <c r="R62" s="3"/>
      <c r="S62" s="3"/>
      <c r="T62" s="3"/>
      <c r="U62" s="3"/>
      <c r="V62" s="3"/>
      <c r="W62" s="3"/>
      <c r="X62" s="3"/>
      <c r="Y62" s="3"/>
      <c r="Z62" s="3"/>
      <c r="AA62" s="3"/>
      <c r="AB62" s="3"/>
      <c r="AC62" s="3"/>
      <c r="AD62" s="3"/>
      <c r="AE62" s="3"/>
      <c r="AF62" s="3"/>
    </row>
    <row r="63" spans="3:32">
      <c r="C63" s="3"/>
      <c r="D63" s="3"/>
      <c r="E63" s="3"/>
      <c r="F63" s="3"/>
      <c r="G63" s="3"/>
      <c r="H63" s="3"/>
      <c r="I63" s="3"/>
      <c r="J63" s="3"/>
      <c r="K63" s="3"/>
      <c r="L63" s="3"/>
      <c r="M63" s="3"/>
      <c r="O63" s="3"/>
      <c r="P63" s="3"/>
      <c r="Q63" s="3"/>
      <c r="R63" s="3"/>
      <c r="S63" s="3"/>
      <c r="T63" s="3"/>
      <c r="U63" s="3"/>
      <c r="V63" s="3"/>
      <c r="W63" s="3"/>
      <c r="X63" s="3"/>
      <c r="Y63" s="3"/>
      <c r="Z63" s="3"/>
      <c r="AA63" s="3"/>
      <c r="AB63" s="3"/>
      <c r="AC63" s="3"/>
      <c r="AD63" s="3"/>
      <c r="AE63" s="3"/>
      <c r="AF63" s="3"/>
    </row>
    <row r="64" spans="3:32">
      <c r="C64" s="3"/>
      <c r="D64" s="3"/>
      <c r="E64" s="3"/>
      <c r="F64" s="3"/>
      <c r="G64" s="3"/>
      <c r="H64" s="3"/>
      <c r="I64" s="3"/>
      <c r="J64" s="3"/>
      <c r="K64" s="3"/>
      <c r="L64" s="3"/>
      <c r="M64" s="3"/>
      <c r="O64" s="3"/>
      <c r="P64" s="3"/>
      <c r="Q64" s="3"/>
      <c r="R64" s="3"/>
      <c r="S64" s="3"/>
      <c r="T64" s="3"/>
      <c r="U64" s="3"/>
      <c r="V64" s="3"/>
      <c r="W64" s="3"/>
      <c r="X64" s="3"/>
      <c r="Y64" s="3"/>
      <c r="Z64" s="3"/>
      <c r="AA64" s="3"/>
      <c r="AB64" s="3"/>
      <c r="AC64" s="3"/>
      <c r="AD64" s="3"/>
      <c r="AE64" s="3"/>
      <c r="AF64" s="3"/>
    </row>
    <row r="65" spans="3:32">
      <c r="C65" s="3"/>
      <c r="D65" s="3"/>
      <c r="E65" s="3"/>
      <c r="F65" s="3"/>
      <c r="G65" s="3"/>
      <c r="H65" s="3"/>
      <c r="I65" s="3"/>
      <c r="J65" s="3"/>
      <c r="K65" s="3"/>
      <c r="L65" s="3"/>
      <c r="M65" s="3"/>
      <c r="O65" s="3"/>
      <c r="P65" s="3"/>
      <c r="Q65" s="3"/>
      <c r="R65" s="3"/>
      <c r="S65" s="3"/>
      <c r="T65" s="3"/>
      <c r="U65" s="3"/>
      <c r="V65" s="3"/>
      <c r="W65" s="3"/>
      <c r="X65" s="3"/>
      <c r="Y65" s="3"/>
      <c r="Z65" s="3"/>
      <c r="AA65" s="3"/>
      <c r="AB65" s="3"/>
      <c r="AC65" s="3"/>
      <c r="AD65" s="3"/>
      <c r="AE65" s="3"/>
      <c r="AF65" s="3"/>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7"/>
  <sheetViews>
    <sheetView tabSelected="1" topLeftCell="A20" zoomScale="50" zoomScaleNormal="50" workbookViewId="0">
      <selection activeCell="AI45" sqref="AI45"/>
    </sheetView>
  </sheetViews>
  <sheetFormatPr defaultRowHeight="14.5"/>
  <cols>
    <col min="1" max="58" width="8.7265625" style="6"/>
    <col min="59" max="59" width="8.7265625" style="6" customWidth="1"/>
    <col min="60" max="66" width="8.7265625" style="6"/>
    <col min="67" max="67" width="15" style="6" customWidth="1"/>
    <col min="68" max="68" width="22.6328125" style="6" customWidth="1"/>
    <col min="69" max="16384" width="8.7265625" style="6"/>
  </cols>
  <sheetData>
    <row r="1" spans="1:68" s="1" customFormat="1">
      <c r="A1" s="101" t="s">
        <v>59</v>
      </c>
      <c r="B1" s="101"/>
      <c r="C1" s="101" t="s">
        <v>102</v>
      </c>
      <c r="D1" s="101"/>
      <c r="E1" s="101" t="s">
        <v>60</v>
      </c>
      <c r="F1" s="101"/>
      <c r="G1" s="101" t="s">
        <v>61</v>
      </c>
      <c r="H1" s="101"/>
      <c r="I1" s="101" t="s">
        <v>62</v>
      </c>
      <c r="J1" s="101"/>
      <c r="K1" s="101" t="s">
        <v>63</v>
      </c>
      <c r="L1" s="101"/>
      <c r="M1" s="101" t="s">
        <v>64</v>
      </c>
      <c r="N1" s="101"/>
      <c r="O1" s="101" t="s">
        <v>157</v>
      </c>
      <c r="P1" s="101"/>
      <c r="Q1" s="101" t="s">
        <v>65</v>
      </c>
      <c r="R1" s="101"/>
      <c r="S1" s="101" t="s">
        <v>158</v>
      </c>
      <c r="T1" s="101"/>
      <c r="U1" s="101" t="s">
        <v>161</v>
      </c>
      <c r="V1" s="101"/>
      <c r="W1" s="101" t="s">
        <v>68</v>
      </c>
      <c r="X1" s="101"/>
      <c r="Y1" s="101" t="s">
        <v>69</v>
      </c>
      <c r="Z1" s="101"/>
      <c r="AA1" s="101" t="s">
        <v>146</v>
      </c>
      <c r="AB1" s="101"/>
      <c r="AC1" s="101" t="s">
        <v>70</v>
      </c>
      <c r="AD1" s="101"/>
      <c r="AE1" s="101" t="s">
        <v>100</v>
      </c>
      <c r="AF1" s="101"/>
      <c r="AG1" s="101" t="s">
        <v>67</v>
      </c>
      <c r="AH1" s="101"/>
      <c r="AI1" s="101" t="s">
        <v>155</v>
      </c>
      <c r="AJ1" s="101"/>
      <c r="AK1" s="101" t="s">
        <v>101</v>
      </c>
      <c r="AL1" s="101"/>
      <c r="AM1" s="101" t="s">
        <v>71</v>
      </c>
      <c r="AN1" s="101"/>
      <c r="AO1" s="101" t="s">
        <v>103</v>
      </c>
      <c r="AP1" s="101"/>
      <c r="AQ1" s="101" t="s">
        <v>104</v>
      </c>
      <c r="AR1" s="101"/>
      <c r="AS1" s="101" t="s">
        <v>105</v>
      </c>
      <c r="AT1" s="101"/>
      <c r="AU1" s="101" t="s">
        <v>72</v>
      </c>
      <c r="AV1" s="101"/>
      <c r="AW1" s="101" t="s">
        <v>561</v>
      </c>
      <c r="AX1" s="101"/>
      <c r="AY1" s="101" t="s">
        <v>73</v>
      </c>
      <c r="AZ1" s="101"/>
      <c r="BA1" s="101" t="s">
        <v>74</v>
      </c>
      <c r="BB1" s="101"/>
      <c r="BC1" s="101" t="s">
        <v>80</v>
      </c>
      <c r="BD1" s="101"/>
      <c r="BE1" s="101" t="s">
        <v>458</v>
      </c>
      <c r="BF1" s="101"/>
      <c r="BG1" s="101" t="s">
        <v>147</v>
      </c>
      <c r="BH1" s="101"/>
      <c r="BI1" s="101" t="s">
        <v>95</v>
      </c>
      <c r="BJ1" s="101"/>
      <c r="BK1" s="101" t="s">
        <v>81</v>
      </c>
      <c r="BL1" s="101"/>
      <c r="BM1" s="101" t="s">
        <v>150</v>
      </c>
      <c r="BN1" s="101"/>
      <c r="BO1" s="65" t="s">
        <v>148</v>
      </c>
      <c r="BP1" s="65" t="s">
        <v>149</v>
      </c>
    </row>
    <row r="2" spans="1:68">
      <c r="A2" s="1" t="s">
        <v>459</v>
      </c>
      <c r="B2" s="1" t="s">
        <v>145</v>
      </c>
      <c r="C2" s="1" t="s">
        <v>459</v>
      </c>
      <c r="D2" s="1" t="s">
        <v>145</v>
      </c>
      <c r="E2" s="1" t="s">
        <v>459</v>
      </c>
      <c r="F2" s="1" t="s">
        <v>145</v>
      </c>
      <c r="G2" s="1" t="s">
        <v>459</v>
      </c>
      <c r="H2" s="1" t="s">
        <v>145</v>
      </c>
      <c r="I2" s="1" t="s">
        <v>459</v>
      </c>
      <c r="J2" s="1" t="s">
        <v>145</v>
      </c>
      <c r="K2" s="1" t="s">
        <v>459</v>
      </c>
      <c r="L2" s="1" t="s">
        <v>145</v>
      </c>
      <c r="M2" s="1" t="s">
        <v>459</v>
      </c>
      <c r="N2" s="1" t="s">
        <v>145</v>
      </c>
      <c r="O2" s="1" t="s">
        <v>459</v>
      </c>
      <c r="P2" s="1" t="s">
        <v>145</v>
      </c>
      <c r="Q2" s="1" t="s">
        <v>459</v>
      </c>
      <c r="R2" s="1" t="s">
        <v>145</v>
      </c>
      <c r="S2" s="1" t="s">
        <v>459</v>
      </c>
      <c r="T2" s="1" t="s">
        <v>145</v>
      </c>
      <c r="U2" s="1" t="s">
        <v>459</v>
      </c>
      <c r="V2" s="1" t="s">
        <v>145</v>
      </c>
      <c r="W2" s="1" t="s">
        <v>459</v>
      </c>
      <c r="X2" s="1" t="s">
        <v>145</v>
      </c>
      <c r="Y2" s="1" t="s">
        <v>459</v>
      </c>
      <c r="Z2" s="1" t="s">
        <v>145</v>
      </c>
      <c r="AA2" s="1" t="s">
        <v>459</v>
      </c>
      <c r="AB2" s="1" t="s">
        <v>145</v>
      </c>
      <c r="AC2" s="1" t="s">
        <v>459</v>
      </c>
      <c r="AD2" s="1" t="s">
        <v>145</v>
      </c>
      <c r="AE2" s="1" t="s">
        <v>459</v>
      </c>
      <c r="AF2" s="1" t="s">
        <v>145</v>
      </c>
      <c r="AG2" s="1" t="s">
        <v>459</v>
      </c>
      <c r="AH2" s="1" t="s">
        <v>145</v>
      </c>
      <c r="AI2" s="1" t="s">
        <v>459</v>
      </c>
      <c r="AJ2" s="1" t="s">
        <v>145</v>
      </c>
      <c r="AK2" s="1" t="s">
        <v>459</v>
      </c>
      <c r="AL2" s="1" t="s">
        <v>145</v>
      </c>
      <c r="AM2" s="1" t="s">
        <v>459</v>
      </c>
      <c r="AN2" s="1" t="s">
        <v>145</v>
      </c>
      <c r="AO2" s="1" t="s">
        <v>459</v>
      </c>
      <c r="AP2" s="1" t="s">
        <v>145</v>
      </c>
      <c r="AQ2" s="1" t="s">
        <v>459</v>
      </c>
      <c r="AR2" s="1" t="s">
        <v>145</v>
      </c>
      <c r="AS2" s="1" t="s">
        <v>459</v>
      </c>
      <c r="AT2" s="1" t="s">
        <v>145</v>
      </c>
      <c r="AU2" s="1" t="s">
        <v>459</v>
      </c>
      <c r="AV2" s="1" t="s">
        <v>145</v>
      </c>
      <c r="AW2" s="1" t="s">
        <v>459</v>
      </c>
      <c r="AX2" s="1" t="s">
        <v>145</v>
      </c>
      <c r="AY2" s="1" t="s">
        <v>459</v>
      </c>
      <c r="AZ2" s="1" t="s">
        <v>145</v>
      </c>
      <c r="BA2" s="1" t="s">
        <v>459</v>
      </c>
      <c r="BB2" s="1" t="s">
        <v>145</v>
      </c>
      <c r="BC2" s="1" t="s">
        <v>459</v>
      </c>
      <c r="BD2" s="1" t="s">
        <v>145</v>
      </c>
      <c r="BE2" s="94" t="s">
        <v>459</v>
      </c>
      <c r="BF2" s="1" t="s">
        <v>145</v>
      </c>
      <c r="BG2" s="1" t="s">
        <v>459</v>
      </c>
      <c r="BH2" s="1" t="s">
        <v>145</v>
      </c>
      <c r="BI2" s="1" t="s">
        <v>459</v>
      </c>
      <c r="BJ2" s="1" t="s">
        <v>145</v>
      </c>
      <c r="BK2" s="1" t="s">
        <v>459</v>
      </c>
      <c r="BL2" s="1" t="s">
        <v>145</v>
      </c>
      <c r="BM2" s="1" t="s">
        <v>459</v>
      </c>
      <c r="BN2" s="1" t="s">
        <v>145</v>
      </c>
      <c r="BO2" s="1" t="s">
        <v>459</v>
      </c>
      <c r="BP2" s="1" t="s">
        <v>459</v>
      </c>
    </row>
    <row r="3" spans="1:68">
      <c r="A3" s="6">
        <v>0.1688239586127902</v>
      </c>
      <c r="B3" s="6">
        <v>-7.5106063014996893E-3</v>
      </c>
      <c r="C3" s="6">
        <v>-0.76460060999011048</v>
      </c>
      <c r="D3" s="6">
        <v>-5.019547140133418E-3</v>
      </c>
      <c r="E3" s="6">
        <v>-0.3180531975099038</v>
      </c>
      <c r="F3" s="6">
        <v>1.6450530903497906E-3</v>
      </c>
      <c r="G3" s="6">
        <v>6.0112404926970564E-2</v>
      </c>
      <c r="H3" s="6">
        <v>-5.0836651750535422E-3</v>
      </c>
      <c r="I3" s="6">
        <v>1.3676470588235294</v>
      </c>
      <c r="J3" s="6">
        <v>-9.742571506306863E-3</v>
      </c>
      <c r="K3" s="6">
        <v>-0.37659196835031439</v>
      </c>
      <c r="L3" s="6">
        <v>-1.0952401369423881E-2</v>
      </c>
      <c r="M3" s="6">
        <v>-0.42062193126022929</v>
      </c>
      <c r="N3" s="6">
        <v>1.2677679600461067E-2</v>
      </c>
      <c r="O3" s="6">
        <v>-1.0549943883277124E-2</v>
      </c>
      <c r="P3" s="6">
        <v>-1.1808065266398771E-3</v>
      </c>
      <c r="Q3" s="6">
        <v>-0.26039594581794046</v>
      </c>
      <c r="R3" s="6">
        <v>-4.1040947672792427E-3</v>
      </c>
      <c r="S3" s="6">
        <v>-3.4724879892829796E-2</v>
      </c>
      <c r="T3" s="6">
        <v>-4.5521569530452277E-3</v>
      </c>
      <c r="U3" s="6">
        <v>-5.0738866450620757E-2</v>
      </c>
      <c r="V3" s="6">
        <v>-1.9524193668122303E-3</v>
      </c>
      <c r="W3" s="6">
        <v>0.23679456046624581</v>
      </c>
      <c r="X3" s="6">
        <v>-4.5333783296443997E-3</v>
      </c>
      <c r="Y3" s="6">
        <v>0.26488095238095255</v>
      </c>
      <c r="Z3" s="6">
        <v>-3.9981364087953164E-3</v>
      </c>
      <c r="AA3" s="6">
        <v>6.4782303370786387E-2</v>
      </c>
      <c r="AB3" s="6">
        <v>-6.5778956654567455E-3</v>
      </c>
      <c r="AC3" s="6">
        <v>-0.52723464547526655</v>
      </c>
      <c r="AD3" s="6">
        <v>-1.0052211027125724E-2</v>
      </c>
      <c r="AE3" s="6">
        <v>-2.9702970297029618E-2</v>
      </c>
      <c r="AF3" s="6">
        <v>-1.2706969580284833E-2</v>
      </c>
      <c r="AG3" s="6">
        <v>-4.6623781676413234E-2</v>
      </c>
      <c r="AH3" s="6">
        <v>-3.4261111501590058E-3</v>
      </c>
      <c r="AI3" s="6">
        <v>-8.4476628787052643E-2</v>
      </c>
      <c r="AJ3" s="6">
        <v>-4.3410639569696485E-5</v>
      </c>
      <c r="AK3" s="6">
        <v>-0.46716697936210128</v>
      </c>
      <c r="AL3" s="6">
        <v>-1.3090265079007679E-5</v>
      </c>
      <c r="AM3" s="6">
        <v>0.1327793102049406</v>
      </c>
      <c r="AN3" s="6">
        <v>-4.5079067262476791E-5</v>
      </c>
      <c r="AO3" s="6">
        <v>-0.83210832071467267</v>
      </c>
      <c r="AP3" s="6">
        <v>6.3097514340344052E-2</v>
      </c>
      <c r="AQ3" s="6">
        <v>-0.86737588928958587</v>
      </c>
      <c r="AR3" s="6">
        <v>-8.4680523479599978E-3</v>
      </c>
      <c r="AS3" s="6">
        <v>2.2599044242330724E-2</v>
      </c>
      <c r="AT3" s="6">
        <v>-5.0449070629232651E-5</v>
      </c>
      <c r="AU3" s="6">
        <v>0.41083421703782252</v>
      </c>
      <c r="AV3" s="6">
        <v>-2.3305280057783762E-5</v>
      </c>
      <c r="AW3" s="6">
        <v>0.21657533688877595</v>
      </c>
      <c r="AX3" s="6">
        <v>9.6816582567882392E-5</v>
      </c>
      <c r="AY3" s="6">
        <v>1.043034442241316</v>
      </c>
      <c r="AZ3" s="6">
        <v>-4.1987499876938728E-5</v>
      </c>
      <c r="BA3" s="6">
        <v>-0.3806042754496366</v>
      </c>
      <c r="BB3" s="6">
        <v>-1.6749344852181602E-3</v>
      </c>
      <c r="BC3" s="6">
        <v>-0.21198843901538655</v>
      </c>
      <c r="BD3" s="6">
        <v>4.1723953152494886E-6</v>
      </c>
      <c r="BE3" s="6">
        <v>-0.23609415617056118</v>
      </c>
      <c r="BF3" s="6">
        <v>-1.2413259701661961E-2</v>
      </c>
      <c r="BG3" s="6">
        <v>1.1177038994079949</v>
      </c>
      <c r="BH3" s="6">
        <v>-2.3799423229564631E-4</v>
      </c>
      <c r="BI3" s="6">
        <v>0.18219705116256812</v>
      </c>
      <c r="BJ3" s="6">
        <v>-7.3911083186994908E-5</v>
      </c>
      <c r="BK3" s="6">
        <v>1.0169142283779187</v>
      </c>
      <c r="BL3" s="6">
        <v>-4.6503467377557728E-3</v>
      </c>
      <c r="BM3" s="6">
        <v>8.7521174477696251E-2</v>
      </c>
      <c r="BN3" s="6">
        <v>-4.2662042449751469E-3</v>
      </c>
      <c r="BO3" s="6">
        <v>-8.4943214326006489E-3</v>
      </c>
      <c r="BP3" s="6">
        <v>-7.2841148017567914E-2</v>
      </c>
    </row>
    <row r="4" spans="1:68">
      <c r="A4" s="6">
        <v>-6.1724744605426651E-2</v>
      </c>
      <c r="B4" s="6">
        <v>-1.1058297194278532E-3</v>
      </c>
      <c r="C4" s="6">
        <v>-0.79631271300208062</v>
      </c>
      <c r="D4" s="6">
        <v>-4.9915616948232877E-3</v>
      </c>
      <c r="E4" s="6">
        <v>-0.18453541260558826</v>
      </c>
      <c r="F4" s="6">
        <v>1.175088131609936E-3</v>
      </c>
      <c r="G4" s="6">
        <v>0.12607850250308328</v>
      </c>
      <c r="H4" s="6">
        <v>-5.1353671663465494E-3</v>
      </c>
      <c r="I4" s="6">
        <v>0.55850383631713552</v>
      </c>
      <c r="J4" s="6">
        <v>-1.0029378988957616E-2</v>
      </c>
      <c r="K4" s="6">
        <v>-0.23724876900684388</v>
      </c>
      <c r="L4" s="6">
        <v>-1.006859020922124E-2</v>
      </c>
      <c r="M4" s="6">
        <v>9.4224924012157985E-2</v>
      </c>
      <c r="N4" s="6">
        <v>1.1932742722834844E-2</v>
      </c>
      <c r="O4" s="6">
        <v>0.32631874298540975</v>
      </c>
      <c r="P4" s="6">
        <v>1.1805530712267753E-3</v>
      </c>
      <c r="Q4" s="6">
        <v>-0.20865517924341448</v>
      </c>
      <c r="R4" s="6">
        <v>-2.9495086095340239E-3</v>
      </c>
      <c r="S4" s="6">
        <v>-6.464615405297558E-2</v>
      </c>
      <c r="T4" s="6">
        <v>-4.5954973400414989E-3</v>
      </c>
      <c r="U4" s="6">
        <v>6.8029609777460198E-3</v>
      </c>
      <c r="V4" s="6">
        <v>-1.9080450189967735E-3</v>
      </c>
      <c r="W4" s="6">
        <v>0.3250126399422173</v>
      </c>
      <c r="X4" s="6">
        <v>-7.6694483421850812E-3</v>
      </c>
      <c r="Y4" s="6">
        <v>7.359924026590714E-2</v>
      </c>
      <c r="Z4" s="6">
        <v>-4.5861352387507326E-3</v>
      </c>
      <c r="AA4" s="6">
        <v>-1.8677951262221271E-2</v>
      </c>
      <c r="AB4" s="6">
        <v>-8.0117481954322667E-3</v>
      </c>
      <c r="AC4" s="6">
        <v>-0.24219578035878175</v>
      </c>
      <c r="AD4" s="6">
        <v>-1.1621378004548544E-2</v>
      </c>
      <c r="AE4" s="6">
        <v>8.2920792079208105E-2</v>
      </c>
      <c r="AF4" s="6">
        <v>-1.241948220613831E-2</v>
      </c>
      <c r="AG4" s="6">
        <v>0.28909853249475903</v>
      </c>
      <c r="AH4" s="6">
        <v>-3.5655216634058462E-3</v>
      </c>
      <c r="AI4" s="6">
        <v>-3.0329377034595706E-2</v>
      </c>
      <c r="AJ4" s="6">
        <v>-3.9731222728045523E-5</v>
      </c>
      <c r="AK4" s="6">
        <v>-0.31707317073170715</v>
      </c>
      <c r="AL4" s="6">
        <v>-1.433695724051276E-5</v>
      </c>
      <c r="AM4" s="6">
        <v>0.10706562184746171</v>
      </c>
      <c r="AN4" s="6">
        <v>-4.3209965737478484E-5</v>
      </c>
      <c r="AO4" s="6">
        <v>-0.75440729995260214</v>
      </c>
      <c r="AP4" s="6">
        <v>6.3097514340344052E-2</v>
      </c>
      <c r="AQ4" s="6">
        <v>-0.7471124672779268</v>
      </c>
      <c r="AR4" s="6">
        <v>-7.6206604572396364E-3</v>
      </c>
      <c r="AS4" s="6">
        <v>2.2599044242330724E-2</v>
      </c>
      <c r="AT4" s="6">
        <v>-5.0449070629232651E-5</v>
      </c>
      <c r="AU4" s="6">
        <v>0.26394817073170729</v>
      </c>
      <c r="AV4" s="6">
        <v>-1.9110328529747811E-5</v>
      </c>
      <c r="AW4" s="6">
        <v>0.34550022748887455</v>
      </c>
      <c r="AX4" s="6">
        <v>2.9009925717415896E-4</v>
      </c>
      <c r="AY4" s="6">
        <v>1.154256532782298</v>
      </c>
      <c r="AZ4" s="6">
        <v>-2.8811500899283971E-5</v>
      </c>
      <c r="BA4" s="6">
        <v>-0.38879814343731889</v>
      </c>
      <c r="BB4" s="6">
        <v>9.6946583233825656E-4</v>
      </c>
      <c r="BC4" s="6">
        <v>0.65104659066936499</v>
      </c>
      <c r="BD4" s="6">
        <v>6.2585932814052114E-7</v>
      </c>
      <c r="BE4" s="6">
        <v>0.83921220235488403</v>
      </c>
      <c r="BF4" s="6">
        <v>-1.2523399070204833E-2</v>
      </c>
      <c r="BG4" s="6">
        <v>0.85515647064182598</v>
      </c>
      <c r="BH4" s="6">
        <v>9.0022476701512311E-4</v>
      </c>
      <c r="BI4" s="6">
        <v>6.1892641940479276E-2</v>
      </c>
      <c r="BJ4" s="6">
        <v>-3.69556939169291E-4</v>
      </c>
      <c r="BK4" s="6">
        <v>-3.5527724603354738E-3</v>
      </c>
      <c r="BL4" s="6">
        <v>-2.2378049046647419E-3</v>
      </c>
      <c r="BM4" s="6">
        <v>-7.027126038666065E-3</v>
      </c>
      <c r="BN4" s="6">
        <v>-3.1333208629109599E-3</v>
      </c>
      <c r="BO4" s="6">
        <v>-2.3176519420805675E-2</v>
      </c>
      <c r="BP4" s="6">
        <v>-8.8424666733366686E-2</v>
      </c>
    </row>
    <row r="5" spans="1:68">
      <c r="A5" s="6">
        <v>-6.6817895472459865E-2</v>
      </c>
      <c r="B5" s="6">
        <v>-3.6942065066626339E-3</v>
      </c>
      <c r="C5" s="6">
        <v>-0.71420253388581645</v>
      </c>
      <c r="D5" s="6">
        <v>-5.0134081955186538E-3</v>
      </c>
      <c r="E5" s="6">
        <v>-1.3505987190197688E-2</v>
      </c>
      <c r="F5" s="6">
        <v>-2.3509296858303941E-3</v>
      </c>
      <c r="G5" s="6">
        <v>5.9831729151241797E-2</v>
      </c>
      <c r="H5" s="6">
        <v>-5.0965906658896332E-3</v>
      </c>
      <c r="I5" s="6">
        <v>0.47934173669467817</v>
      </c>
      <c r="J5" s="6">
        <v>-7.8309034188577265E-3</v>
      </c>
      <c r="K5" s="6">
        <v>-0.45903868513883683</v>
      </c>
      <c r="L5" s="6">
        <v>-9.1849210824179739E-3</v>
      </c>
      <c r="M5" s="6">
        <v>-4.6808510638297829E-2</v>
      </c>
      <c r="N5" s="6">
        <v>1.3794895549705588E-2</v>
      </c>
      <c r="O5" s="6">
        <v>0.10011223344556686</v>
      </c>
      <c r="P5" s="6">
        <v>3.2459113141916074E-3</v>
      </c>
      <c r="Q5" s="6">
        <v>4.7058823529411153E-3</v>
      </c>
      <c r="R5" s="6">
        <v>-3.9757954505709181E-3</v>
      </c>
      <c r="S5" s="6">
        <v>-5.242780197973762E-2</v>
      </c>
      <c r="T5" s="6">
        <v>-4.4763114018395722E-3</v>
      </c>
      <c r="U5" s="6">
        <v>7.4932484652931564E-2</v>
      </c>
      <c r="V5" s="6">
        <v>-2.9197937939290375E-3</v>
      </c>
      <c r="W5" s="6">
        <v>0.23434533124673962</v>
      </c>
      <c r="X5" s="6">
        <v>-4.7423934067517548E-3</v>
      </c>
      <c r="Y5" s="6">
        <v>0.12078059071729963</v>
      </c>
      <c r="Z5" s="6">
        <v>-4.9389391639185209E-3</v>
      </c>
      <c r="AA5" s="6">
        <v>5.5365575639145792E-3</v>
      </c>
      <c r="AB5" s="6">
        <v>-9.2503760556206238E-3</v>
      </c>
      <c r="AC5" s="6">
        <v>-0.27026260330845653</v>
      </c>
      <c r="AD5" s="6">
        <v>-1.1366913796894584E-2</v>
      </c>
      <c r="AE5" s="6">
        <v>-0.23626978082423622</v>
      </c>
      <c r="AF5" s="6">
        <v>-1.241948220613831E-2</v>
      </c>
      <c r="AG5" s="6">
        <v>0.20249512670565317</v>
      </c>
      <c r="AH5" s="6">
        <v>-3.6942087719918915E-3</v>
      </c>
      <c r="AI5" s="6">
        <v>-0.1279447637160458</v>
      </c>
      <c r="AJ5" s="6">
        <v>-2.433577214189242E-5</v>
      </c>
      <c r="AK5" s="6">
        <v>-0.18157181571815717</v>
      </c>
      <c r="AL5" s="6">
        <v>-2.0570418697962722E-5</v>
      </c>
      <c r="AM5" s="6">
        <v>0.44238473156881075</v>
      </c>
      <c r="AN5" s="6">
        <v>-4.2742690371633252E-5</v>
      </c>
      <c r="AO5" s="6">
        <v>-0.78723404698864041</v>
      </c>
      <c r="AP5" s="6">
        <v>0.10060975609756118</v>
      </c>
      <c r="AQ5" s="6">
        <v>-0.75683891084416044</v>
      </c>
      <c r="AR5" s="6">
        <v>-6.7733990147784695E-3</v>
      </c>
      <c r="AS5" s="6">
        <v>8.0852614319548266E-2</v>
      </c>
      <c r="AT5" s="6">
        <v>-5.0663849227028379E-5</v>
      </c>
      <c r="AU5" s="6">
        <v>0.27354336043360417</v>
      </c>
      <c r="AV5" s="6">
        <v>-9.7882157794604296E-6</v>
      </c>
      <c r="AW5" s="6">
        <v>0.9245381012114029</v>
      </c>
      <c r="AX5" s="6">
        <v>9.3396351732000227E-5</v>
      </c>
      <c r="AY5" s="6">
        <v>1.0785778389400167</v>
      </c>
      <c r="AZ5" s="6">
        <v>-2.6615501540150355E-5</v>
      </c>
      <c r="BA5" s="6">
        <v>-0.42764314723077634</v>
      </c>
      <c r="BB5" s="6">
        <v>-2.9094231647790458E-3</v>
      </c>
      <c r="BC5" s="6">
        <v>-0.20254547539465795</v>
      </c>
      <c r="BD5" s="6">
        <v>-1.4603384750344617E-6</v>
      </c>
      <c r="BE5" s="6">
        <v>1.019547865984801</v>
      </c>
      <c r="BF5" s="6">
        <v>-1.2229698983053261E-2</v>
      </c>
      <c r="BG5" s="6">
        <v>0.83792539472856542</v>
      </c>
      <c r="BH5" s="6">
        <v>2.0695022256989049E-4</v>
      </c>
      <c r="BI5" s="6">
        <v>0.21295735564170548</v>
      </c>
      <c r="BJ5" s="6">
        <v>-7.3911083186994908E-5</v>
      </c>
      <c r="BK5" s="6">
        <v>2.0995142533879019E-2</v>
      </c>
      <c r="BL5" s="6">
        <v>-2.0473479872632483E-3</v>
      </c>
      <c r="BM5" s="6">
        <v>1.4484422060311974E-2</v>
      </c>
      <c r="BN5" s="6">
        <v>-2.5066347904553199E-3</v>
      </c>
      <c r="BO5" s="6">
        <v>-1.700582906496062E-2</v>
      </c>
      <c r="BP5" s="6">
        <v>-0.1117824123450325</v>
      </c>
    </row>
    <row r="6" spans="1:68">
      <c r="A6" s="6">
        <v>-0.22944954707203347</v>
      </c>
      <c r="B6" s="6">
        <v>-2.7900936473945759E-4</v>
      </c>
      <c r="C6" s="6">
        <v>-0.43555548698791102</v>
      </c>
      <c r="D6" s="6">
        <v>-3.4047071262081063E-3</v>
      </c>
      <c r="G6" s="6">
        <v>9.4042597765363167E-2</v>
      </c>
      <c r="H6" s="6">
        <v>-5.0965906658896332E-3</v>
      </c>
      <c r="I6" s="6">
        <v>0.37867647058823506</v>
      </c>
      <c r="J6" s="6">
        <v>-6.8753183017733477E-3</v>
      </c>
      <c r="M6" s="6">
        <v>0.31063829787234032</v>
      </c>
      <c r="N6" s="6">
        <v>8.5792763566900909E-3</v>
      </c>
      <c r="O6" s="6">
        <v>-0.14176856282119432</v>
      </c>
      <c r="P6" s="6">
        <v>5.0156011121937905E-3</v>
      </c>
      <c r="Q6" s="6">
        <v>-0.57543780871127082</v>
      </c>
      <c r="R6" s="6">
        <v>-4.3607023762330943E-3</v>
      </c>
      <c r="S6" s="6">
        <v>-3.3026241823712499E-2</v>
      </c>
      <c r="T6" s="6">
        <v>-4.1946007589129808E-3</v>
      </c>
      <c r="U6" s="6">
        <v>6.9985457836361009E-2</v>
      </c>
      <c r="V6" s="6">
        <v>-1.3223087733214012E-3</v>
      </c>
      <c r="W6" s="6">
        <v>0.28105720744218377</v>
      </c>
      <c r="X6" s="6">
        <v>-2.8615469069429578E-3</v>
      </c>
      <c r="Y6" s="6">
        <v>9.700854700854733E-2</v>
      </c>
      <c r="Z6" s="6">
        <v>-4.8213374699250799E-3</v>
      </c>
      <c r="AA6" s="6">
        <v>4.193885550039167E-2</v>
      </c>
      <c r="AB6" s="6">
        <v>-5.7959517142159855E-3</v>
      </c>
      <c r="AC6" s="6">
        <v>-0.28475738721534327</v>
      </c>
      <c r="AD6" s="6">
        <v>-1.0508110521821323E-2</v>
      </c>
      <c r="AE6" s="6">
        <v>-0.19038778877887785</v>
      </c>
      <c r="AF6" s="6">
        <v>-1.198827928709878E-2</v>
      </c>
      <c r="AG6" s="6">
        <v>5.1870833972154973E-2</v>
      </c>
      <c r="AH6" s="6">
        <v>-3.2330821033457191E-3</v>
      </c>
      <c r="AI6" s="6">
        <v>1.7581022786721245E-3</v>
      </c>
      <c r="AJ6" s="6">
        <v>4.8090564666036784E-6</v>
      </c>
      <c r="AK6" s="6">
        <v>-0.43902439024390227</v>
      </c>
      <c r="AL6" s="6">
        <v>-1.5583649445538583E-5</v>
      </c>
      <c r="AM6" s="6">
        <v>-4.370889655807364E-2</v>
      </c>
      <c r="AN6" s="6">
        <v>-4.2392233850940819E-5</v>
      </c>
      <c r="AO6" s="6">
        <v>-0.79042553628381085</v>
      </c>
      <c r="AP6" s="6">
        <v>0.10683679299181104</v>
      </c>
      <c r="AQ6" s="6">
        <v>-0.75075988361526447</v>
      </c>
      <c r="AR6" s="6">
        <v>-5.9262679904565907E-3</v>
      </c>
      <c r="AS6" s="6">
        <v>8.0852614319548266E-2</v>
      </c>
      <c r="AT6" s="6">
        <v>-5.0663849227028379E-5</v>
      </c>
      <c r="AU6" s="6">
        <v>0.18268926195755442</v>
      </c>
      <c r="AV6" s="6">
        <v>-1.8022748584201054E-5</v>
      </c>
      <c r="AW6" s="6">
        <v>0.49099462997194676</v>
      </c>
      <c r="AX6" s="6">
        <v>1.2548553469837742E-4</v>
      </c>
      <c r="AY6" s="6">
        <v>4.4149866750858413E-2</v>
      </c>
      <c r="AZ6" s="6">
        <v>-1.1682709464944097E-5</v>
      </c>
      <c r="BA6" s="6">
        <v>-0.59637613245860677</v>
      </c>
      <c r="BB6" s="6">
        <v>9.6869746217274066E-3</v>
      </c>
      <c r="BC6" s="6">
        <v>-0.26009303474066958</v>
      </c>
      <c r="BD6" s="6">
        <v>-1.1891329311564114E-5</v>
      </c>
      <c r="BE6" s="6">
        <v>-0.21620158267388589</v>
      </c>
      <c r="BF6" s="6">
        <v>-1.2449972579723356E-2</v>
      </c>
      <c r="BG6" s="6">
        <v>0.80402105600256202</v>
      </c>
      <c r="BH6" s="6">
        <v>-2.4834184343913712E-4</v>
      </c>
      <c r="BI6" s="6">
        <v>0.53979121366701643</v>
      </c>
      <c r="BJ6" s="6">
        <v>3.9418987111883297E-4</v>
      </c>
      <c r="BK6" s="6">
        <v>-1.5534910340646024E-2</v>
      </c>
      <c r="BL6" s="6">
        <v>-2.2695478225632781E-3</v>
      </c>
      <c r="BM6" s="6">
        <v>-1.4590320084138853E-2</v>
      </c>
      <c r="BN6" s="6">
        <v>-1.4621823367174658E-3</v>
      </c>
      <c r="BO6" s="6">
        <v>-1.2551421912751271E-2</v>
      </c>
      <c r="BP6" s="6">
        <v>0.67546378694759768</v>
      </c>
    </row>
    <row r="7" spans="1:68">
      <c r="A7" s="6">
        <v>-0.26144020133906698</v>
      </c>
      <c r="B7" s="6">
        <v>-1.116213047037018E-3</v>
      </c>
      <c r="C7" s="6">
        <v>-0.51068800821089533</v>
      </c>
      <c r="D7" s="6">
        <v>-1.8362348183508237E-3</v>
      </c>
      <c r="G7" s="6">
        <v>0.13389380050984445</v>
      </c>
      <c r="H7" s="6">
        <v>-5.1224416615364143E-3</v>
      </c>
      <c r="I7" s="6">
        <v>0.98961937716262938</v>
      </c>
      <c r="J7" s="6">
        <v>-7.7353374407116426E-3</v>
      </c>
      <c r="M7" s="6">
        <v>-0.20400500625782225</v>
      </c>
      <c r="N7" s="6">
        <v>6.7153548737195479E-3</v>
      </c>
      <c r="O7" s="6">
        <v>-1.8144407033295895E-2</v>
      </c>
      <c r="P7" s="6">
        <v>2.0658015936183549E-3</v>
      </c>
      <c r="Q7" s="6">
        <v>-0.26992615227909345</v>
      </c>
      <c r="R7" s="6">
        <v>-3.9116469141126098E-3</v>
      </c>
      <c r="S7" s="6">
        <v>-4.0815397592234404E-2</v>
      </c>
      <c r="T7" s="6">
        <v>-3.8803876525376202E-3</v>
      </c>
      <c r="U7" s="6">
        <v>5.3847325465196993E-2</v>
      </c>
      <c r="V7" s="6">
        <v>-8.2532794545442378E-4</v>
      </c>
      <c r="W7" s="6">
        <v>3.0449362843729011E-2</v>
      </c>
      <c r="X7" s="6">
        <v>-1.6080106358573598E-3</v>
      </c>
      <c r="Y7" s="6">
        <v>0.12376933895921249</v>
      </c>
      <c r="Z7" s="6">
        <v>-5.0565412435185086E-3</v>
      </c>
      <c r="AA7" s="6">
        <v>6.6589557171182756E-2</v>
      </c>
      <c r="AB7" s="6">
        <v>-5.6656385239737261E-3</v>
      </c>
      <c r="AC7" s="6">
        <v>-0.29375414964030755</v>
      </c>
      <c r="AD7" s="6">
        <v>-1.033847281862077E-2</v>
      </c>
      <c r="AE7" s="6">
        <v>-0.1819896275341818</v>
      </c>
      <c r="AF7" s="6">
        <v>-1.2563224016968411E-2</v>
      </c>
      <c r="AG7" s="6">
        <v>0.10564469102480833</v>
      </c>
      <c r="AH7" s="6">
        <v>-1.2385094507941785E-3</v>
      </c>
      <c r="AK7" s="6">
        <v>-0.4859287054409005</v>
      </c>
      <c r="AL7" s="6">
        <v>-1.8700380146952078E-5</v>
      </c>
      <c r="AM7" s="6">
        <v>5.3482723575109636E-2</v>
      </c>
      <c r="AN7" s="6">
        <v>-4.1691320820103073E-5</v>
      </c>
      <c r="AO7" s="6">
        <v>-0.74468085638636849</v>
      </c>
      <c r="AP7" s="6">
        <v>0.11926954536808054</v>
      </c>
      <c r="AQ7" s="6">
        <v>-0.73617021826591411</v>
      </c>
      <c r="AR7" s="6">
        <v>-4.2323970757985885E-3</v>
      </c>
      <c r="AS7" s="6">
        <v>0.16112224448897816</v>
      </c>
      <c r="AT7" s="6">
        <v>-5.0520663494979523E-5</v>
      </c>
      <c r="AU7" s="6">
        <v>-9.1375553524997155E-4</v>
      </c>
      <c r="AV7" s="6">
        <v>-2.0819382796744001E-5</v>
      </c>
      <c r="AW7" s="6">
        <v>0.33010725596803003</v>
      </c>
      <c r="AX7" s="6">
        <v>5.908539040588856E-5</v>
      </c>
      <c r="AY7" s="6">
        <v>6.2050667462904885E-2</v>
      </c>
      <c r="AZ7" s="6">
        <v>1.4932783791721249E-6</v>
      </c>
      <c r="BA7" s="6">
        <v>-0.49965635738831626</v>
      </c>
      <c r="BB7" s="6">
        <v>9.1590341382179474E-3</v>
      </c>
      <c r="BE7" s="6">
        <v>-0.29400510204081642</v>
      </c>
      <c r="BF7" s="6">
        <v>-1.2284766556098337E-2</v>
      </c>
      <c r="BG7" s="6">
        <v>0.72313815642745638</v>
      </c>
      <c r="BH7" s="6">
        <v>-1.7384290179256467E-3</v>
      </c>
      <c r="BI7" s="6">
        <v>-7.6005664027442466E-2</v>
      </c>
      <c r="BJ7" s="6">
        <v>-7.8839274049158359E-4</v>
      </c>
      <c r="BK7" s="6">
        <v>2.4938698017856309E-2</v>
      </c>
      <c r="BL7" s="6">
        <v>-1.3490146098492639E-3</v>
      </c>
      <c r="BO7" s="6">
        <v>-3.3707638438934429E-2</v>
      </c>
      <c r="BP7" s="6">
        <v>-6.8756625776162261E-2</v>
      </c>
    </row>
    <row r="8" spans="1:68">
      <c r="A8" s="6">
        <v>-0.43372145202679124</v>
      </c>
      <c r="B8" s="6">
        <v>2.871865228481596E-3</v>
      </c>
      <c r="C8" s="6">
        <v>-0.52815386599271774</v>
      </c>
      <c r="D8" s="6">
        <v>-7.2311404543889957E-4</v>
      </c>
      <c r="G8" s="6">
        <v>8.4274777570866988E-2</v>
      </c>
      <c r="H8" s="6">
        <v>-5.1353671663465494E-3</v>
      </c>
      <c r="I8" s="6">
        <v>0.78752535496957399</v>
      </c>
      <c r="J8" s="6">
        <v>-7.9264710563710095E-3</v>
      </c>
      <c r="M8" s="6">
        <v>-0.19432624113475194</v>
      </c>
      <c r="N8" s="6">
        <v>2.9856147652220777E-3</v>
      </c>
      <c r="O8" s="6">
        <v>6.7564534231201012E-2</v>
      </c>
      <c r="P8" s="6">
        <v>6.1950779077977192E-3</v>
      </c>
      <c r="Q8" s="6">
        <v>-0.52655228758169947</v>
      </c>
      <c r="R8" s="6">
        <v>-1.4104372355431272E-3</v>
      </c>
      <c r="S8" s="6">
        <v>8.5115774754172868E-2</v>
      </c>
      <c r="T8" s="6">
        <v>-3.3819863031762099E-3</v>
      </c>
      <c r="U8" s="6">
        <v>-9.0481224675604821E-3</v>
      </c>
      <c r="V8" s="6">
        <v>-1.0116949488563343E-3</v>
      </c>
      <c r="W8" s="6">
        <v>-3.1373618052400354E-2</v>
      </c>
      <c r="X8" s="6">
        <v>-1.6080106358573598E-3</v>
      </c>
      <c r="Y8" s="6">
        <v>0.11200716845878156</v>
      </c>
      <c r="Z8" s="6">
        <v>-4.7037361615367423E-3</v>
      </c>
      <c r="AA8" s="6">
        <v>0.11763704460333657</v>
      </c>
      <c r="AB8" s="6">
        <v>3.9689816101882158E-3</v>
      </c>
      <c r="AC8" s="6">
        <v>-0.31766127675833056</v>
      </c>
      <c r="AD8" s="6">
        <v>-9.9673931605154253E-3</v>
      </c>
      <c r="AE8" s="6">
        <v>-0.26305130513051322</v>
      </c>
      <c r="AF8" s="6">
        <v>-1.1557110135148263E-2</v>
      </c>
      <c r="AG8" s="6">
        <v>-4.0549098954604235E-3</v>
      </c>
      <c r="AH8" s="6">
        <v>3.27045140934068E-4</v>
      </c>
      <c r="AK8" s="6">
        <v>-0.53846153846153832</v>
      </c>
      <c r="AL8" s="6">
        <v>-9.9735348648710698E-6</v>
      </c>
      <c r="AM8" s="6">
        <v>-0.12841809217941369</v>
      </c>
      <c r="AN8" s="6">
        <v>-4.0523132465941636E-5</v>
      </c>
      <c r="AO8" s="6">
        <v>0.14042550814088739</v>
      </c>
      <c r="AP8" s="6">
        <v>3.1639501438158968E-2</v>
      </c>
      <c r="AQ8" s="6">
        <v>-0.77264438163929006</v>
      </c>
      <c r="AR8" s="6">
        <v>-3.3856571252693923E-3</v>
      </c>
      <c r="AS8" s="6">
        <v>0.16112224448897816</v>
      </c>
      <c r="AT8" s="6">
        <v>-5.0520663494979523E-5</v>
      </c>
      <c r="AU8" s="6">
        <v>0.18773851003816144</v>
      </c>
      <c r="AV8" s="6">
        <v>-1.8488854270914956E-5</v>
      </c>
      <c r="AW8" s="6">
        <v>0.12838259386193718</v>
      </c>
      <c r="AX8" s="6">
        <v>1.5122411674628466E-4</v>
      </c>
      <c r="AY8" s="6">
        <v>0.57050999166179794</v>
      </c>
      <c r="AZ8" s="6">
        <v>-3.8675235916052486E-5</v>
      </c>
      <c r="BA8" s="6">
        <v>-0.38999846130173899</v>
      </c>
      <c r="BB8" s="6">
        <v>8.5430394645185093E-3</v>
      </c>
      <c r="BE8" s="6">
        <v>5.2307354501872183E-2</v>
      </c>
      <c r="BF8" s="6">
        <v>-1.2009434198134827E-2</v>
      </c>
      <c r="BG8" s="6">
        <v>0.7474348998389464</v>
      </c>
      <c r="BH8" s="6">
        <v>-2.2972276699011474E-3</v>
      </c>
      <c r="BI8" s="6">
        <v>-6.1588746275786588E-2</v>
      </c>
      <c r="BJ8" s="6">
        <v>-2.2666758431212353E-3</v>
      </c>
      <c r="BK8" s="6">
        <v>-3.1619464999463665E-2</v>
      </c>
      <c r="BL8" s="6">
        <v>-1.7457550283861423E-4</v>
      </c>
      <c r="BO8" s="6">
        <v>3.7864343378980037E-2</v>
      </c>
      <c r="BP8" s="6">
        <v>-0.26945067884692742</v>
      </c>
    </row>
    <row r="9" spans="1:68">
      <c r="A9" s="6">
        <v>-0.33737402601424071</v>
      </c>
      <c r="B9" s="6">
        <v>6.745481404349718E-3</v>
      </c>
      <c r="C9" s="6">
        <v>-0.39228313914369295</v>
      </c>
      <c r="D9" s="6">
        <v>-3.4745697204163761E-4</v>
      </c>
      <c r="G9" s="6">
        <v>2.2867136264269616E-2</v>
      </c>
      <c r="H9" s="6">
        <v>-4.9414850832900648E-3</v>
      </c>
      <c r="I9" s="6">
        <v>1.1008403361344539</v>
      </c>
      <c r="J9" s="6">
        <v>-8.1176113096702585E-3</v>
      </c>
      <c r="M9" s="6">
        <v>-0.13677811550151986</v>
      </c>
      <c r="N9" s="6">
        <v>1.8661991743484929E-3</v>
      </c>
      <c r="O9" s="6">
        <v>-0.38973063973063959</v>
      </c>
      <c r="P9" s="6">
        <v>9.4373346679057502E-3</v>
      </c>
      <c r="Q9" s="6">
        <v>-0.52246962815257925</v>
      </c>
      <c r="R9" s="6">
        <v>-2.1799190981894867E-3</v>
      </c>
      <c r="S9" s="6">
        <v>6.6553711592815867E-2</v>
      </c>
      <c r="T9" s="6">
        <v>-3.5228381562499855E-3</v>
      </c>
      <c r="U9" s="6">
        <v>4.7365904424380822E-2</v>
      </c>
      <c r="V9" s="6">
        <v>-1.2246869957526219E-3</v>
      </c>
      <c r="W9" s="6">
        <v>0.28450704225352119</v>
      </c>
      <c r="X9" s="6">
        <v>4.8057431037684673E-4</v>
      </c>
      <c r="Y9" s="6">
        <v>0.13333333333333353</v>
      </c>
      <c r="Z9" s="6">
        <v>5.9963690070026221E-3</v>
      </c>
      <c r="AC9" s="6">
        <v>-0.25470002184103091</v>
      </c>
      <c r="AD9" s="6">
        <v>-1.0529315291548325E-2</v>
      </c>
      <c r="AE9" s="6">
        <v>-0.18794511030050376</v>
      </c>
      <c r="AF9" s="6">
        <v>-1.198827928709878E-2</v>
      </c>
      <c r="AG9" s="6">
        <v>-3.1687674254249676E-2</v>
      </c>
      <c r="AH9" s="6">
        <v>-9.1144259196318522E-5</v>
      </c>
      <c r="AK9" s="6">
        <v>-0.14634146341463405</v>
      </c>
      <c r="AL9" s="6">
        <v>-2.1817111119593058E-5</v>
      </c>
      <c r="AM9" s="6">
        <v>5.7571558781210452E-2</v>
      </c>
      <c r="AN9" s="6">
        <v>-4.0639951299659138E-5</v>
      </c>
      <c r="AO9" s="6">
        <v>0.11489359377952413</v>
      </c>
      <c r="AP9" s="6">
        <v>3.7945573016481493E-2</v>
      </c>
      <c r="AQ9" s="6">
        <v>-0.72936170776955067</v>
      </c>
      <c r="AR9" s="6">
        <v>-2.5390474724934498E-3</v>
      </c>
      <c r="AS9" s="6">
        <v>-2.1012459702012376E-2</v>
      </c>
      <c r="AT9" s="6">
        <v>-5.0305884897627884E-5</v>
      </c>
      <c r="AU9" s="6">
        <v>0.30954852101712493</v>
      </c>
      <c r="AV9" s="6">
        <v>-2.3771385813331491E-5</v>
      </c>
      <c r="AW9" s="6">
        <v>0.45045801171305921</v>
      </c>
      <c r="AX9" s="6">
        <v>2.3216513785007109E-5</v>
      </c>
      <c r="AY9" s="6">
        <v>0.9605905039205167</v>
      </c>
      <c r="AZ9" s="6">
        <v>-2.4844352055852781E-5</v>
      </c>
      <c r="BA9" s="6">
        <v>-0.56333090353708926</v>
      </c>
      <c r="BB9" s="6">
        <v>1.0126886282671999E-2</v>
      </c>
      <c r="BE9" s="6">
        <v>-2.8281594997518256E-2</v>
      </c>
      <c r="BF9" s="6">
        <v>-1.1972724257309331E-2</v>
      </c>
      <c r="BG9" s="6">
        <v>-8.3417514958427086E-2</v>
      </c>
      <c r="BH9" s="6">
        <v>-1.6452967557250009E-3</v>
      </c>
      <c r="BI9" s="6">
        <v>-7.1740065895531391E-3</v>
      </c>
      <c r="BJ9" s="6">
        <v>-2.4637848606822166E-3</v>
      </c>
      <c r="BK9" s="6">
        <v>-6.8382289845034805E-3</v>
      </c>
      <c r="BL9" s="6">
        <v>-1.4283443911511373E-4</v>
      </c>
      <c r="BO9" s="6">
        <v>2.6990271451543535E-3</v>
      </c>
      <c r="BP9" s="6">
        <v>-0.31228917307161019</v>
      </c>
    </row>
    <row r="10" spans="1:68">
      <c r="A10" s="6">
        <v>5.0021421319218495E-2</v>
      </c>
      <c r="B10" s="6">
        <v>2.021973988179937E-4</v>
      </c>
      <c r="C10" s="6">
        <v>-0.38596405437098968</v>
      </c>
      <c r="D10" s="6">
        <v>-1.8439981736272371E-3</v>
      </c>
      <c r="G10" s="6">
        <v>9.1967329043207924E-2</v>
      </c>
      <c r="H10" s="6">
        <v>-5.1353671663465494E-3</v>
      </c>
      <c r="I10" s="6">
        <v>0.92647058823529416</v>
      </c>
      <c r="J10" s="6">
        <v>-8.4999117305728511E-3</v>
      </c>
      <c r="M10" s="6">
        <v>-0.13677811550151986</v>
      </c>
      <c r="N10" s="6">
        <v>1.4930099986427692E-3</v>
      </c>
      <c r="O10" s="6">
        <v>-8.1006139829669088E-2</v>
      </c>
      <c r="P10" s="6">
        <v>6.4899075679831775E-3</v>
      </c>
      <c r="Q10" s="6">
        <v>-0.37669152167909414</v>
      </c>
      <c r="R10" s="6">
        <v>-4.1682455475560154E-3</v>
      </c>
      <c r="S10" s="6">
        <v>-0.11299043017178956</v>
      </c>
      <c r="T10" s="6">
        <v>-3.8803876525376202E-3</v>
      </c>
      <c r="U10" s="6">
        <v>2.32747250968941E-2</v>
      </c>
      <c r="V10" s="6">
        <v>-1.8814204366612852E-3</v>
      </c>
      <c r="AC10" s="6">
        <v>-0.28830874080414493</v>
      </c>
      <c r="AD10" s="6">
        <v>-1.1833432900096419E-2</v>
      </c>
      <c r="AE10" s="6">
        <v>-0.22702796595449004</v>
      </c>
      <c r="AF10" s="6">
        <v>-1.1844552484745585E-2</v>
      </c>
      <c r="AM10" s="6">
        <v>4.169513695502447E-2</v>
      </c>
      <c r="AN10" s="6">
        <v>-4.2509052690764548E-5</v>
      </c>
      <c r="AO10" s="6">
        <v>-0.40425533156819315</v>
      </c>
      <c r="AP10" s="6">
        <v>2.5326170376055224E-2</v>
      </c>
      <c r="AQ10" s="6">
        <v>-0.78723404698864041</v>
      </c>
      <c r="AR10" s="6">
        <v>-3.3856571252693923E-3</v>
      </c>
      <c r="AS10" s="6">
        <v>-2.1012459702012376E-2</v>
      </c>
      <c r="AT10" s="6">
        <v>-5.0305884897627884E-5</v>
      </c>
      <c r="AU10" s="6">
        <v>0.50272858892972461</v>
      </c>
      <c r="AV10" s="6">
        <v>-1.942106566310553E-5</v>
      </c>
      <c r="AW10" s="6">
        <v>0.33237314347294067</v>
      </c>
      <c r="AX10" s="6">
        <v>2.3310623300520916E-6</v>
      </c>
      <c r="AY10" s="6">
        <v>-0.11667777666542145</v>
      </c>
      <c r="AZ10" s="6">
        <v>4.0980357991493577E-6</v>
      </c>
      <c r="BA10" s="6">
        <v>-0.29896907216494872</v>
      </c>
      <c r="BB10" s="6">
        <v>9.2470277410832136E-3</v>
      </c>
      <c r="BE10" s="6">
        <v>-2.7206640610080601E-2</v>
      </c>
      <c r="BF10" s="6">
        <v>-1.7218812135100237E-3</v>
      </c>
      <c r="BG10" s="6">
        <v>0.23440782207592537</v>
      </c>
      <c r="BH10" s="6">
        <v>-1.5625127256868598E-3</v>
      </c>
      <c r="BI10" s="6">
        <v>2.6863292148266105E-2</v>
      </c>
      <c r="BJ10" s="6">
        <v>-1.8231845143541481E-3</v>
      </c>
      <c r="BO10" s="6">
        <v>1.0587813361320197E-2</v>
      </c>
      <c r="BP10" s="6">
        <v>-0.25592045991196366</v>
      </c>
    </row>
    <row r="11" spans="1:68">
      <c r="G11" s="6">
        <v>6.0592377111500229E-2</v>
      </c>
      <c r="H11" s="6">
        <v>-5.1095161613837758E-3</v>
      </c>
      <c r="I11" s="6">
        <v>1.0343137254901964</v>
      </c>
      <c r="J11" s="6">
        <v>-9.0734121528732725E-3</v>
      </c>
      <c r="M11" s="6">
        <v>-0.25000000000000011</v>
      </c>
      <c r="N11" s="6">
        <v>2.239363025628327E-3</v>
      </c>
      <c r="O11" s="6">
        <v>8.9786756453424932E-3</v>
      </c>
      <c r="P11" s="6">
        <v>7.3743016759775237E-3</v>
      </c>
      <c r="Q11" s="6">
        <v>-0.10578898225957034</v>
      </c>
      <c r="R11" s="6">
        <v>3.5885724938247154E-3</v>
      </c>
      <c r="S11" s="6">
        <v>-1.9783562518068676E-3</v>
      </c>
      <c r="T11" s="6">
        <v>-2.5585557715941398E-3</v>
      </c>
      <c r="U11" s="6">
        <v>4.406296015906408E-2</v>
      </c>
      <c r="V11" s="6">
        <v>-1.6506748843552188E-3</v>
      </c>
      <c r="AC11" s="6">
        <v>-0.26474734664947452</v>
      </c>
      <c r="AD11" s="6">
        <v>-1.1801624585255133E-2</v>
      </c>
      <c r="AE11" s="6">
        <v>-0.31779763342187861</v>
      </c>
      <c r="AF11" s="6">
        <v>-7.8217246935565754E-3</v>
      </c>
      <c r="AM11" s="6">
        <v>0.54755818908306386</v>
      </c>
      <c r="AN11" s="6">
        <v>-4.0172675967009575E-5</v>
      </c>
      <c r="AO11" s="6">
        <v>-0.84042553524148034</v>
      </c>
      <c r="AP11" s="6">
        <v>0.11305671869052158</v>
      </c>
      <c r="AQ11" s="6">
        <v>-0.76879433106098927</v>
      </c>
      <c r="AR11" s="6">
        <v>8.4608876240288566E-4</v>
      </c>
      <c r="AS11" s="6">
        <v>0.4285246549436903</v>
      </c>
      <c r="AT11" s="6">
        <v>-5.0807034959965414E-5</v>
      </c>
      <c r="AU11" s="6">
        <v>0.270002700027</v>
      </c>
      <c r="AV11" s="6">
        <v>-1.8333485708232899E-5</v>
      </c>
      <c r="AW11" s="6">
        <v>0.91353337871725615</v>
      </c>
      <c r="AX11" s="6">
        <v>1.3529207296469892E-5</v>
      </c>
      <c r="AY11" s="6">
        <v>0.52507806911951938</v>
      </c>
      <c r="AZ11" s="6">
        <v>-3.5225688733153682E-5</v>
      </c>
      <c r="BA11" s="6">
        <v>-0.44138571561251994</v>
      </c>
      <c r="BB11" s="6">
        <v>8.6310429310316739E-3</v>
      </c>
      <c r="BG11" s="6">
        <v>-8.8292309255625923E-2</v>
      </c>
      <c r="BH11" s="6">
        <v>-5.0703309233868232E-4</v>
      </c>
      <c r="BI11" s="6">
        <v>8.1028484598055783E-3</v>
      </c>
      <c r="BJ11" s="6">
        <v>-1.7492698260651585E-3</v>
      </c>
      <c r="BO11" s="6">
        <v>5.3991728036824504E-2</v>
      </c>
      <c r="BP11" s="6">
        <v>1.1722587149356092</v>
      </c>
    </row>
    <row r="12" spans="1:68">
      <c r="G12" s="6">
        <v>1.6088735871118587E-2</v>
      </c>
      <c r="H12" s="6">
        <v>-5.0190377907440853E-3</v>
      </c>
      <c r="I12" s="6">
        <v>1.0343137254901964</v>
      </c>
      <c r="J12" s="6">
        <v>-6.2065074290013067E-3</v>
      </c>
      <c r="M12" s="6">
        <v>-0.21134751773049654</v>
      </c>
      <c r="N12" s="6">
        <v>2.239363025628327E-3</v>
      </c>
      <c r="O12" s="6">
        <v>8.9096089096089015E-2</v>
      </c>
      <c r="P12" s="6">
        <v>4.7206923682139301E-3</v>
      </c>
      <c r="Q12" s="6">
        <v>-8.0348583877995483E-2</v>
      </c>
      <c r="R12" s="6">
        <v>-1.9231105438921592E-4</v>
      </c>
      <c r="S12" s="6">
        <v>-1.7332535386394565E-2</v>
      </c>
      <c r="T12" s="6">
        <v>-8.4674754669422647E-4</v>
      </c>
      <c r="U12" s="6">
        <v>8.9298179670300071E-2</v>
      </c>
      <c r="V12" s="6">
        <v>-4.5259684398757383E-4</v>
      </c>
      <c r="AC12" s="6">
        <v>-0.26198433232715246</v>
      </c>
      <c r="AD12" s="6">
        <v>-1.0561122469816775E-2</v>
      </c>
      <c r="AE12" s="6">
        <v>0.24196630189334734</v>
      </c>
      <c r="AF12" s="6">
        <v>-1.2563224016968411E-2</v>
      </c>
      <c r="AM12" s="6">
        <v>5.8594368717924672E-2</v>
      </c>
      <c r="AN12" s="6">
        <v>-3.5733560611594939E-5</v>
      </c>
      <c r="AO12" s="6">
        <v>-0.36170214096592146</v>
      </c>
      <c r="AP12" s="6">
        <v>0</v>
      </c>
      <c r="AQ12" s="6">
        <v>-0.73957447351409589</v>
      </c>
      <c r="AR12" s="6">
        <v>5.9198892903820077E-3</v>
      </c>
      <c r="AS12" s="6">
        <v>0.4285246549436903</v>
      </c>
      <c r="AT12" s="6">
        <v>-5.0807034959965414E-5</v>
      </c>
      <c r="AU12" s="6">
        <v>3.3692228814179437E-3</v>
      </c>
      <c r="AV12" s="6">
        <v>1.2429478444264674E-6</v>
      </c>
      <c r="AW12" s="6">
        <v>0.27267184645621079</v>
      </c>
      <c r="AX12" s="6">
        <v>2.6096616301707343E-5</v>
      </c>
      <c r="AY12" s="6">
        <v>0.38930346907666258</v>
      </c>
      <c r="AZ12" s="6">
        <v>-3.4565206751047128E-5</v>
      </c>
      <c r="BA12" s="6">
        <v>-0.58733640418220379</v>
      </c>
      <c r="BB12" s="6">
        <v>7.486887936901887E-3</v>
      </c>
      <c r="BG12" s="6">
        <v>-8.2891021128153164E-2</v>
      </c>
      <c r="BH12" s="6">
        <v>-4.0355636886146851E-4</v>
      </c>
      <c r="BI12" s="6">
        <v>-3.5279163126730739E-2</v>
      </c>
      <c r="BJ12" s="6">
        <v>-1.4043366282300296E-3</v>
      </c>
      <c r="BO12" s="6">
        <v>0.2226827118045045</v>
      </c>
      <c r="BP12" s="6">
        <v>2.408171398248899</v>
      </c>
    </row>
    <row r="13" spans="1:68">
      <c r="G13" s="6">
        <v>6.7922319765895134E-2</v>
      </c>
      <c r="H13" s="6">
        <v>-4.8380817342036364E-3</v>
      </c>
      <c r="I13" s="6">
        <v>0.28676470588235303</v>
      </c>
      <c r="J13" s="6">
        <v>-7.5442104623471007E-3</v>
      </c>
      <c r="M13" s="6">
        <v>-0.21702127659574466</v>
      </c>
      <c r="N13" s="6">
        <v>2.6125015550606534E-3</v>
      </c>
      <c r="O13" s="6">
        <v>5.3150553150553392E-2</v>
      </c>
      <c r="P13" s="6">
        <v>5.9030821243966081E-4</v>
      </c>
      <c r="Q13" s="6">
        <v>-7.7310924369747847E-2</v>
      </c>
      <c r="R13" s="6">
        <v>1.9230433034378436E-4</v>
      </c>
      <c r="S13" s="6">
        <v>-1.7332535386394565E-2</v>
      </c>
      <c r="T13" s="6">
        <v>-1.6421388924170444E-4</v>
      </c>
      <c r="U13" s="6">
        <v>0.11493573945454916</v>
      </c>
      <c r="V13" s="6">
        <v>3.6384822320334465E-4</v>
      </c>
      <c r="AC13" s="6">
        <v>-0.28025900600286102</v>
      </c>
      <c r="AD13" s="6">
        <v>-1.0147631368572663E-2</v>
      </c>
      <c r="AM13" s="6">
        <v>0.12949955227169396</v>
      </c>
      <c r="AN13" s="6">
        <v>-2.5803962463322172E-5</v>
      </c>
      <c r="AO13" s="6">
        <v>0.32387704095957082</v>
      </c>
      <c r="AP13" s="6">
        <v>1.9005567287387448E-2</v>
      </c>
      <c r="AQ13" s="6">
        <v>-0.70893617628046002</v>
      </c>
      <c r="AR13" s="6">
        <v>-2.5390474724934498E-3</v>
      </c>
      <c r="AS13" s="6">
        <v>0.68354822853253694</v>
      </c>
      <c r="AT13" s="6">
        <v>-5.0950220693235515E-5</v>
      </c>
      <c r="AU13" s="6">
        <v>2.9091977666764413E-2</v>
      </c>
      <c r="AV13" s="6">
        <v>4.53675684104482E-5</v>
      </c>
      <c r="AW13" s="6">
        <v>0.3869025742838621</v>
      </c>
      <c r="AX13" s="6">
        <v>3.5282764834221325E-5</v>
      </c>
      <c r="AY13" s="6">
        <v>-5.4832627984548243E-2</v>
      </c>
      <c r="AZ13" s="6">
        <v>-3.1262797023257072E-5</v>
      </c>
      <c r="BA13" s="6">
        <v>-0.11615120274914104</v>
      </c>
      <c r="BB13" s="6">
        <v>7.486887936901887E-3</v>
      </c>
      <c r="BG13" s="6">
        <v>1.2105359893572332</v>
      </c>
      <c r="BH13" s="6">
        <v>-3.1708710438553833E-3</v>
      </c>
      <c r="BI13" s="6">
        <v>5.0222020311558868E-3</v>
      </c>
      <c r="BJ13" s="6">
        <v>5.9128318192791518E-4</v>
      </c>
      <c r="BO13" s="6">
        <v>0.16518364752472525</v>
      </c>
      <c r="BP13" s="6">
        <v>-0.23669536558575111</v>
      </c>
    </row>
    <row r="14" spans="1:68">
      <c r="G14" s="6">
        <v>7.9748959942945286E-2</v>
      </c>
      <c r="H14" s="6">
        <v>-4.7217533228215425E-3</v>
      </c>
      <c r="I14" s="6">
        <v>2.0379256965944275</v>
      </c>
      <c r="J14" s="6">
        <v>-7.2575324389707596E-3</v>
      </c>
      <c r="M14" s="6">
        <v>-0.25000000000000011</v>
      </c>
      <c r="N14" s="6">
        <v>2.6125015550606534E-3</v>
      </c>
      <c r="O14" s="6">
        <v>-1.0360010360009886E-3</v>
      </c>
      <c r="P14" s="6">
        <v>1.9152640742890359E-2</v>
      </c>
      <c r="Q14" s="6">
        <v>-8.0791575889614942E-2</v>
      </c>
      <c r="R14" s="6">
        <v>-3.2060623724862181E-3</v>
      </c>
      <c r="S14" s="6">
        <v>-1.9783562518068676E-3</v>
      </c>
      <c r="T14" s="6">
        <v>-2.1360132342448379E-3</v>
      </c>
      <c r="U14" s="6">
        <v>0.20042255440955992</v>
      </c>
      <c r="V14" s="6">
        <v>1.7748779456372432E-5</v>
      </c>
      <c r="AC14" s="6">
        <v>-0.26649925170585709</v>
      </c>
      <c r="AD14" s="6">
        <v>-1.1101848847688944E-2</v>
      </c>
      <c r="AM14" s="6">
        <v>8.3740437966668413E-2</v>
      </c>
      <c r="AN14" s="6">
        <v>-3.0593532991729511E-5</v>
      </c>
      <c r="AO14" s="6">
        <v>0.16595742250225021</v>
      </c>
      <c r="AP14" s="6">
        <v>0</v>
      </c>
      <c r="AQ14" s="6">
        <v>-0.7823708252055237</v>
      </c>
      <c r="AR14" s="6">
        <v>-1.6925680873978166E-3</v>
      </c>
      <c r="AS14" s="6">
        <v>0.68354822853253694</v>
      </c>
      <c r="AT14" s="6">
        <v>-5.0950220693235515E-5</v>
      </c>
      <c r="AU14" s="6">
        <v>-4.4658193060803875E-2</v>
      </c>
      <c r="AV14" s="6">
        <v>1.3983163220654404E-6</v>
      </c>
      <c r="AW14" s="6">
        <v>0.21399986409239191</v>
      </c>
      <c r="AX14" s="6">
        <v>-8.3537754551610277E-6</v>
      </c>
      <c r="AY14" s="6">
        <v>-0.11582496829292621</v>
      </c>
      <c r="AZ14" s="6">
        <v>-3.3537790358750819E-5</v>
      </c>
      <c r="BA14" s="6">
        <v>-0.36637589214908828</v>
      </c>
      <c r="BB14" s="6">
        <v>-5.2887158036452053E-4</v>
      </c>
      <c r="BG14" s="6">
        <v>0.90800649308060621</v>
      </c>
      <c r="BH14" s="6">
        <v>-3.2157862450616914E-3</v>
      </c>
      <c r="BI14" s="6">
        <v>0.12163897808180901</v>
      </c>
      <c r="BJ14" s="6">
        <v>-1.4043366282300296E-3</v>
      </c>
      <c r="BO14" s="6">
        <v>0.18245616772220141</v>
      </c>
      <c r="BP14" s="6">
        <v>-0.23626682728234893</v>
      </c>
    </row>
    <row r="15" spans="1:68">
      <c r="G15" s="6">
        <v>0.1006904454949149</v>
      </c>
      <c r="H15" s="6">
        <v>-2.6796048858552801E-3</v>
      </c>
      <c r="I15" s="6">
        <v>1.1617647058823528</v>
      </c>
      <c r="J15" s="6">
        <v>-6.6842211869556634E-3</v>
      </c>
      <c r="M15" s="6">
        <v>-0.28191489361702138</v>
      </c>
      <c r="N15" s="6">
        <v>3.3587026586900937E-3</v>
      </c>
      <c r="O15" s="6">
        <v>2.1997755331088831E-2</v>
      </c>
      <c r="P15" s="6">
        <v>3.8358712077182222E-3</v>
      </c>
      <c r="Q15" s="6">
        <v>-5.017301038062294E-2</v>
      </c>
      <c r="R15" s="6">
        <v>-3.7833520849243074E-3</v>
      </c>
      <c r="U15" s="6">
        <v>2.1744804186870859E-2</v>
      </c>
      <c r="V15" s="6">
        <v>1.9523609091320893E-4</v>
      </c>
      <c r="AC15" s="6">
        <v>-0.28025900600286124</v>
      </c>
      <c r="AD15" s="6">
        <v>-1.1684994340609656E-2</v>
      </c>
      <c r="AM15" s="6">
        <v>6.3491705968172774E-3</v>
      </c>
      <c r="AN15" s="6">
        <v>-3.8654031178420034E-5</v>
      </c>
      <c r="AO15" s="6">
        <v>7.2340403177252099E-2</v>
      </c>
      <c r="AP15" s="6">
        <v>3.7945573016481493E-2</v>
      </c>
      <c r="AS15" s="6">
        <v>8.6693775901317105E-2</v>
      </c>
      <c r="AT15" s="6">
        <v>-5.0377477763374756E-5</v>
      </c>
      <c r="AU15" s="6">
        <v>3.3225100052858281E-3</v>
      </c>
      <c r="AV15" s="6">
        <v>1.6779792264332016E-5</v>
      </c>
      <c r="AW15" s="6">
        <v>0.60340991860100668</v>
      </c>
      <c r="AX15" s="6">
        <v>5.0597775995697702E-6</v>
      </c>
      <c r="BA15" s="6">
        <v>-0.12971115445342285</v>
      </c>
      <c r="BB15" s="6">
        <v>-2.2039671408534689E-3</v>
      </c>
      <c r="BG15" s="6">
        <v>0.89840749771411188</v>
      </c>
      <c r="BH15" s="6">
        <v>-2.8744321266063189E-3</v>
      </c>
      <c r="BI15" s="6">
        <v>-8.5295813631649509E-3</v>
      </c>
      <c r="BJ15" s="6">
        <v>-1.5028886319524704E-3</v>
      </c>
      <c r="BO15" s="6">
        <v>0.53329652449374088</v>
      </c>
      <c r="BP15" s="6">
        <v>-5.7911361071995016E-3</v>
      </c>
    </row>
    <row r="16" spans="1:68">
      <c r="I16" s="6">
        <v>1.3676470588235294</v>
      </c>
      <c r="J16" s="6">
        <v>-5.7288351368557366E-3</v>
      </c>
      <c r="M16" s="6">
        <v>-7.0376432078560036E-2</v>
      </c>
      <c r="N16" s="6">
        <v>1.4930099986427692E-3</v>
      </c>
      <c r="O16" s="6">
        <v>7.4074074074074181E-2</v>
      </c>
      <c r="P16" s="6">
        <v>-5.3156265101212963E-3</v>
      </c>
      <c r="Q16" s="6">
        <v>-4.6875E-2</v>
      </c>
      <c r="R16" s="6">
        <v>-2.1799190981894867E-3</v>
      </c>
      <c r="U16" s="6">
        <v>4.7900858739606589E-2</v>
      </c>
      <c r="V16" s="6">
        <v>-3.0529207575531458E-3</v>
      </c>
      <c r="AC16" s="6">
        <v>-0.25776709994045055</v>
      </c>
      <c r="AD16" s="6">
        <v>-1.1822830125325479E-2</v>
      </c>
      <c r="AM16" s="6">
        <v>-1.2376124730550275E-2</v>
      </c>
      <c r="AN16" s="6">
        <v>-3.6551292346365116E-5</v>
      </c>
      <c r="AO16" s="6">
        <v>-2.1276616147746119E-2</v>
      </c>
      <c r="AP16" s="6">
        <v>3.7945573016481493E-2</v>
      </c>
      <c r="AS16" s="6">
        <v>8.6693775901317105E-2</v>
      </c>
      <c r="AT16" s="6">
        <v>-5.0377477763374756E-5</v>
      </c>
      <c r="AU16" s="6">
        <v>-4.484247967479682E-2</v>
      </c>
      <c r="AV16" s="6">
        <v>-1.8644218473529151E-6</v>
      </c>
      <c r="AW16" s="6">
        <v>0.29618502778147238</v>
      </c>
      <c r="AX16" s="6">
        <v>-1.0483290788676491E-5</v>
      </c>
      <c r="BG16" s="6">
        <v>0.94250305641264509</v>
      </c>
      <c r="BH16" s="6">
        <v>-2.6408759174944008E-3</v>
      </c>
      <c r="BO16" s="6">
        <v>1.0634505438719293</v>
      </c>
      <c r="BP16" s="6">
        <v>8.0479819332678337E-2</v>
      </c>
    </row>
    <row r="17" spans="9:68">
      <c r="I17" s="6">
        <v>-0.20212765957446821</v>
      </c>
      <c r="J17" s="6">
        <v>-5.0601635801307276E-3</v>
      </c>
      <c r="Q17" s="6">
        <v>-3.4415849673202548E-2</v>
      </c>
      <c r="R17" s="6">
        <v>-3.3343437405275456E-3</v>
      </c>
      <c r="U17" s="6">
        <v>4.4188943407039938E-2</v>
      </c>
      <c r="V17" s="6">
        <v>-2.7689171658601408E-3</v>
      </c>
      <c r="AC17" s="6">
        <v>-0.27032072192877266</v>
      </c>
      <c r="AD17" s="6">
        <v>-1.1833432900096419E-2</v>
      </c>
      <c r="AM17" s="6">
        <v>7.1265375521373242E-2</v>
      </c>
      <c r="AN17" s="6">
        <v>-3.8186755871860711E-5</v>
      </c>
      <c r="AO17" s="6">
        <v>-0.45531916029091946</v>
      </c>
      <c r="AP17" s="6">
        <v>2.5326170376055224E-2</v>
      </c>
      <c r="AS17" s="6">
        <v>6.2835104170605449E-2</v>
      </c>
      <c r="AT17" s="6">
        <v>-5.0377477763374756E-5</v>
      </c>
      <c r="AU17" s="6">
        <v>-0.17219931511636066</v>
      </c>
      <c r="AV17" s="6">
        <v>2.7034105894108151E-5</v>
      </c>
      <c r="BG17" s="6">
        <v>-3.0776501890491192E-2</v>
      </c>
      <c r="BH17" s="6">
        <v>-7.1858643392586075E-4</v>
      </c>
      <c r="BO17" s="6">
        <v>-7.2841148017567914E-2</v>
      </c>
      <c r="BP17" s="6">
        <v>2.8066138698630283E-2</v>
      </c>
    </row>
    <row r="18" spans="9:68">
      <c r="I18" s="6">
        <v>0.98266806722689082</v>
      </c>
      <c r="J18" s="6">
        <v>-3.9140584996977257E-3</v>
      </c>
      <c r="U18" s="6">
        <v>4.9335209571129246E-2</v>
      </c>
      <c r="V18" s="6">
        <v>-2.7777922440591629E-3</v>
      </c>
      <c r="AC18" s="6">
        <v>-0.26833558592158335</v>
      </c>
      <c r="AD18" s="6">
        <v>-1.1759213543001024E-2</v>
      </c>
      <c r="AM18" s="6">
        <v>0.12892394163163923</v>
      </c>
      <c r="AN18" s="6">
        <v>-1.6458460835089284E-5</v>
      </c>
      <c r="AO18" s="6">
        <v>4.680848881588906E-2</v>
      </c>
      <c r="AP18" s="6">
        <v>0</v>
      </c>
      <c r="AS18" s="6">
        <v>6.2835104170605449E-2</v>
      </c>
      <c r="AT18" s="6">
        <v>-5.0377477763374756E-5</v>
      </c>
      <c r="AU18" s="6">
        <v>-0.14474533715925397</v>
      </c>
      <c r="AV18" s="6">
        <v>3.853136314413419E-5</v>
      </c>
      <c r="BG18" s="6">
        <v>0.39182971154589774</v>
      </c>
      <c r="BH18" s="6">
        <v>2.4341045529865379E-3</v>
      </c>
      <c r="BO18" s="6">
        <v>-8.8424666733366686E-2</v>
      </c>
      <c r="BP18" s="6">
        <v>-0.11966844750075678</v>
      </c>
    </row>
    <row r="19" spans="9:68">
      <c r="I19" s="6">
        <v>0.19922969187675088</v>
      </c>
      <c r="J19" s="6">
        <v>-1.0124984803839276E-2</v>
      </c>
      <c r="U19" s="6">
        <v>4.120912312731595E-2</v>
      </c>
      <c r="V19" s="6">
        <v>-2.3517909678111293E-3</v>
      </c>
      <c r="AC19" s="6">
        <v>-0.30025181139167056</v>
      </c>
      <c r="AD19" s="6">
        <v>-1.1568364477987481E-2</v>
      </c>
      <c r="AM19" s="6">
        <v>-9.8997611252981677E-2</v>
      </c>
      <c r="AN19" s="6">
        <v>-4.6597685077198747E-6</v>
      </c>
      <c r="AO19" s="6">
        <v>6.3829765056797827E-2</v>
      </c>
      <c r="AP19" s="6">
        <v>6.3424947145880317E-3</v>
      </c>
      <c r="AS19" s="6">
        <v>0.16258323097808525</v>
      </c>
      <c r="AT19" s="6">
        <v>-5.0091106301830557E-5</v>
      </c>
      <c r="AU19" s="6">
        <v>-5.7926829268292734E-2</v>
      </c>
      <c r="AV19" s="6">
        <v>1.3206318643321779E-5</v>
      </c>
      <c r="BG19" s="6">
        <v>5.3790310107493911E-2</v>
      </c>
      <c r="BH19" s="6">
        <v>1.6976032636930594E-3</v>
      </c>
      <c r="BO19" s="6">
        <v>-0.1117824123450325</v>
      </c>
      <c r="BP19" s="6">
        <v>-0.11991106679296371</v>
      </c>
    </row>
    <row r="20" spans="9:68">
      <c r="I20" s="6">
        <v>1.606951871657754</v>
      </c>
      <c r="J20" s="6">
        <v>-6.0154335365483202E-3</v>
      </c>
      <c r="U20" s="6">
        <v>2.7745988383540254E-2</v>
      </c>
      <c r="V20" s="6">
        <v>-2.1121674735478102E-3</v>
      </c>
      <c r="AC20" s="6">
        <v>-0.29825253085278969</v>
      </c>
      <c r="AD20" s="6">
        <v>-1.1684994340609656E-2</v>
      </c>
      <c r="AM20" s="6">
        <v>-8.1957090509120589E-2</v>
      </c>
      <c r="AN20" s="6">
        <v>-2.2649855391798646E-5</v>
      </c>
      <c r="AS20" s="6">
        <v>0.16258323097808525</v>
      </c>
      <c r="AT20" s="6">
        <v>-5.0091106301830557E-5</v>
      </c>
      <c r="BG20" s="6">
        <v>3.9310178273469942E-2</v>
      </c>
      <c r="BH20" s="6">
        <v>-4.221677852999095E-4</v>
      </c>
      <c r="BO20" s="6">
        <v>0.67546378694759768</v>
      </c>
      <c r="BP20" s="6">
        <v>0.72646362071455584</v>
      </c>
    </row>
    <row r="21" spans="9:68">
      <c r="U21" s="6">
        <v>3.4823974747378639E-2</v>
      </c>
      <c r="V21" s="6">
        <v>-2.0145435459912875E-3</v>
      </c>
      <c r="AC21" s="6">
        <v>-0.27126224357789708</v>
      </c>
      <c r="AD21" s="6">
        <v>-1.13563111610403E-2</v>
      </c>
      <c r="AM21" s="6">
        <v>4.3457417952365684E-2</v>
      </c>
      <c r="AN21" s="6">
        <v>-1.8794836013968919E-5</v>
      </c>
      <c r="AS21" s="6">
        <v>0.10483824792442009</v>
      </c>
      <c r="AT21" s="6">
        <v>-4.9947920572002147E-5</v>
      </c>
      <c r="BO21" s="6">
        <v>-6.8756625776162261E-2</v>
      </c>
      <c r="BP21" s="6">
        <v>1.1403539311198991</v>
      </c>
    </row>
    <row r="22" spans="9:68">
      <c r="U22" s="6">
        <v>3.6612104662562039E-2</v>
      </c>
      <c r="V22" s="6">
        <v>-2.4582908124973768E-3</v>
      </c>
      <c r="AC22" s="6">
        <v>-0.27321334868210612</v>
      </c>
      <c r="AD22" s="6">
        <v>-1.1568364477987481E-2</v>
      </c>
      <c r="AM22" s="6">
        <v>-0.11067923070792263</v>
      </c>
      <c r="AN22" s="6">
        <v>-2.3818043163759128E-5</v>
      </c>
      <c r="AS22" s="6">
        <v>0.10483824792442009</v>
      </c>
      <c r="AT22" s="6">
        <v>-4.9947920572002147E-5</v>
      </c>
      <c r="BO22" s="6">
        <v>-0.26945067884692742</v>
      </c>
      <c r="BP22" s="6">
        <v>0.38956521739130423</v>
      </c>
    </row>
    <row r="23" spans="9:68">
      <c r="U23" s="6">
        <v>7.1555694536132863E-2</v>
      </c>
      <c r="V23" s="6">
        <v>-7.9869616253835929E-5</v>
      </c>
      <c r="AC23" s="6">
        <v>-0.26307417889899709</v>
      </c>
      <c r="AD23" s="6">
        <v>-1.0730761233789687E-2</v>
      </c>
      <c r="AM23" s="6">
        <v>-8.4242418058271262E-3</v>
      </c>
      <c r="AN23" s="6">
        <v>-2.19489427467634E-5</v>
      </c>
      <c r="AS23" s="6">
        <v>6.6978901623471643E-2</v>
      </c>
      <c r="AT23" s="6">
        <v>-4.9160399067438298E-5</v>
      </c>
      <c r="BO23" s="6">
        <v>-0.31228917307161019</v>
      </c>
      <c r="BP23" s="6">
        <v>8.6092715231788075E-2</v>
      </c>
    </row>
    <row r="24" spans="9:68">
      <c r="U24" s="6">
        <v>5.3387250670180464E-2</v>
      </c>
      <c r="V24" s="6">
        <v>-5.4134199297550811E-4</v>
      </c>
      <c r="AC24" s="6">
        <v>-0.2694008444554904</v>
      </c>
      <c r="AD24" s="6">
        <v>-1.1844035678024945E-2</v>
      </c>
      <c r="AM24" s="6">
        <v>4.105640804758548E-2</v>
      </c>
      <c r="AN24" s="6">
        <v>-2.2065761519751703E-5</v>
      </c>
      <c r="AS24" s="6">
        <v>6.6978901623471643E-2</v>
      </c>
      <c r="AT24" s="6">
        <v>-4.9160399067438298E-5</v>
      </c>
      <c r="BO24" s="6">
        <v>-0.25592045991196366</v>
      </c>
      <c r="BP24" s="6">
        <v>-0.49225498040663929</v>
      </c>
    </row>
    <row r="25" spans="9:68">
      <c r="U25" s="6">
        <v>0.12298912476981338</v>
      </c>
      <c r="V25" s="6">
        <v>0</v>
      </c>
      <c r="AC25" s="6">
        <v>-0.26561311368315188</v>
      </c>
      <c r="AD25" s="6">
        <v>-1.1706199811221119E-2</v>
      </c>
      <c r="AM25" s="6">
        <v>0.38452863243593804</v>
      </c>
      <c r="AN25" s="6">
        <v>-1.5056635801036222E-5</v>
      </c>
      <c r="AS25" s="6">
        <v>2.712090848363391E-2</v>
      </c>
      <c r="AT25" s="6">
        <v>-4.6010313223043831E-5</v>
      </c>
      <c r="BO25" s="6">
        <v>1.1722587149356092</v>
      </c>
      <c r="BP25" s="6">
        <v>-0.64273202588457701</v>
      </c>
    </row>
    <row r="26" spans="9:68">
      <c r="U26" s="6">
        <v>9.0895068114868138E-2</v>
      </c>
      <c r="V26" s="6">
        <v>2.218591118721136E-4</v>
      </c>
      <c r="AC26" s="6">
        <v>-0.26586418612291851</v>
      </c>
      <c r="AD26" s="6">
        <v>-1.025365427009628E-2</v>
      </c>
      <c r="AM26" s="6">
        <v>6.2126892679443824E-2</v>
      </c>
      <c r="AN26" s="6">
        <v>-4.8934059418970222E-6</v>
      </c>
      <c r="AS26" s="6">
        <v>2.712090848363391E-2</v>
      </c>
      <c r="AT26" s="6">
        <v>-4.6010313223043831E-5</v>
      </c>
      <c r="BO26" s="6">
        <v>2.408171398248899</v>
      </c>
      <c r="BP26" s="6">
        <v>-0.53723339042955276</v>
      </c>
    </row>
    <row r="27" spans="9:68">
      <c r="U27" s="6">
        <v>4.5027034395020316E-2</v>
      </c>
      <c r="V27" s="6">
        <v>-1.7837971371985617E-3</v>
      </c>
      <c r="AC27" s="6">
        <v>-0.29891083054242118</v>
      </c>
      <c r="AD27" s="6">
        <v>-1.1684994340609656E-2</v>
      </c>
      <c r="AM27" s="6">
        <v>-7.6430083204610866E-2</v>
      </c>
      <c r="AN27" s="6">
        <v>-8.0475106389865658E-7</v>
      </c>
      <c r="AS27" s="6">
        <v>-9.2184368737474598E-3</v>
      </c>
      <c r="AT27" s="6">
        <v>-4.7298984671595434E-5</v>
      </c>
      <c r="BO27" s="6">
        <v>-0.23669536558575111</v>
      </c>
      <c r="BP27" s="6">
        <v>3.4255720328186134E-2</v>
      </c>
    </row>
    <row r="28" spans="9:68">
      <c r="U28" s="6">
        <v>-9.9655990899345959E-2</v>
      </c>
      <c r="V28" s="6">
        <v>-1.8991701560221452E-3</v>
      </c>
      <c r="AC28" s="6">
        <v>-0.27666030103287531</v>
      </c>
      <c r="AD28" s="6">
        <v>-1.121847718223834E-2</v>
      </c>
      <c r="AM28" s="6">
        <v>1.1819946743832941</v>
      </c>
      <c r="AN28" s="6">
        <v>4.5338607387535035E-5</v>
      </c>
      <c r="AS28" s="6">
        <v>-9.2184368737474598E-3</v>
      </c>
      <c r="AT28" s="6">
        <v>-4.7298984671595434E-5</v>
      </c>
      <c r="BO28" s="6">
        <v>-0.23626682728234893</v>
      </c>
      <c r="BP28" s="6">
        <v>0.24800333508864303</v>
      </c>
    </row>
    <row r="29" spans="9:68">
      <c r="U29" s="6">
        <v>0.19433424336429272</v>
      </c>
      <c r="V29" s="6">
        <v>-2.1298603861674703E-4</v>
      </c>
      <c r="AC29" s="6">
        <v>-0.37659601957991184</v>
      </c>
      <c r="AD29" s="6">
        <v>-5.7055555152770721E-3</v>
      </c>
      <c r="AM29" s="6">
        <v>4.4621597792301237E-2</v>
      </c>
      <c r="AN29" s="6">
        <v>7.2557386161520299E-6</v>
      </c>
      <c r="AS29" s="6">
        <v>0.16873747494989999</v>
      </c>
      <c r="AT29" s="6">
        <v>-4.6439870367231961E-5</v>
      </c>
      <c r="BO29" s="6">
        <v>-5.7911361071995016E-3</v>
      </c>
      <c r="BP29" s="6">
        <v>8.254460894648763E-2</v>
      </c>
    </row>
    <row r="30" spans="9:68">
      <c r="U30" s="6">
        <v>0.12725282007693095</v>
      </c>
      <c r="V30" s="6">
        <v>-1.0294442377846158E-3</v>
      </c>
      <c r="AC30" s="6">
        <v>1.5687126397278428E-2</v>
      </c>
      <c r="AD30" s="6">
        <v>-8.4089008267662635E-3</v>
      </c>
      <c r="AM30" s="6">
        <v>0.42326609908527413</v>
      </c>
      <c r="AN30" s="6">
        <v>3.2371745567028043E-5</v>
      </c>
      <c r="AS30" s="6">
        <v>0.16873747494989999</v>
      </c>
      <c r="AT30" s="6">
        <v>-4.6439870367231961E-5</v>
      </c>
      <c r="BO30" s="6">
        <v>8.0479819332678337E-2</v>
      </c>
      <c r="BP30" s="6">
        <v>-0.11322245074368831</v>
      </c>
    </row>
    <row r="31" spans="9:68">
      <c r="U31" s="6">
        <v>6.1661808991701594E-2</v>
      </c>
      <c r="V31" s="6">
        <v>-1.9524193668122303E-3</v>
      </c>
      <c r="AC31" s="6">
        <v>-0.10353688694106367</v>
      </c>
      <c r="AD31" s="6">
        <v>-8.525520340755266E-3</v>
      </c>
      <c r="AM31" s="6">
        <v>0.15243424062019773</v>
      </c>
      <c r="AN31" s="6">
        <v>1.1461210773555663E-5</v>
      </c>
      <c r="AS31" s="6">
        <v>-4.7695390781563263E-2</v>
      </c>
      <c r="AT31" s="6">
        <v>-4.6797834658440784E-5</v>
      </c>
      <c r="BO31" s="6">
        <v>2.8066138698630283E-2</v>
      </c>
      <c r="BP31" s="6">
        <v>4.4653105133645843E-2</v>
      </c>
    </row>
    <row r="32" spans="9:68">
      <c r="U32" s="6">
        <v>5.4717285077592326E-2</v>
      </c>
      <c r="V32" s="6">
        <v>-2.1299173071079869E-3</v>
      </c>
      <c r="AC32" s="6">
        <v>8.8460765512066608E-2</v>
      </c>
      <c r="AD32" s="6">
        <v>-8.8647792806035852E-3</v>
      </c>
      <c r="AM32" s="6">
        <v>-1.0014506627242348E-2</v>
      </c>
      <c r="AN32" s="6">
        <v>-4.5429497912419237E-6</v>
      </c>
      <c r="AS32" s="6">
        <v>-4.7695390781563263E-2</v>
      </c>
      <c r="AT32" s="6">
        <v>-4.6797834658440784E-5</v>
      </c>
      <c r="BO32" s="6">
        <v>-0.11966844750075678</v>
      </c>
      <c r="BP32" s="6">
        <v>-6.0643243912598011E-2</v>
      </c>
    </row>
    <row r="33" spans="21:68">
      <c r="U33" s="6">
        <v>2.6584876976557315E-2</v>
      </c>
      <c r="V33" s="6">
        <v>-2.1210423892296104E-3</v>
      </c>
      <c r="AC33" s="6">
        <v>6.3600303629246513E-2</v>
      </c>
      <c r="AD33" s="6">
        <v>-9.2994595215000198E-3</v>
      </c>
      <c r="AM33" s="6">
        <v>0.23835987546553516</v>
      </c>
      <c r="AN33" s="6">
        <v>1.2863034716037447E-5</v>
      </c>
      <c r="AS33" s="6">
        <v>0.14013289737369483</v>
      </c>
      <c r="AT33" s="6">
        <v>-2.6179097329492862E-5</v>
      </c>
      <c r="BO33" s="6">
        <v>-0.11991106679296371</v>
      </c>
      <c r="BP33" s="6">
        <v>-2.1233969600145786E-2</v>
      </c>
    </row>
    <row r="34" spans="21:68">
      <c r="U34" s="6">
        <v>3.418487891317179E-2</v>
      </c>
      <c r="V34" s="6">
        <v>-2.1831668604957999E-3</v>
      </c>
      <c r="AC34" s="6">
        <v>-0.13631080720343325</v>
      </c>
      <c r="AD34" s="6">
        <v>-8.5573257290446625E-3</v>
      </c>
      <c r="AM34" s="6">
        <v>0.12781537830314105</v>
      </c>
      <c r="AN34" s="6">
        <v>2.1507614486493409E-5</v>
      </c>
      <c r="AS34" s="6">
        <v>0.14013289737369483</v>
      </c>
      <c r="AT34" s="6">
        <v>-2.6179097329492862E-5</v>
      </c>
      <c r="BO34" s="6">
        <v>0.72646362071455584</v>
      </c>
      <c r="BP34" s="6">
        <v>-0.11357202070918004</v>
      </c>
    </row>
    <row r="35" spans="21:68">
      <c r="U35" s="6">
        <v>4.3633665015826884E-2</v>
      </c>
      <c r="V35" s="6">
        <v>-2.0056686566632953E-3</v>
      </c>
      <c r="AC35" s="6">
        <v>3.2378488264646066E-2</v>
      </c>
      <c r="AD35" s="6">
        <v>-7.8364105709323173E-3</v>
      </c>
      <c r="AM35" s="6">
        <v>3.427797196825666E-2</v>
      </c>
      <c r="AN35" s="6">
        <v>3.3306294323631747E-5</v>
      </c>
      <c r="AS35" s="6">
        <v>0.2022233145536354</v>
      </c>
      <c r="AT35" s="6">
        <v>-1.0715052111587298E-5</v>
      </c>
      <c r="BO35" s="6">
        <v>1.1403539311198991</v>
      </c>
      <c r="BP35" s="6">
        <v>-0.16671932596103234</v>
      </c>
    </row>
    <row r="36" spans="21:68">
      <c r="U36" s="6">
        <v>0.11399881866509176</v>
      </c>
      <c r="V36" s="6">
        <v>-1.3666823964230135E-3</v>
      </c>
      <c r="AC36" s="6">
        <v>9.0215088921425934E-3</v>
      </c>
      <c r="AD36" s="6">
        <v>-7.380545283859119E-3</v>
      </c>
      <c r="AS36" s="6">
        <v>0.2022233145536354</v>
      </c>
      <c r="AT36" s="6">
        <v>-1.0715052111587298E-5</v>
      </c>
      <c r="BO36" s="6">
        <v>0.38956521739130423</v>
      </c>
      <c r="BP36" s="6">
        <v>0.4693171224579793</v>
      </c>
    </row>
    <row r="37" spans="21:68">
      <c r="U37" s="6">
        <v>0.1603488412494356</v>
      </c>
      <c r="V37" s="6">
        <v>-9.8507103193468115E-4</v>
      </c>
      <c r="AC37" s="6">
        <v>1.8665681020144209E-2</v>
      </c>
      <c r="AD37" s="6">
        <v>-6.9352871496959345E-3</v>
      </c>
      <c r="AS37" s="6">
        <v>0.26555720135924021</v>
      </c>
      <c r="AT37" s="6">
        <v>-1.4079910748421298E-6</v>
      </c>
      <c r="BO37" s="6">
        <v>-0.15234661203223809</v>
      </c>
      <c r="BP37" s="6">
        <v>-0.8028290347731738</v>
      </c>
    </row>
    <row r="38" spans="21:68">
      <c r="U38" s="6">
        <v>0.20482980478684731</v>
      </c>
      <c r="V38" s="6">
        <v>-9.8507103193468115E-4</v>
      </c>
      <c r="AC38" s="6">
        <v>1.2135772808476553E-2</v>
      </c>
      <c r="AD38" s="6">
        <v>-7.0943072726838974E-3</v>
      </c>
      <c r="AS38" s="6">
        <v>0.26890302343818062</v>
      </c>
      <c r="AT38" s="6">
        <v>-1.2648055390807045E-6</v>
      </c>
      <c r="BO38" s="6">
        <v>-0.17482691559704433</v>
      </c>
      <c r="BP38" s="6">
        <v>-0.81946132176136099</v>
      </c>
    </row>
    <row r="39" spans="21:68">
      <c r="U39" s="6">
        <v>-9.002550127152642E-2</v>
      </c>
      <c r="V39" s="6">
        <v>-2.4849158230827451E-3</v>
      </c>
      <c r="AC39" s="6">
        <v>-3.0803320583398408E-2</v>
      </c>
      <c r="AD39" s="6">
        <v>-6.7550652022334567E-3</v>
      </c>
      <c r="AS39" s="6">
        <v>0.26806656791844552</v>
      </c>
      <c r="AT39" s="6">
        <v>-1.2648055390807045E-6</v>
      </c>
      <c r="BO39" s="6">
        <v>-0.12051304944843511</v>
      </c>
      <c r="BP39" s="6">
        <v>-0.81660576812593355</v>
      </c>
    </row>
    <row r="40" spans="21:68">
      <c r="U40" s="6">
        <v>0.18158594211458956</v>
      </c>
      <c r="V40" s="6">
        <v>-8.5195174379026906E-4</v>
      </c>
      <c r="AC40" s="6">
        <v>3.4627678870887246E-2</v>
      </c>
      <c r="AD40" s="6">
        <v>-6.967091117474955E-3</v>
      </c>
      <c r="AS40" s="6">
        <v>0.34367558646705154</v>
      </c>
      <c r="AT40" s="6">
        <v>-8.5672685810056493E-6</v>
      </c>
      <c r="BO40" s="6">
        <v>-0.10835816121637876</v>
      </c>
      <c r="BP40" s="6">
        <v>-0.45977417375001051</v>
      </c>
    </row>
    <row r="41" spans="21:68">
      <c r="U41" s="6">
        <v>0.22437979917306561</v>
      </c>
      <c r="V41" s="6">
        <v>-1.0116949488563343E-3</v>
      </c>
      <c r="AC41" s="6">
        <v>6.1820329684265651E-3</v>
      </c>
      <c r="AD41" s="6">
        <v>-6.2992137600079712E-3</v>
      </c>
      <c r="AS41" s="6">
        <v>0.34367558646705154</v>
      </c>
      <c r="AT41" s="6">
        <v>-8.4956757991916376E-6</v>
      </c>
      <c r="BO41" s="6">
        <v>-0.16362940933544345</v>
      </c>
      <c r="BP41" s="6">
        <v>-0.15677139415132335</v>
      </c>
    </row>
    <row r="42" spans="21:68">
      <c r="U42" s="6">
        <v>-0.33174757746523831</v>
      </c>
      <c r="V42" s="6">
        <v>-2.9641693935650304E-3</v>
      </c>
      <c r="AC42" s="6">
        <v>8.6359062814431731E-2</v>
      </c>
      <c r="AD42" s="6">
        <v>-6.8398754168144116E-3</v>
      </c>
      <c r="AS42" s="6">
        <v>0.34593893669692322</v>
      </c>
      <c r="AT42" s="6">
        <v>-8.4956757991916376E-6</v>
      </c>
      <c r="BO42" s="6">
        <v>-0.12680821604238679</v>
      </c>
      <c r="BP42" s="6">
        <v>3.5802966832009897E-2</v>
      </c>
    </row>
    <row r="43" spans="21:68">
      <c r="U43" s="6">
        <v>5.3514471352628767E-2</v>
      </c>
      <c r="V43" s="6">
        <v>-1.8547958740908754E-3</v>
      </c>
      <c r="AC43" s="6">
        <v>-9.1813306561042585E-2</v>
      </c>
      <c r="AD43" s="6">
        <v>-6.5218381537974768E-3</v>
      </c>
      <c r="AS43" s="6">
        <v>0.45662754079587731</v>
      </c>
      <c r="AT43" s="6">
        <v>-1.0428680966789727E-5</v>
      </c>
      <c r="BO43" s="6">
        <v>-8.2252270803303884E-2</v>
      </c>
      <c r="BP43" s="6">
        <v>0.17718255048168507</v>
      </c>
    </row>
    <row r="44" spans="21:68">
      <c r="U44" s="6">
        <v>0.12003675264159619</v>
      </c>
      <c r="V44" s="6">
        <v>-1.2690604980702958E-3</v>
      </c>
      <c r="AC44" s="6">
        <v>-0.18516664366304925</v>
      </c>
      <c r="AD44" s="6">
        <v>-6.2992137600079712E-3</v>
      </c>
      <c r="AS44" s="6">
        <v>0.45348656496666795</v>
      </c>
      <c r="AT44" s="6">
        <v>-1.0500273753044631E-5</v>
      </c>
      <c r="BO44" s="6">
        <v>0.10725200838281523</v>
      </c>
      <c r="BP44" s="6">
        <v>9.2517560366408347E-2</v>
      </c>
    </row>
    <row r="45" spans="21:68">
      <c r="U45" s="6">
        <v>7.9081097177000181E-2</v>
      </c>
      <c r="V45" s="6">
        <v>-1.4288055610006678E-3</v>
      </c>
      <c r="AC45" s="6">
        <v>2.4043252488576305E-2</v>
      </c>
      <c r="AD45" s="6">
        <v>-6.733862680153857E-3</v>
      </c>
      <c r="AS45" s="6">
        <v>0.45662754079587731</v>
      </c>
      <c r="AT45" s="6">
        <v>-1.0285495395501165E-5</v>
      </c>
      <c r="BO45" s="6">
        <v>0.11454767726161408</v>
      </c>
      <c r="BP45" s="6">
        <v>0.13958974861228346</v>
      </c>
    </row>
    <row r="46" spans="21:68">
      <c r="U46" s="6">
        <v>8.335026580035465E-2</v>
      </c>
      <c r="V46" s="6">
        <v>-1.2601857932144078E-3</v>
      </c>
      <c r="AC46" s="6">
        <v>1.7073020480713019E-2</v>
      </c>
      <c r="AD46" s="6">
        <v>-7.4441540432934605E-3</v>
      </c>
      <c r="AS46" s="6">
        <v>0.2915188868302645</v>
      </c>
      <c r="AT46" s="6">
        <v>1.3841267654246536E-6</v>
      </c>
      <c r="BO46" s="6">
        <v>0.16814864633883553</v>
      </c>
      <c r="BP46" s="6">
        <v>0.22978283350568773</v>
      </c>
    </row>
    <row r="47" spans="21:68">
      <c r="U47" s="6">
        <v>0.10816048581177728</v>
      </c>
      <c r="V47" s="6">
        <v>-1.3489329405943495E-3</v>
      </c>
      <c r="AC47" s="6">
        <v>-4.5700557066293723E-2</v>
      </c>
      <c r="AD47" s="6">
        <v>-7.4441540432934605E-3</v>
      </c>
      <c r="AS47" s="6">
        <v>0.2915188868302645</v>
      </c>
      <c r="AT47" s="6">
        <v>1.3841267654246536E-6</v>
      </c>
      <c r="BO47" s="6">
        <v>0.15262004311280242</v>
      </c>
      <c r="BP47" s="6">
        <v>-0.20117234110253768</v>
      </c>
    </row>
    <row r="48" spans="21:68">
      <c r="U48" s="6">
        <v>0.11479795698551154</v>
      </c>
      <c r="V48" s="6">
        <v>-1.2601857932144078E-3</v>
      </c>
      <c r="AC48" s="6">
        <v>0.1051428438233093</v>
      </c>
      <c r="AD48" s="6">
        <v>-6.8080715626723798E-3</v>
      </c>
      <c r="AS48" s="6">
        <v>0.37429641892480658</v>
      </c>
      <c r="AT48" s="6">
        <v>-1.7229996275069936E-5</v>
      </c>
      <c r="BO48" s="6">
        <v>0.10970983748022456</v>
      </c>
      <c r="BP48" s="6">
        <v>0.61677352637021721</v>
      </c>
    </row>
    <row r="49" spans="21:68">
      <c r="U49" s="6">
        <v>8.7049015794351758E-2</v>
      </c>
      <c r="V49" s="6">
        <v>-1.1270654839072858E-3</v>
      </c>
      <c r="AC49" s="6">
        <v>-6.4646940990787161E-2</v>
      </c>
      <c r="AD49" s="6">
        <v>-6.0871918219921328E-3</v>
      </c>
      <c r="AS49" s="6">
        <v>0.37429641892480658</v>
      </c>
      <c r="AT49" s="6">
        <v>-1.7229996275069936E-5</v>
      </c>
      <c r="BO49" s="6">
        <v>-0.15349694159002525</v>
      </c>
      <c r="BP49" s="6">
        <v>0.58052577151254536</v>
      </c>
    </row>
    <row r="50" spans="21:68">
      <c r="U50" s="6">
        <v>0.10947036818271316</v>
      </c>
      <c r="V50" s="6">
        <v>-7.8095499214825281E-4</v>
      </c>
      <c r="AC50" s="6">
        <v>7.6544412896288661E-2</v>
      </c>
      <c r="AD50" s="6">
        <v>-5.6843536181818699E-3</v>
      </c>
      <c r="AS50" s="6">
        <v>0.38098806308268718</v>
      </c>
      <c r="AT50" s="6">
        <v>-1.7158403475270312E-5</v>
      </c>
      <c r="BO50" s="6">
        <v>0.51197622945849197</v>
      </c>
      <c r="BP50" s="6">
        <v>-3.9016902512248874E-2</v>
      </c>
    </row>
    <row r="51" spans="21:68">
      <c r="U51" s="6">
        <v>9.0001701923172472E-3</v>
      </c>
      <c r="V51" s="6">
        <v>5.7683083616044684E-4</v>
      </c>
      <c r="AC51" s="6">
        <v>-9.7753253953586583E-2</v>
      </c>
      <c r="AD51" s="6">
        <v>-5.9281761970538804E-3</v>
      </c>
      <c r="BO51" s="6">
        <v>0.67214193053296989</v>
      </c>
      <c r="BP51" s="6">
        <v>-0.72945910948991588</v>
      </c>
    </row>
    <row r="52" spans="21:68">
      <c r="U52" s="6">
        <v>4.2512263456636612E-2</v>
      </c>
      <c r="V52" s="6">
        <v>-6.8333468812509235E-4</v>
      </c>
      <c r="AC52" s="6">
        <v>1.2135772808476553E-2</v>
      </c>
      <c r="AD52" s="6">
        <v>-5.6313489306810682E-3</v>
      </c>
      <c r="BO52" s="6">
        <v>0.76903765690376535</v>
      </c>
      <c r="BP52" s="6">
        <v>-0.72018420501384672</v>
      </c>
    </row>
    <row r="53" spans="21:68">
      <c r="U53" s="6">
        <v>4.405941677058034E-2</v>
      </c>
      <c r="V53" s="6">
        <v>-2.405040850623319E-3</v>
      </c>
      <c r="AC53" s="6">
        <v>3.0538241404994171E-2</v>
      </c>
      <c r="AD53" s="6">
        <v>-6.5536417522590318E-3</v>
      </c>
      <c r="BO53" s="6">
        <v>0.22148295493518022</v>
      </c>
      <c r="BP53" s="6">
        <v>-0.56815895395214755</v>
      </c>
    </row>
    <row r="54" spans="21:68">
      <c r="U54" s="6">
        <v>1.1536668013802931E-2</v>
      </c>
      <c r="V54" s="6">
        <v>-2.3784158993342963E-3</v>
      </c>
      <c r="AC54" s="6">
        <v>9.8890267620631578E-2</v>
      </c>
      <c r="AD54" s="6">
        <v>-6.2144048332904989E-3</v>
      </c>
      <c r="BO54" s="6">
        <v>7.6359832635982894E-2</v>
      </c>
      <c r="BP54" s="6">
        <v>-0.46653162401920023</v>
      </c>
    </row>
    <row r="55" spans="21:68">
      <c r="U55" s="6">
        <v>-2.5506672001727515E-2</v>
      </c>
      <c r="V55" s="6">
        <v>-2.4316658216774201E-3</v>
      </c>
      <c r="AC55" s="6">
        <v>1.9365314042822712E-2</v>
      </c>
      <c r="AD55" s="6">
        <v>-6.6278502591485822E-3</v>
      </c>
      <c r="BO55" s="6">
        <v>0.27300752226683267</v>
      </c>
      <c r="BP55" s="6">
        <v>-0.47221129850209398</v>
      </c>
    </row>
    <row r="56" spans="21:68">
      <c r="AC56" s="6">
        <v>-0.13075398335272015</v>
      </c>
      <c r="AD56" s="6">
        <v>-6.3098148900520012E-3</v>
      </c>
      <c r="BO56" s="6">
        <v>2.2319093286834901E-2</v>
      </c>
      <c r="BP56" s="6">
        <v>-0.21732642763168841</v>
      </c>
    </row>
    <row r="57" spans="21:68">
      <c r="AC57" s="6">
        <v>-1.8742945683985379E-2</v>
      </c>
      <c r="AD57" s="6">
        <v>-6.6278502591485822E-3</v>
      </c>
      <c r="BO57" s="6">
        <v>0.14197016996184519</v>
      </c>
      <c r="BP57" s="6">
        <v>-0.41626176955036009</v>
      </c>
    </row>
    <row r="58" spans="21:68">
      <c r="AC58" s="6">
        <v>-0.19624512159326868</v>
      </c>
      <c r="AD58" s="6">
        <v>-4.2532547526358266E-3</v>
      </c>
      <c r="BO58" s="6">
        <v>8.5516497857973439E-2</v>
      </c>
      <c r="BP58" s="6">
        <v>-0.48641060941009318</v>
      </c>
    </row>
    <row r="59" spans="21:68">
      <c r="AC59" s="6">
        <v>-9.0987494609745645E-2</v>
      </c>
      <c r="AD59" s="6">
        <v>-5.6525507962121857E-3</v>
      </c>
      <c r="BO59" s="6">
        <v>0.17529885264612211</v>
      </c>
      <c r="BP59" s="6">
        <v>0.12935491583706815</v>
      </c>
    </row>
    <row r="60" spans="21:68">
      <c r="AC60" s="6">
        <v>-4.3706200863715461E-2</v>
      </c>
      <c r="AD60" s="6">
        <v>-4.8892915911642465E-3</v>
      </c>
      <c r="BO60" s="6">
        <v>0.18805256869772968</v>
      </c>
      <c r="BP60" s="6">
        <v>8.1785004228956737E-2</v>
      </c>
    </row>
    <row r="61" spans="21:68">
      <c r="AC61" s="6">
        <v>7.6740183838804876E-2</v>
      </c>
      <c r="AD61" s="6">
        <v>-4.4970675310809227E-3</v>
      </c>
      <c r="BO61" s="6">
        <v>0.21236559139784927</v>
      </c>
      <c r="BP61" s="6">
        <v>2.9141160852570458E-2</v>
      </c>
    </row>
    <row r="62" spans="21:68">
      <c r="AC62" s="6">
        <v>1.4817120420715924E-3</v>
      </c>
      <c r="AD62" s="6">
        <v>-5.3663266768272377E-3</v>
      </c>
      <c r="BO62" s="6">
        <v>8.6092715231788075E-2</v>
      </c>
      <c r="BP62" s="6">
        <v>1.8215581873801012E-2</v>
      </c>
    </row>
    <row r="63" spans="21:68">
      <c r="AC63" s="6">
        <v>-2.9634909878857418E-2</v>
      </c>
      <c r="AD63" s="6">
        <v>-6.47943340003998E-3</v>
      </c>
      <c r="BO63" s="6">
        <v>-0.49225498040663929</v>
      </c>
      <c r="BP63" s="6">
        <v>8.5555638303378423E-3</v>
      </c>
    </row>
    <row r="64" spans="21:68">
      <c r="BO64" s="6">
        <v>-0.64273202588457701</v>
      </c>
      <c r="BP64" s="6">
        <v>0.2088822429696191</v>
      </c>
    </row>
    <row r="65" spans="67:68">
      <c r="BO65" s="6">
        <v>-0.53723339042955276</v>
      </c>
      <c r="BP65" s="6">
        <v>-4.9801129959935242E-2</v>
      </c>
    </row>
    <row r="66" spans="67:68">
      <c r="BO66" s="6">
        <v>3.4255720328186134E-2</v>
      </c>
      <c r="BP66" s="6">
        <v>0.11975273049098556</v>
      </c>
    </row>
    <row r="67" spans="67:68">
      <c r="BO67" s="6">
        <v>0.24800333508864303</v>
      </c>
      <c r="BP67" s="6">
        <v>-0.76450949706956328</v>
      </c>
    </row>
    <row r="68" spans="67:68">
      <c r="BO68" s="6">
        <v>8.254460894648763E-2</v>
      </c>
      <c r="BP68" s="6">
        <v>-0.22722526991713876</v>
      </c>
    </row>
    <row r="69" spans="67:68">
      <c r="BO69" s="6">
        <v>-0.11322245074368831</v>
      </c>
      <c r="BP69" s="6">
        <v>8.3230872106818676E-2</v>
      </c>
    </row>
    <row r="70" spans="67:68">
      <c r="BO70" s="6">
        <v>4.4653105133645843E-2</v>
      </c>
      <c r="BP70" s="6">
        <v>0.39292064207547672</v>
      </c>
    </row>
    <row r="71" spans="67:68">
      <c r="BO71" s="6">
        <v>-6.0643243912598011E-2</v>
      </c>
      <c r="BP71" s="6">
        <v>0.10342879185478604</v>
      </c>
    </row>
    <row r="72" spans="67:68">
      <c r="BO72" s="6">
        <v>-2.1233969600145786E-2</v>
      </c>
      <c r="BP72" s="6">
        <v>0.25436459957828883</v>
      </c>
    </row>
    <row r="73" spans="67:68">
      <c r="BO73" s="6">
        <v>-0.11357202070918004</v>
      </c>
      <c r="BP73" s="6">
        <v>0.45429423231280852</v>
      </c>
    </row>
    <row r="74" spans="67:68">
      <c r="BO74" s="6">
        <v>-0.16671932596103234</v>
      </c>
      <c r="BP74" s="6">
        <v>-0.17564325308182338</v>
      </c>
    </row>
    <row r="75" spans="67:68">
      <c r="BO75" s="6">
        <v>0.4693171224579793</v>
      </c>
      <c r="BP75" s="6">
        <v>-0.59030623067218913</v>
      </c>
    </row>
    <row r="76" spans="67:68">
      <c r="BO76" s="6">
        <v>-0.8028290347731738</v>
      </c>
      <c r="BP76" s="6">
        <v>3.2757568569949971</v>
      </c>
    </row>
    <row r="77" spans="67:68">
      <c r="BO77" s="6">
        <v>-0.81946132176136099</v>
      </c>
      <c r="BP77" s="6">
        <v>4.1925624294755437</v>
      </c>
    </row>
    <row r="78" spans="67:68">
      <c r="BO78" s="6">
        <v>-0.81660576812593355</v>
      </c>
      <c r="BP78" s="6">
        <v>1.4204449043603455</v>
      </c>
    </row>
    <row r="79" spans="67:68">
      <c r="BO79" s="6">
        <v>-0.45977417375001051</v>
      </c>
      <c r="BP79" s="6">
        <v>0.2539408572112698</v>
      </c>
    </row>
    <row r="80" spans="67:68">
      <c r="BO80" s="6">
        <v>-0.15677139415132335</v>
      </c>
      <c r="BP80" s="6">
        <v>0.35759816231866925</v>
      </c>
    </row>
    <row r="81" spans="67:68">
      <c r="BO81" s="6">
        <v>3.5802966832009897E-2</v>
      </c>
      <c r="BP81" s="6">
        <v>5.147481892642003E-2</v>
      </c>
    </row>
    <row r="82" spans="67:68">
      <c r="BO82" s="6">
        <v>0.17718255048168507</v>
      </c>
      <c r="BP82" s="6">
        <v>-0.38651218062982773</v>
      </c>
    </row>
    <row r="83" spans="67:68">
      <c r="BO83" s="6">
        <v>9.2517560366408347E-2</v>
      </c>
      <c r="BP83" s="6">
        <v>-0.2872238232468779</v>
      </c>
    </row>
    <row r="84" spans="67:68">
      <c r="BO84" s="6">
        <v>0.13958974861228346</v>
      </c>
      <c r="BP84" s="6">
        <v>-0.16407376722206879</v>
      </c>
    </row>
    <row r="85" spans="67:68">
      <c r="BO85" s="6">
        <v>0.22978283350568773</v>
      </c>
      <c r="BP85" s="6">
        <v>0.21430279991983614</v>
      </c>
    </row>
    <row r="86" spans="67:68">
      <c r="BO86" s="6">
        <v>-0.20117234110253768</v>
      </c>
      <c r="BP86" s="6">
        <v>-0.48740035513241908</v>
      </c>
    </row>
    <row r="87" spans="67:68">
      <c r="BO87" s="6">
        <v>0.61677352637021721</v>
      </c>
      <c r="BP87" s="6">
        <v>0.46004934771766859</v>
      </c>
    </row>
    <row r="88" spans="67:68">
      <c r="BO88" s="6">
        <v>0.58052577151254536</v>
      </c>
      <c r="BP88" s="6">
        <v>0.99296656545382822</v>
      </c>
    </row>
    <row r="89" spans="67:68">
      <c r="BO89" s="6">
        <v>-3.9016902512248874E-2</v>
      </c>
      <c r="BP89" s="6">
        <v>0.69701314217443255</v>
      </c>
    </row>
    <row r="90" spans="67:68">
      <c r="BO90" s="6">
        <v>-0.72945910948991588</v>
      </c>
      <c r="BP90" s="6">
        <v>0.7135108011458553</v>
      </c>
    </row>
    <row r="91" spans="67:68">
      <c r="BO91" s="6">
        <v>-0.72018420501384672</v>
      </c>
      <c r="BP91" s="6">
        <v>8.7078239470803176E-2</v>
      </c>
    </row>
    <row r="92" spans="67:68">
      <c r="BO92" s="6">
        <v>-0.56815895395214755</v>
      </c>
      <c r="BP92" s="6">
        <v>9.9581208712260949E-2</v>
      </c>
    </row>
    <row r="93" spans="67:68">
      <c r="BO93" s="6">
        <v>-0.46653162401920023</v>
      </c>
      <c r="BP93" s="6">
        <v>-0.77061704042909573</v>
      </c>
    </row>
    <row r="94" spans="67:68">
      <c r="BO94" s="6">
        <v>-0.47221129850209398</v>
      </c>
      <c r="BP94" s="6">
        <v>-0.78530189412918916</v>
      </c>
    </row>
    <row r="95" spans="67:68">
      <c r="BO95" s="6">
        <v>-0.21732642763168841</v>
      </c>
      <c r="BP95" s="6">
        <v>-0.55021832699469586</v>
      </c>
    </row>
    <row r="96" spans="67:68">
      <c r="BO96" s="6">
        <v>-0.41626176955036009</v>
      </c>
      <c r="BP96" s="6">
        <v>-2.1634758625385886E-2</v>
      </c>
    </row>
    <row r="97" spans="67:68">
      <c r="BO97" s="6">
        <v>-0.48641060941009318</v>
      </c>
      <c r="BP97" s="6">
        <v>1.1396854271794408</v>
      </c>
    </row>
    <row r="98" spans="67:68">
      <c r="BO98" s="6">
        <v>0.12935491583706815</v>
      </c>
      <c r="BP98" s="6">
        <v>0.28472530250349393</v>
      </c>
    </row>
    <row r="99" spans="67:68">
      <c r="BO99" s="6">
        <v>8.1785004228956737E-2</v>
      </c>
      <c r="BP99" s="6">
        <v>0.22851176360538239</v>
      </c>
    </row>
    <row r="100" spans="67:68">
      <c r="BO100" s="6">
        <v>2.9141160852570458E-2</v>
      </c>
      <c r="BP100" s="6">
        <v>0.27119936680903911</v>
      </c>
    </row>
    <row r="101" spans="67:68">
      <c r="BO101" s="6">
        <v>1.8215581873801012E-2</v>
      </c>
      <c r="BP101" s="6">
        <v>-0.65223414141546021</v>
      </c>
    </row>
    <row r="102" spans="67:68">
      <c r="BO102" s="6">
        <v>8.5555638303378423E-3</v>
      </c>
      <c r="BP102" s="6">
        <v>-0.65516601441989897</v>
      </c>
    </row>
    <row r="103" spans="67:68">
      <c r="BO103" s="6">
        <v>0.2088822429696191</v>
      </c>
      <c r="BP103" s="6">
        <v>-0.42573018447459654</v>
      </c>
    </row>
    <row r="104" spans="67:68">
      <c r="BO104" s="6">
        <v>-4.9801129959935242E-2</v>
      </c>
      <c r="BP104" s="6">
        <v>-0.42017312434259291</v>
      </c>
    </row>
    <row r="105" spans="67:68">
      <c r="BO105" s="6">
        <v>0.11975273049098556</v>
      </c>
      <c r="BP105" s="6">
        <v>2.3309661041416541</v>
      </c>
    </row>
    <row r="106" spans="67:68">
      <c r="BO106" s="6">
        <v>9.9122651542006279E-2</v>
      </c>
      <c r="BP106" s="6">
        <v>0.28472530250349393</v>
      </c>
    </row>
    <row r="107" spans="67:68">
      <c r="BO107" s="6">
        <v>0.10176282051282048</v>
      </c>
      <c r="BP107" s="6">
        <v>0.22851176360538239</v>
      </c>
    </row>
    <row r="108" spans="67:68">
      <c r="BO108" s="6">
        <v>7.537102343692581E-2</v>
      </c>
      <c r="BP108" s="6">
        <v>-0.79303503010399556</v>
      </c>
    </row>
    <row r="109" spans="67:68">
      <c r="BO109" s="6">
        <v>-5.8977455716585969E-2</v>
      </c>
      <c r="BP109" s="6">
        <v>-0.833081660448866</v>
      </c>
    </row>
    <row r="110" spans="67:68">
      <c r="BO110" s="6">
        <v>-8.3162600111752583E-2</v>
      </c>
      <c r="BP110" s="6">
        <v>-0.79843629859927123</v>
      </c>
    </row>
    <row r="111" spans="67:68">
      <c r="BO111" s="6">
        <v>0.52505446623093732</v>
      </c>
      <c r="BP111" s="6">
        <v>-0.77238581730769229</v>
      </c>
    </row>
    <row r="112" spans="67:68">
      <c r="BO112" s="6">
        <v>0.51566300738202564</v>
      </c>
      <c r="BP112" s="6">
        <v>-0.115141683906965</v>
      </c>
    </row>
    <row r="113" spans="67:68">
      <c r="BO113" s="6">
        <v>0.39309240035883652</v>
      </c>
      <c r="BP113" s="6">
        <v>0.26511400276370312</v>
      </c>
    </row>
    <row r="114" spans="67:68">
      <c r="BO114" s="6">
        <v>0.21794604366569303</v>
      </c>
      <c r="BP114" s="6">
        <v>0.16228305121062814</v>
      </c>
    </row>
    <row r="115" spans="67:68">
      <c r="BO115" s="6">
        <v>8.7303527673191716E-2</v>
      </c>
      <c r="BP115" s="6">
        <v>-0.20649060294836863</v>
      </c>
    </row>
    <row r="116" spans="67:68">
      <c r="BO116" s="6">
        <v>-7.9043500582508863E-2</v>
      </c>
      <c r="BP116" s="6">
        <v>-0.59411104509143731</v>
      </c>
    </row>
    <row r="117" spans="67:68">
      <c r="BO117" s="6">
        <v>0.32555118110236259</v>
      </c>
      <c r="BP117" s="6">
        <v>-0.7238798901202993</v>
      </c>
    </row>
    <row r="118" spans="67:68">
      <c r="BO118" s="6">
        <v>0.30747086614173269</v>
      </c>
      <c r="BP118" s="6">
        <v>-0.71400539612460134</v>
      </c>
    </row>
    <row r="119" spans="67:68">
      <c r="BO119" s="6">
        <v>0.44422202506376918</v>
      </c>
      <c r="BP119" s="6">
        <v>0.52466664385358586</v>
      </c>
    </row>
    <row r="120" spans="67:68">
      <c r="BO120" s="6">
        <v>0.30065296715959322</v>
      </c>
      <c r="BP120" s="6">
        <v>0.94834670858498127</v>
      </c>
    </row>
    <row r="121" spans="67:68">
      <c r="BO121" s="6">
        <v>7.7354804333669147E-2</v>
      </c>
      <c r="BP121" s="6">
        <v>0.98960951902128413</v>
      </c>
    </row>
    <row r="122" spans="67:68">
      <c r="BO122" s="6">
        <v>0.95007812739360964</v>
      </c>
      <c r="BP122" s="6">
        <v>1.4998489257828029</v>
      </c>
    </row>
    <row r="123" spans="67:68">
      <c r="BO123" s="6">
        <v>0.99005354330708717</v>
      </c>
      <c r="BP123" s="6">
        <v>0.85081738530744055</v>
      </c>
    </row>
    <row r="124" spans="67:68">
      <c r="BO124" s="6">
        <v>-0.14985446858053209</v>
      </c>
      <c r="BP124" s="6">
        <v>0.11128107665446008</v>
      </c>
    </row>
    <row r="125" spans="67:68">
      <c r="BO125" s="6">
        <v>0.26292222610554883</v>
      </c>
      <c r="BP125" s="6">
        <v>-0.32714704537507733</v>
      </c>
    </row>
    <row r="126" spans="67:68">
      <c r="BO126" s="6">
        <v>0.93310653241515595</v>
      </c>
    </row>
    <row r="127" spans="67:68">
      <c r="BO127" s="6">
        <v>-8.5826771653543243E-2</v>
      </c>
    </row>
    <row r="128" spans="67:68">
      <c r="BO128" s="6">
        <v>-0.10157901385321499</v>
      </c>
    </row>
    <row r="129" spans="67:67">
      <c r="BO129" s="6">
        <v>0.25860566448801747</v>
      </c>
    </row>
    <row r="130" spans="67:67">
      <c r="BO130" s="6">
        <v>0.27560770589950789</v>
      </c>
    </row>
    <row r="131" spans="67:67">
      <c r="BO131" s="6">
        <v>0.86726346396751586</v>
      </c>
    </row>
    <row r="132" spans="67:67">
      <c r="BO132" s="6">
        <v>0.84155132641291841</v>
      </c>
    </row>
    <row r="133" spans="67:67">
      <c r="BO133" s="6">
        <v>0.82037385931043039</v>
      </c>
    </row>
    <row r="134" spans="67:67">
      <c r="BO134" s="6">
        <v>2.3376176044595374</v>
      </c>
    </row>
    <row r="135" spans="67:67">
      <c r="BO135" s="6">
        <v>0.33241774909682587</v>
      </c>
    </row>
    <row r="136" spans="67:67">
      <c r="BO136" s="6">
        <v>0.26152715436911067</v>
      </c>
    </row>
    <row r="137" spans="67:67">
      <c r="BO137" s="6">
        <v>0.44191894557712574</v>
      </c>
    </row>
    <row r="138" spans="67:67">
      <c r="BO138" s="6">
        <v>-4.8020838327180848E-2</v>
      </c>
    </row>
    <row r="139" spans="67:67">
      <c r="BO139" s="6">
        <v>1.5529858667113539E-2</v>
      </c>
    </row>
    <row r="140" spans="67:67">
      <c r="BO140" s="6">
        <v>0.29866541992519546</v>
      </c>
    </row>
    <row r="141" spans="67:67">
      <c r="BO141" s="6">
        <v>0.49963857107324938</v>
      </c>
    </row>
    <row r="142" spans="67:67">
      <c r="BO142" s="6">
        <v>0.34354968658143581</v>
      </c>
    </row>
    <row r="143" spans="67:67">
      <c r="BO143" s="6">
        <v>0.77729500891265557</v>
      </c>
    </row>
    <row r="144" spans="67:67">
      <c r="BO144" s="6">
        <v>1.5020241771484519</v>
      </c>
    </row>
    <row r="145" spans="67:67">
      <c r="BO145" s="6">
        <v>0.27174676236542372</v>
      </c>
    </row>
    <row r="146" spans="67:67">
      <c r="BO146" s="6">
        <v>0.33196550574904182</v>
      </c>
    </row>
    <row r="147" spans="67:67">
      <c r="BO147" s="6">
        <v>0.85470196947958788</v>
      </c>
    </row>
    <row r="148" spans="67:67">
      <c r="BO148" s="6">
        <v>-1.0678391959799138E-2</v>
      </c>
    </row>
    <row r="149" spans="67:67">
      <c r="BO149" s="6">
        <v>6.1229946524063994E-2</v>
      </c>
    </row>
    <row r="150" spans="67:67">
      <c r="BO150" s="6">
        <v>1.3977300992160435E-2</v>
      </c>
    </row>
    <row r="151" spans="67:67">
      <c r="BO151" s="6">
        <v>-3.1155757833232434E-2</v>
      </c>
    </row>
    <row r="152" spans="67:67">
      <c r="BO152" s="6">
        <v>1.2267805698880849</v>
      </c>
    </row>
    <row r="153" spans="67:67">
      <c r="BO153" s="6">
        <v>2.0020796175550433</v>
      </c>
    </row>
    <row r="154" spans="67:67">
      <c r="BO154" s="6">
        <v>4.1260255548083418</v>
      </c>
    </row>
    <row r="155" spans="67:67">
      <c r="BO155" s="6">
        <v>1.0389264032574554</v>
      </c>
    </row>
    <row r="156" spans="67:67">
      <c r="BO156" s="6">
        <v>1.4071585778041733</v>
      </c>
    </row>
    <row r="157" spans="67:67">
      <c r="BO157" s="6">
        <v>0.26191028320982213</v>
      </c>
    </row>
    <row r="158" spans="67:67">
      <c r="BO158" s="6">
        <v>0.14411217977185986</v>
      </c>
    </row>
    <row r="159" spans="67:67">
      <c r="BO159" s="6">
        <v>-0.76450949706956328</v>
      </c>
    </row>
    <row r="160" spans="67:67">
      <c r="BO160" s="6">
        <v>-0.22722526991713876</v>
      </c>
    </row>
    <row r="161" spans="67:67">
      <c r="BO161" s="6">
        <v>8.3230872106818676E-2</v>
      </c>
    </row>
    <row r="162" spans="67:67">
      <c r="BO162" s="6">
        <v>0.39292064207547672</v>
      </c>
    </row>
    <row r="163" spans="67:67">
      <c r="BO163" s="6">
        <v>0.10342879185478604</v>
      </c>
    </row>
    <row r="164" spans="67:67">
      <c r="BO164" s="6">
        <v>0.25436459957828883</v>
      </c>
    </row>
    <row r="165" spans="67:67">
      <c r="BO165" s="6">
        <v>0.45429423231280852</v>
      </c>
    </row>
    <row r="166" spans="67:67">
      <c r="BO166" s="6">
        <v>-0.17564325308182338</v>
      </c>
    </row>
    <row r="167" spans="67:67">
      <c r="BO167" s="6">
        <v>-0.59030623067218913</v>
      </c>
    </row>
    <row r="168" spans="67:67">
      <c r="BO168" s="6">
        <v>3.2757568569949971</v>
      </c>
    </row>
    <row r="169" spans="67:67">
      <c r="BO169" s="6">
        <v>4.1925624294755437</v>
      </c>
    </row>
    <row r="170" spans="67:67">
      <c r="BO170" s="6">
        <v>1.4204449043603455</v>
      </c>
    </row>
    <row r="171" spans="67:67">
      <c r="BO171" s="6">
        <v>0.2539408572112698</v>
      </c>
    </row>
    <row r="172" spans="67:67">
      <c r="BO172" s="6">
        <v>0.35759816231866925</v>
      </c>
    </row>
    <row r="173" spans="67:67">
      <c r="BO173" s="6">
        <v>5.147481892642003E-2</v>
      </c>
    </row>
    <row r="174" spans="67:67">
      <c r="BO174" s="6">
        <v>-0.38651218062982773</v>
      </c>
    </row>
    <row r="175" spans="67:67">
      <c r="BO175" s="6">
        <v>-0.2872238232468779</v>
      </c>
    </row>
    <row r="176" spans="67:67">
      <c r="BO176" s="6">
        <v>-0.16407376722206879</v>
      </c>
    </row>
    <row r="177" spans="67:67">
      <c r="BO177" s="6">
        <v>0.21430279991983614</v>
      </c>
    </row>
    <row r="178" spans="67:67">
      <c r="BO178" s="6">
        <v>-0.48740035513241908</v>
      </c>
    </row>
    <row r="179" spans="67:67">
      <c r="BO179" s="6">
        <v>0.46004934771766859</v>
      </c>
    </row>
    <row r="180" spans="67:67">
      <c r="BO180" s="6">
        <v>0.99296656545382822</v>
      </c>
    </row>
    <row r="181" spans="67:67">
      <c r="BO181" s="6">
        <v>0.69701314217443255</v>
      </c>
    </row>
    <row r="182" spans="67:67">
      <c r="BO182" s="6">
        <v>0.7135108011458553</v>
      </c>
    </row>
    <row r="183" spans="67:67">
      <c r="BO183" s="6">
        <v>8.7078239470803176E-2</v>
      </c>
    </row>
    <row r="184" spans="67:67">
      <c r="BO184" s="6">
        <v>9.9581208712260949E-2</v>
      </c>
    </row>
    <row r="185" spans="67:67">
      <c r="BO185" s="6">
        <v>-0.77061704042909573</v>
      </c>
    </row>
    <row r="186" spans="67:67">
      <c r="BO186" s="6">
        <v>-0.78530189412918916</v>
      </c>
    </row>
    <row r="187" spans="67:67">
      <c r="BO187" s="6">
        <v>-0.55021832699469586</v>
      </c>
    </row>
    <row r="188" spans="67:67">
      <c r="BO188" s="6">
        <v>-2.1634758625385886E-2</v>
      </c>
    </row>
    <row r="189" spans="67:67">
      <c r="BO189" s="6">
        <v>1.1396854271794408</v>
      </c>
    </row>
    <row r="190" spans="67:67">
      <c r="BO190" s="6">
        <v>0.28472530250349393</v>
      </c>
    </row>
    <row r="191" spans="67:67">
      <c r="BO191" s="6">
        <v>0.22851176360538239</v>
      </c>
    </row>
    <row r="192" spans="67:67">
      <c r="BO192" s="6">
        <v>0.27119936680903911</v>
      </c>
    </row>
    <row r="193" spans="67:67">
      <c r="BO193" s="6">
        <v>-0.65223414141546021</v>
      </c>
    </row>
    <row r="194" spans="67:67">
      <c r="BO194" s="6">
        <v>-0.65516601441989897</v>
      </c>
    </row>
    <row r="195" spans="67:67">
      <c r="BO195" s="6">
        <v>-0.42573018447459654</v>
      </c>
    </row>
    <row r="196" spans="67:67">
      <c r="BO196" s="6">
        <v>-0.42017312434259291</v>
      </c>
    </row>
    <row r="197" spans="67:67">
      <c r="BO197" s="6">
        <v>2.3309661041416541</v>
      </c>
    </row>
    <row r="198" spans="67:67">
      <c r="BO198" s="6">
        <v>0.28472530250349393</v>
      </c>
    </row>
    <row r="199" spans="67:67">
      <c r="BO199" s="6">
        <v>0.22851176360538239</v>
      </c>
    </row>
    <row r="200" spans="67:67">
      <c r="BO200" s="6">
        <v>-0.79303503010399556</v>
      </c>
    </row>
    <row r="201" spans="67:67">
      <c r="BO201" s="6">
        <v>-0.833081660448866</v>
      </c>
    </row>
    <row r="202" spans="67:67">
      <c r="BO202" s="6">
        <v>-0.79843629859927123</v>
      </c>
    </row>
    <row r="203" spans="67:67">
      <c r="BO203" s="6">
        <v>-0.77238581730769229</v>
      </c>
    </row>
    <row r="204" spans="67:67">
      <c r="BO204" s="6">
        <v>-0.115141683906965</v>
      </c>
    </row>
    <row r="205" spans="67:67">
      <c r="BO205" s="6">
        <v>0.26511400276370312</v>
      </c>
    </row>
    <row r="206" spans="67:67">
      <c r="BO206" s="6">
        <v>0.16228305121062814</v>
      </c>
    </row>
    <row r="207" spans="67:67">
      <c r="BO207" s="6">
        <v>-0.20649060294836863</v>
      </c>
    </row>
    <row r="208" spans="67:67">
      <c r="BO208" s="6">
        <v>-0.59411104509143731</v>
      </c>
    </row>
    <row r="209" spans="67:67">
      <c r="BO209" s="6">
        <v>-0.7238798901202993</v>
      </c>
    </row>
    <row r="210" spans="67:67">
      <c r="BO210" s="6">
        <v>-0.71400539612460134</v>
      </c>
    </row>
    <row r="211" spans="67:67">
      <c r="BO211" s="6">
        <v>0.52466664385358586</v>
      </c>
    </row>
    <row r="212" spans="67:67">
      <c r="BO212" s="6">
        <v>0.94834670858498127</v>
      </c>
    </row>
    <row r="213" spans="67:67">
      <c r="BO213" s="6">
        <v>0.98960951902128413</v>
      </c>
    </row>
    <row r="214" spans="67:67">
      <c r="BO214" s="6">
        <v>1.4998489257828029</v>
      </c>
    </row>
    <row r="215" spans="67:67">
      <c r="BO215" s="6">
        <v>0.85081738530744055</v>
      </c>
    </row>
    <row r="216" spans="67:67">
      <c r="BO216" s="6">
        <v>0.11128107665446008</v>
      </c>
    </row>
    <row r="217" spans="67:67">
      <c r="BO217" s="6">
        <v>-0.32714704537507733</v>
      </c>
    </row>
  </sheetData>
  <mergeCells count="33">
    <mergeCell ref="BK1:BL1"/>
    <mergeCell ref="BM1:BN1"/>
    <mergeCell ref="AU1:AV1"/>
    <mergeCell ref="AY1:AZ1"/>
    <mergeCell ref="BA1:BB1"/>
    <mergeCell ref="BC1:BD1"/>
    <mergeCell ref="BG1:BH1"/>
    <mergeCell ref="BI1:BJ1"/>
    <mergeCell ref="BE1:BF1"/>
    <mergeCell ref="AW1:AX1"/>
    <mergeCell ref="AS1:AT1"/>
    <mergeCell ref="AG1:AH1"/>
    <mergeCell ref="W1:X1"/>
    <mergeCell ref="Y1:Z1"/>
    <mergeCell ref="AA1:AB1"/>
    <mergeCell ref="AC1:AD1"/>
    <mergeCell ref="AE1:AF1"/>
    <mergeCell ref="AK1:AL1"/>
    <mergeCell ref="AM1:AN1"/>
    <mergeCell ref="AO1:AP1"/>
    <mergeCell ref="AQ1:AR1"/>
    <mergeCell ref="AI1:AJ1"/>
    <mergeCell ref="K1:L1"/>
    <mergeCell ref="M1:N1"/>
    <mergeCell ref="Q1:R1"/>
    <mergeCell ref="S1:T1"/>
    <mergeCell ref="U1:V1"/>
    <mergeCell ref="O1:P1"/>
    <mergeCell ref="A1:B1"/>
    <mergeCell ref="C1:D1"/>
    <mergeCell ref="E1:F1"/>
    <mergeCell ref="G1:H1"/>
    <mergeCell ref="I1:J1"/>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1"/>
  <sheetViews>
    <sheetView zoomScale="70" zoomScaleNormal="70" workbookViewId="0">
      <selection activeCell="W21" sqref="W21"/>
    </sheetView>
  </sheetViews>
  <sheetFormatPr defaultRowHeight="14.5"/>
  <cols>
    <col min="1" max="1" width="18.08984375" style="6" customWidth="1"/>
    <col min="2" max="2" width="19.81640625" style="6" customWidth="1"/>
    <col min="3" max="3" width="10.7265625" style="6" customWidth="1"/>
    <col min="4" max="4" width="7.26953125" style="6" customWidth="1"/>
    <col min="5" max="22" width="8.7265625" style="6"/>
    <col min="23" max="23" width="13.26953125" style="6" customWidth="1"/>
    <col min="24" max="25" width="12.54296875" style="6" customWidth="1"/>
    <col min="26" max="26" width="17.90625" style="6" customWidth="1"/>
    <col min="27" max="28" width="20" style="6" customWidth="1"/>
    <col min="29" max="30" width="11.90625" style="6" customWidth="1"/>
    <col min="31" max="31" width="13.81640625" style="6" customWidth="1"/>
    <col min="32" max="32" width="18.36328125" style="6" customWidth="1"/>
    <col min="33" max="37" width="8.7265625" style="6"/>
    <col min="38" max="38" width="11" style="6" customWidth="1"/>
    <col min="39" max="39" width="12.36328125" style="6" customWidth="1"/>
    <col min="40" max="40" width="15.26953125" style="6" customWidth="1"/>
    <col min="41" max="16384" width="8.7265625" style="6"/>
  </cols>
  <sheetData>
    <row r="1" spans="1:40">
      <c r="A1" s="81" t="s">
        <v>180</v>
      </c>
      <c r="B1" s="81"/>
      <c r="C1" s="81"/>
      <c r="D1" s="81"/>
      <c r="E1" s="81"/>
      <c r="F1" s="81"/>
      <c r="G1" s="81"/>
      <c r="H1" s="81"/>
      <c r="I1" s="81"/>
      <c r="J1" s="81"/>
      <c r="K1" s="81"/>
      <c r="L1" s="81"/>
      <c r="M1" s="81"/>
      <c r="N1" s="81"/>
      <c r="O1" s="81"/>
      <c r="P1" s="81"/>
      <c r="Q1" s="81"/>
      <c r="R1" s="81"/>
      <c r="S1" s="81"/>
      <c r="T1" s="87"/>
    </row>
    <row r="2" spans="1:40">
      <c r="A2" s="1" t="s">
        <v>197</v>
      </c>
      <c r="B2" s="1" t="s">
        <v>196</v>
      </c>
      <c r="C2" s="1" t="s">
        <v>20</v>
      </c>
      <c r="D2" s="1" t="s">
        <v>1</v>
      </c>
      <c r="E2" s="1" t="s">
        <v>2</v>
      </c>
      <c r="F2" s="1" t="s">
        <v>3</v>
      </c>
      <c r="G2" s="1" t="s">
        <v>48</v>
      </c>
      <c r="H2" s="1" t="s">
        <v>49</v>
      </c>
      <c r="I2" s="1" t="s">
        <v>50</v>
      </c>
      <c r="J2" s="1" t="s">
        <v>4</v>
      </c>
      <c r="K2" s="1" t="s">
        <v>5</v>
      </c>
      <c r="L2" s="1" t="s">
        <v>6</v>
      </c>
      <c r="M2" s="1" t="s">
        <v>45</v>
      </c>
      <c r="N2" s="1" t="s">
        <v>46</v>
      </c>
      <c r="O2" s="1" t="s">
        <v>47</v>
      </c>
      <c r="P2" s="1" t="s">
        <v>51</v>
      </c>
      <c r="Q2" s="1" t="s">
        <v>52</v>
      </c>
      <c r="R2" s="1" t="s">
        <v>110</v>
      </c>
      <c r="S2" s="1" t="s">
        <v>109</v>
      </c>
      <c r="T2" s="1" t="s">
        <v>378</v>
      </c>
      <c r="U2" s="1" t="s">
        <v>120</v>
      </c>
      <c r="V2" s="1" t="s">
        <v>109</v>
      </c>
      <c r="W2" s="1" t="s">
        <v>7</v>
      </c>
      <c r="X2" s="1" t="s">
        <v>8</v>
      </c>
      <c r="Y2" s="1" t="s">
        <v>9</v>
      </c>
      <c r="Z2" s="1" t="s">
        <v>10</v>
      </c>
      <c r="AA2" s="1" t="s">
        <v>11</v>
      </c>
      <c r="AB2" s="1" t="s">
        <v>12</v>
      </c>
      <c r="AC2" s="1" t="s">
        <v>13</v>
      </c>
      <c r="AD2" s="1" t="s">
        <v>14</v>
      </c>
      <c r="AE2" s="1" t="s">
        <v>15</v>
      </c>
      <c r="AF2" s="1" t="s">
        <v>460</v>
      </c>
      <c r="AG2" s="1" t="s">
        <v>16</v>
      </c>
      <c r="AH2" s="1" t="s">
        <v>17</v>
      </c>
      <c r="AI2" s="1" t="s">
        <v>107</v>
      </c>
      <c r="AJ2" s="1" t="s">
        <v>134</v>
      </c>
      <c r="AK2" s="1" t="s">
        <v>459</v>
      </c>
      <c r="AL2" s="1" t="s">
        <v>461</v>
      </c>
      <c r="AM2" s="1" t="s">
        <v>462</v>
      </c>
      <c r="AN2" s="1" t="s">
        <v>465</v>
      </c>
    </row>
    <row r="3" spans="1:40">
      <c r="A3" s="6" t="s">
        <v>305</v>
      </c>
      <c r="B3" s="6" t="s">
        <v>216</v>
      </c>
      <c r="C3" s="6">
        <v>5</v>
      </c>
      <c r="D3" s="6">
        <v>12.13</v>
      </c>
      <c r="E3" s="6">
        <v>0.94</v>
      </c>
      <c r="F3" s="6">
        <v>0.64</v>
      </c>
      <c r="G3" s="6">
        <v>0.25</v>
      </c>
      <c r="H3" s="6">
        <v>5.17</v>
      </c>
      <c r="I3" s="6">
        <v>0.1</v>
      </c>
      <c r="J3" s="6">
        <f t="shared" ref="J3:J9" si="0">D3*26.98/101.96</f>
        <v>3.2097626520204003</v>
      </c>
      <c r="K3" s="6">
        <f t="shared" ref="K3:K9" si="1">E3*24.305/40.3044</f>
        <v>0.56685374301565083</v>
      </c>
      <c r="L3" s="6">
        <f t="shared" ref="L3:L9" si="2">F3*47.867/79.866</f>
        <v>0.38357849397741217</v>
      </c>
      <c r="M3" s="6">
        <f t="shared" ref="M3:M9" si="3">G3*40.078/56.0774</f>
        <v>0.17867269167258112</v>
      </c>
      <c r="N3" s="6">
        <f t="shared" ref="N3:N9" si="4">H3*39.0983/94.2</f>
        <v>2.1458408811040339</v>
      </c>
      <c r="O3" s="6">
        <f t="shared" ref="O3:O9" si="5">I3*22.989769/61.9789</f>
        <v>3.7092896130779991E-2</v>
      </c>
      <c r="P3" s="6">
        <f t="shared" ref="P3:P8" si="6">100*(J3/(J3+M3+N3+O3))</f>
        <v>57.611739275423943</v>
      </c>
      <c r="Q3" s="6">
        <f t="shared" ref="Q3:Q8" si="7">100*(J3/(J3+M3+O3))</f>
        <v>93.701246269262626</v>
      </c>
      <c r="R3" s="6">
        <v>465</v>
      </c>
      <c r="S3" s="6">
        <v>21.27</v>
      </c>
      <c r="T3" s="6">
        <v>154.82</v>
      </c>
      <c r="U3" s="6">
        <f>R3/10000</f>
        <v>4.65E-2</v>
      </c>
      <c r="V3" s="6">
        <f>S3/10000</f>
        <v>2.127E-3</v>
      </c>
      <c r="W3" s="6">
        <f>(J3/J9-1)*100</f>
        <v>36.292134831460658</v>
      </c>
      <c r="X3" s="6">
        <f>(K3/K9-1)*100</f>
        <v>-51.794871794871788</v>
      </c>
      <c r="Y3" s="6">
        <f>(L3/L9-1)*100</f>
        <v>28.000000000000025</v>
      </c>
      <c r="Z3" s="6">
        <f t="shared" ref="Z3:Z8" si="8">X3/-0.13</f>
        <v>398.42209072978295</v>
      </c>
      <c r="AA3" s="6">
        <f t="shared" ref="AA3:AA8" si="9">Z3*0.0018</f>
        <v>0.71715976331360931</v>
      </c>
      <c r="AB3" s="6">
        <f t="shared" ref="AB3:AB8" si="10">Z3*0.00015</f>
        <v>5.976331360946744E-2</v>
      </c>
      <c r="AC3" s="6">
        <f>J9*(100-AA3)/100</f>
        <v>2.3381712596423712</v>
      </c>
      <c r="AD3" s="6">
        <f>L9*(100-AB3)/100</f>
        <v>0.2994916052805609</v>
      </c>
      <c r="AE3" s="6">
        <f t="shared" ref="AE3:AE8" si="11">AC3/AD3</f>
        <v>7.8071345520753228</v>
      </c>
      <c r="AF3" s="6">
        <f>AE3/AG9-1</f>
        <v>-6.5778956654567455E-3</v>
      </c>
      <c r="AG3" s="6">
        <f t="shared" ref="AG3:AG9" si="12">J3/L3</f>
        <v>8.3679421615577176</v>
      </c>
      <c r="AH3" s="6">
        <f t="shared" ref="AH3:AH9" si="13">K3/L3</f>
        <v>1.4778037661543955</v>
      </c>
      <c r="AI3" s="6">
        <f t="shared" ref="AI3:AI9" si="14">M3/L3</f>
        <v>0.46580476871860976</v>
      </c>
      <c r="AJ3" s="6">
        <f t="shared" ref="AJ3:AJ9" si="15">U3/L3</f>
        <v>0.12122681727494934</v>
      </c>
      <c r="AK3" s="6">
        <f>AG3/AG9-1</f>
        <v>6.4782303370786387E-2</v>
      </c>
      <c r="AL3" s="6">
        <f t="shared" ref="AL3:AM8" si="16">AH3/1.024036-1</f>
        <v>0.44311700580291657</v>
      </c>
      <c r="AM3" s="6">
        <f t="shared" si="16"/>
        <v>-0.54512852212362672</v>
      </c>
      <c r="AN3" s="6">
        <f>AJ3/AJ9-1</f>
        <v>6.2225877192982226E-2</v>
      </c>
    </row>
    <row r="4" spans="1:40">
      <c r="A4" s="6" t="s">
        <v>306</v>
      </c>
      <c r="B4" s="6" t="s">
        <v>216</v>
      </c>
      <c r="C4" s="6">
        <v>5</v>
      </c>
      <c r="D4" s="6">
        <v>13.45</v>
      </c>
      <c r="E4" s="6">
        <v>0.72</v>
      </c>
      <c r="F4" s="6">
        <v>0.77</v>
      </c>
      <c r="G4" s="6">
        <v>0.06</v>
      </c>
      <c r="H4" s="6">
        <v>5.42</v>
      </c>
      <c r="I4" s="6">
        <v>0.09</v>
      </c>
      <c r="J4" s="6">
        <f t="shared" si="0"/>
        <v>3.5590525696351509</v>
      </c>
      <c r="K4" s="6">
        <f t="shared" si="1"/>
        <v>0.4341858457141155</v>
      </c>
      <c r="L4" s="6">
        <f t="shared" si="2"/>
        <v>0.46149287556657403</v>
      </c>
      <c r="M4" s="6">
        <f t="shared" si="3"/>
        <v>4.2881446001419465E-2</v>
      </c>
      <c r="N4" s="6">
        <f t="shared" si="4"/>
        <v>2.2496049469214436</v>
      </c>
      <c r="O4" s="6">
        <f t="shared" si="5"/>
        <v>3.3383606517701989E-2</v>
      </c>
      <c r="P4" s="6">
        <f t="shared" si="6"/>
        <v>60.477474900644864</v>
      </c>
      <c r="Q4" s="6">
        <f t="shared" si="7"/>
        <v>97.902107588774399</v>
      </c>
      <c r="R4" s="6">
        <v>408</v>
      </c>
      <c r="S4" s="6">
        <v>21.43</v>
      </c>
      <c r="T4" s="6">
        <v>144.36000000000001</v>
      </c>
      <c r="U4" s="6">
        <f t="shared" ref="U4:U9" si="17">R4/10000</f>
        <v>4.0800000000000003E-2</v>
      </c>
      <c r="V4" s="6">
        <f t="shared" ref="V4:V9" si="18">S4/10000</f>
        <v>2.1429999999999999E-3</v>
      </c>
      <c r="W4" s="6">
        <f>(J4/J9-1)*100</f>
        <v>51.123595505617935</v>
      </c>
      <c r="X4" s="6">
        <f>(K4/K9-1)*100</f>
        <v>-63.076923076923073</v>
      </c>
      <c r="Y4" s="6">
        <f>(L4/L9-1)*100</f>
        <v>54.000000000000028</v>
      </c>
      <c r="Z4" s="6">
        <f t="shared" si="8"/>
        <v>485.20710059171591</v>
      </c>
      <c r="AA4" s="6">
        <f t="shared" si="9"/>
        <v>0.87337278106508864</v>
      </c>
      <c r="AB4" s="6">
        <f t="shared" si="10"/>
        <v>7.2781065088757382E-2</v>
      </c>
      <c r="AC4" s="6">
        <f>J9*(100-AA4)/100</f>
        <v>2.3344923480840616</v>
      </c>
      <c r="AD4" s="6">
        <f>L9*(100-AB4)/100</f>
        <v>0.29945259489378434</v>
      </c>
      <c r="AE4" s="6">
        <f t="shared" si="11"/>
        <v>7.7958661500732847</v>
      </c>
      <c r="AF4" s="6">
        <f>AE4/AG9-1</f>
        <v>-8.0117481954322667E-3</v>
      </c>
      <c r="AG4" s="6">
        <f t="shared" si="12"/>
        <v>7.7120422829186861</v>
      </c>
      <c r="AH4" s="6">
        <f t="shared" si="13"/>
        <v>0.9408289243491923</v>
      </c>
      <c r="AI4" s="6">
        <f t="shared" si="14"/>
        <v>9.2918977240491488E-2</v>
      </c>
      <c r="AJ4" s="6">
        <f t="shared" si="15"/>
        <v>8.8408732095614506E-2</v>
      </c>
      <c r="AK4" s="6">
        <f>AG4/AG9-1</f>
        <v>-1.8677951262221271E-2</v>
      </c>
      <c r="AL4" s="6">
        <f t="shared" si="16"/>
        <v>-8.1254053227433065E-2</v>
      </c>
      <c r="AM4" s="6">
        <f t="shared" si="16"/>
        <v>-0.90926200129634949</v>
      </c>
      <c r="AN4" s="6">
        <f>AJ4/AJ9-1</f>
        <v>-0.22533606744133072</v>
      </c>
    </row>
    <row r="5" spans="1:40">
      <c r="A5" t="s">
        <v>307</v>
      </c>
      <c r="B5" s="6" t="s">
        <v>216</v>
      </c>
      <c r="C5" s="6">
        <v>10.5</v>
      </c>
      <c r="D5" s="6">
        <v>12.35</v>
      </c>
      <c r="E5" s="6">
        <v>0.53</v>
      </c>
      <c r="F5" s="6">
        <v>0.69</v>
      </c>
      <c r="G5" s="6">
        <v>0.15</v>
      </c>
      <c r="H5" s="6">
        <v>4.83</v>
      </c>
      <c r="I5" s="6">
        <v>0.11</v>
      </c>
      <c r="J5" s="6">
        <f t="shared" si="0"/>
        <v>3.2679776382895254</v>
      </c>
      <c r="K5" s="6">
        <f t="shared" si="1"/>
        <v>0.31960902531733509</v>
      </c>
      <c r="L5" s="6">
        <f t="shared" si="2"/>
        <v>0.41354556381939739</v>
      </c>
      <c r="M5" s="6">
        <f t="shared" si="3"/>
        <v>0.10720361500354868</v>
      </c>
      <c r="N5" s="6">
        <f t="shared" si="4"/>
        <v>2.0047217515923568</v>
      </c>
      <c r="O5" s="6">
        <f t="shared" si="5"/>
        <v>4.0802185743857987E-2</v>
      </c>
      <c r="P5" s="6">
        <f t="shared" si="6"/>
        <v>60.286946501699454</v>
      </c>
      <c r="Q5" s="6">
        <f t="shared" si="7"/>
        <v>95.667256490296865</v>
      </c>
      <c r="R5" s="6">
        <v>447</v>
      </c>
      <c r="S5" s="6">
        <v>26.88</v>
      </c>
      <c r="T5" s="6">
        <v>152.18</v>
      </c>
      <c r="U5" s="6">
        <f t="shared" si="17"/>
        <v>4.4699999999999997E-2</v>
      </c>
      <c r="V5" s="6">
        <f t="shared" si="18"/>
        <v>2.6879999999999999E-3</v>
      </c>
      <c r="W5" s="6">
        <f>(J5/J9-1)*100</f>
        <v>38.764044943820195</v>
      </c>
      <c r="X5" s="6">
        <f>(K5/K9-1)*100</f>
        <v>-72.820512820512818</v>
      </c>
      <c r="Y5" s="6">
        <f>(L5/L9-1)*100</f>
        <v>37.999999999999986</v>
      </c>
      <c r="Z5" s="6">
        <f t="shared" si="8"/>
        <v>560.15779092702167</v>
      </c>
      <c r="AA5" s="6">
        <f t="shared" si="9"/>
        <v>1.008284023668639</v>
      </c>
      <c r="AB5" s="6">
        <f t="shared" si="10"/>
        <v>8.4023668639053237E-2</v>
      </c>
      <c r="AC5" s="6">
        <f>J9*(100-AA5)/100</f>
        <v>2.3313151062837041</v>
      </c>
      <c r="AD5" s="6">
        <f>L9*(100-AB5)/100</f>
        <v>0.29941890410520461</v>
      </c>
      <c r="AE5" s="6">
        <f t="shared" si="11"/>
        <v>7.7861319853891624</v>
      </c>
      <c r="AF5" s="6">
        <f>AE5/AG9-1</f>
        <v>-9.2503760556206238E-3</v>
      </c>
      <c r="AG5" s="6">
        <f t="shared" si="12"/>
        <v>7.9023399697662056</v>
      </c>
      <c r="AH5" s="6">
        <f t="shared" si="13"/>
        <v>0.77285081325866667</v>
      </c>
      <c r="AI5" s="6">
        <f t="shared" si="14"/>
        <v>0.25923047998253074</v>
      </c>
      <c r="AJ5" s="6">
        <f t="shared" si="15"/>
        <v>0.10808966148049716</v>
      </c>
      <c r="AK5" s="6">
        <f>AG5/AG9-1</f>
        <v>5.5365575639145792E-3</v>
      </c>
      <c r="AL5" s="6">
        <f t="shared" si="16"/>
        <v>-0.24528941047124642</v>
      </c>
      <c r="AM5" s="6">
        <f t="shared" si="16"/>
        <v>-0.74685413405140955</v>
      </c>
      <c r="AN5" s="6">
        <f>AJ5/AJ9-1</f>
        <v>-5.2885837782862932E-2</v>
      </c>
    </row>
    <row r="6" spans="1:40">
      <c r="A6" s="6" t="s">
        <v>308</v>
      </c>
      <c r="B6" s="6" t="s">
        <v>216</v>
      </c>
      <c r="C6" s="6">
        <v>12.5</v>
      </c>
      <c r="D6" s="6">
        <v>15.95</v>
      </c>
      <c r="E6" s="6">
        <v>1.06</v>
      </c>
      <c r="F6" s="6">
        <v>0.86</v>
      </c>
      <c r="G6" s="6">
        <v>0.21</v>
      </c>
      <c r="H6" s="6">
        <v>5.42</v>
      </c>
      <c r="I6" s="6">
        <v>0.2</v>
      </c>
      <c r="J6" s="6">
        <f t="shared" si="0"/>
        <v>4.2205865045115729</v>
      </c>
      <c r="K6" s="6">
        <f t="shared" si="1"/>
        <v>0.63921805063467019</v>
      </c>
      <c r="L6" s="6">
        <f t="shared" si="2"/>
        <v>0.51543360128214755</v>
      </c>
      <c r="M6" s="6">
        <f t="shared" si="3"/>
        <v>0.15008506100496816</v>
      </c>
      <c r="N6" s="6">
        <f t="shared" si="4"/>
        <v>2.2496049469214436</v>
      </c>
      <c r="O6" s="6">
        <f t="shared" si="5"/>
        <v>7.4185792261559982E-2</v>
      </c>
      <c r="P6" s="6">
        <f t="shared" si="6"/>
        <v>63.045937259945447</v>
      </c>
      <c r="Q6" s="6">
        <f t="shared" si="7"/>
        <v>94.954374567857073</v>
      </c>
      <c r="R6" s="6">
        <v>500</v>
      </c>
      <c r="S6" s="6">
        <v>29.57</v>
      </c>
      <c r="T6" s="6">
        <v>199.34</v>
      </c>
      <c r="U6" s="6">
        <f t="shared" si="17"/>
        <v>0.05</v>
      </c>
      <c r="V6" s="6">
        <f t="shared" si="18"/>
        <v>2.957E-3</v>
      </c>
      <c r="W6" s="6">
        <f>(J6/J9-1)*100</f>
        <v>79.213483146067375</v>
      </c>
      <c r="X6" s="6">
        <f>(K6/K9-1)*100</f>
        <v>-45.641025641025635</v>
      </c>
      <c r="Y6" s="6">
        <f>(L6/L9-1)*100</f>
        <v>72</v>
      </c>
      <c r="Z6" s="6">
        <f t="shared" si="8"/>
        <v>351.0848126232741</v>
      </c>
      <c r="AA6" s="6">
        <f t="shared" si="9"/>
        <v>0.63195266272189332</v>
      </c>
      <c r="AB6" s="6">
        <f t="shared" si="10"/>
        <v>5.266272189349111E-2</v>
      </c>
      <c r="AC6" s="6">
        <f>J9*(100-AA6)/100</f>
        <v>2.3401779386741763</v>
      </c>
      <c r="AD6" s="6">
        <f>L9*(100-AB6)/100</f>
        <v>0.29951288367334805</v>
      </c>
      <c r="AE6" s="6">
        <f t="shared" si="11"/>
        <v>7.8132797159617331</v>
      </c>
      <c r="AF6" s="6">
        <f>AE6/AG9-1</f>
        <v>-5.7959517142159855E-3</v>
      </c>
      <c r="AG6" s="6">
        <f t="shared" si="12"/>
        <v>8.1884194084607813</v>
      </c>
      <c r="AH6" s="6">
        <f t="shared" si="13"/>
        <v>1.2401559561592557</v>
      </c>
      <c r="AI6" s="6">
        <f t="shared" si="14"/>
        <v>0.29118214379433099</v>
      </c>
      <c r="AJ6" s="6">
        <f t="shared" si="15"/>
        <v>9.7005705246271057E-2</v>
      </c>
      <c r="AK6" s="6">
        <f>AG6/AG9-1</f>
        <v>4.193885550039167E-2</v>
      </c>
      <c r="AL6" s="6">
        <f t="shared" si="16"/>
        <v>0.2110472250577673</v>
      </c>
      <c r="AM6" s="6">
        <f t="shared" si="16"/>
        <v>-0.71565243429495551</v>
      </c>
      <c r="AN6" s="6">
        <f>AJ6/AJ9-1</f>
        <v>-0.1500067999456004</v>
      </c>
    </row>
    <row r="7" spans="1:40">
      <c r="A7" t="s">
        <v>309</v>
      </c>
      <c r="B7" s="6" t="s">
        <v>216</v>
      </c>
      <c r="C7" s="6">
        <v>20</v>
      </c>
      <c r="D7" s="6">
        <v>12.91</v>
      </c>
      <c r="E7" s="6">
        <v>1.08</v>
      </c>
      <c r="F7" s="6">
        <v>0.68</v>
      </c>
      <c r="G7" s="6">
        <v>0.14000000000000001</v>
      </c>
      <c r="H7" s="6">
        <v>4.4000000000000004</v>
      </c>
      <c r="I7" s="6">
        <v>7.0000000000000007E-2</v>
      </c>
      <c r="J7" s="6">
        <f t="shared" si="0"/>
        <v>3.4161612397018439</v>
      </c>
      <c r="K7" s="6">
        <f t="shared" si="1"/>
        <v>0.65127876857117339</v>
      </c>
      <c r="L7" s="6">
        <f t="shared" si="2"/>
        <v>0.40755214985100041</v>
      </c>
      <c r="M7" s="6">
        <f t="shared" si="3"/>
        <v>0.10005670733664544</v>
      </c>
      <c r="N7" s="6">
        <f t="shared" si="4"/>
        <v>1.8262475583864122</v>
      </c>
      <c r="O7" s="6">
        <f t="shared" si="5"/>
        <v>2.5965027291545994E-2</v>
      </c>
      <c r="P7" s="6">
        <f t="shared" si="6"/>
        <v>63.634263662032566</v>
      </c>
      <c r="Q7" s="6">
        <f t="shared" si="7"/>
        <v>96.442257908711582</v>
      </c>
      <c r="R7" s="6">
        <v>405</v>
      </c>
      <c r="S7" s="6">
        <v>27.17</v>
      </c>
      <c r="T7" s="6">
        <v>246.13</v>
      </c>
      <c r="U7" s="6">
        <f t="shared" si="17"/>
        <v>4.0500000000000001E-2</v>
      </c>
      <c r="V7" s="6">
        <f t="shared" si="18"/>
        <v>2.7170000000000002E-3</v>
      </c>
      <c r="W7" s="6">
        <f>(J7/J9-1)*100</f>
        <v>45.056179775280867</v>
      </c>
      <c r="X7" s="6">
        <f>(K7/K9-1)*100</f>
        <v>-44.615384615384613</v>
      </c>
      <c r="Y7" s="6">
        <f>(L7/L9-1)*100</f>
        <v>36.000000000000007</v>
      </c>
      <c r="Z7" s="6">
        <f>X7/-0.13</f>
        <v>343.19526627218931</v>
      </c>
      <c r="AA7" s="6">
        <f>Z7*0.0018</f>
        <v>0.61775147928994079</v>
      </c>
      <c r="AB7" s="6">
        <f>Z7*0.00015</f>
        <v>5.1479289940828392E-2</v>
      </c>
      <c r="AC7" s="6">
        <f>J9*(100-AA7)/100</f>
        <v>2.3405123851794771</v>
      </c>
      <c r="AD7" s="6">
        <f>L9*(100-AB7)/100</f>
        <v>0.29951643007214596</v>
      </c>
      <c r="AE7" s="6">
        <f t="shared" si="11"/>
        <v>7.8143038250546279</v>
      </c>
      <c r="AF7" s="6">
        <f>AE7/AG9-1</f>
        <v>-5.6656385239737261E-3</v>
      </c>
      <c r="AG7" s="6">
        <f t="shared" si="12"/>
        <v>8.3821450603334569</v>
      </c>
      <c r="AH7" s="6">
        <f t="shared" si="13"/>
        <v>1.598025599446055</v>
      </c>
      <c r="AI7" s="6">
        <f t="shared" si="14"/>
        <v>0.24550651339522025</v>
      </c>
      <c r="AJ7" s="6">
        <f t="shared" si="15"/>
        <v>9.9373785697871198E-2</v>
      </c>
      <c r="AK7" s="6">
        <f>AG7/AG9-1</f>
        <v>6.6589557171182756E-2</v>
      </c>
      <c r="AL7" s="6">
        <f t="shared" si="16"/>
        <v>0.56051701253281627</v>
      </c>
      <c r="AM7" s="6">
        <f t="shared" si="16"/>
        <v>-0.76025597401339384</v>
      </c>
      <c r="AN7" s="6">
        <f>AJ7/AJ9-1</f>
        <v>-0.12925696594427249</v>
      </c>
    </row>
    <row r="8" spans="1:40">
      <c r="A8" s="6" t="s">
        <v>310</v>
      </c>
      <c r="B8" s="6" t="s">
        <v>216</v>
      </c>
      <c r="C8" s="6">
        <v>66</v>
      </c>
      <c r="D8" s="6">
        <v>13.13</v>
      </c>
      <c r="E8" s="6">
        <v>2.56</v>
      </c>
      <c r="F8" s="6">
        <v>0.66</v>
      </c>
      <c r="G8" s="6">
        <v>0.28000000000000003</v>
      </c>
      <c r="H8" s="6">
        <v>3.97</v>
      </c>
      <c r="I8" s="6">
        <v>0.14000000000000001</v>
      </c>
      <c r="J8" s="6">
        <f t="shared" si="0"/>
        <v>3.4743762259709694</v>
      </c>
      <c r="K8" s="6">
        <f t="shared" si="1"/>
        <v>1.5437718958724109</v>
      </c>
      <c r="L8" s="6">
        <f t="shared" si="2"/>
        <v>0.39556532191420629</v>
      </c>
      <c r="M8" s="6">
        <f t="shared" si="3"/>
        <v>0.20011341467329088</v>
      </c>
      <c r="N8" s="6">
        <f t="shared" si="4"/>
        <v>1.6477733651804671</v>
      </c>
      <c r="O8" s="6">
        <f t="shared" si="5"/>
        <v>5.1930054583091988E-2</v>
      </c>
      <c r="P8" s="6">
        <f t="shared" si="6"/>
        <v>64.649263376245685</v>
      </c>
      <c r="Q8" s="6">
        <f t="shared" si="7"/>
        <v>93.236310188592284</v>
      </c>
      <c r="R8" s="6">
        <v>379</v>
      </c>
      <c r="S8" s="6">
        <v>27.73</v>
      </c>
      <c r="T8" s="6">
        <v>194.27</v>
      </c>
      <c r="U8" s="6">
        <f t="shared" si="17"/>
        <v>3.7900000000000003E-2</v>
      </c>
      <c r="V8" s="6">
        <f t="shared" si="18"/>
        <v>2.7729999999999999E-3</v>
      </c>
      <c r="W8" s="6">
        <f>(J8/J9-1)*100</f>
        <v>47.528089887640434</v>
      </c>
      <c r="X8" s="6">
        <f>(K8/K9-1)*100</f>
        <v>31.282051282051281</v>
      </c>
      <c r="Y8" s="6">
        <f>(L8/L9-1)*100</f>
        <v>32.000000000000007</v>
      </c>
      <c r="Z8" s="6">
        <f t="shared" si="8"/>
        <v>-240.63116370808677</v>
      </c>
      <c r="AA8" s="6">
        <f t="shared" si="9"/>
        <v>-0.43313609467455616</v>
      </c>
      <c r="AB8" s="6">
        <f t="shared" si="10"/>
        <v>-3.6094674556213013E-2</v>
      </c>
      <c r="AC8" s="6">
        <f>J9*(100-AA8)/100</f>
        <v>2.3652614265717387</v>
      </c>
      <c r="AD8" s="6">
        <f>L9*(100-AB8)/100</f>
        <v>0.29977886358318817</v>
      </c>
      <c r="AE8" s="6">
        <f t="shared" si="11"/>
        <v>7.8900206582289023</v>
      </c>
      <c r="AF8" s="6">
        <f>AE8/AG9-1</f>
        <v>3.9689816101882158E-3</v>
      </c>
      <c r="AG8" s="6">
        <f t="shared" si="12"/>
        <v>8.783318540558323</v>
      </c>
      <c r="AH8" s="6">
        <f t="shared" si="13"/>
        <v>3.9026977602633171</v>
      </c>
      <c r="AI8" s="6">
        <f t="shared" si="14"/>
        <v>0.50589220942045388</v>
      </c>
      <c r="AJ8" s="6">
        <f t="shared" si="15"/>
        <v>9.5812241115059343E-2</v>
      </c>
      <c r="AK8" s="6">
        <f>AG8/AG9-1</f>
        <v>0.11763704460333657</v>
      </c>
      <c r="AL8" s="6">
        <f t="shared" si="16"/>
        <v>2.8110942977232414</v>
      </c>
      <c r="AM8" s="6">
        <f t="shared" si="16"/>
        <v>-0.50598200705790242</v>
      </c>
      <c r="AN8" s="6">
        <f>AJ8/AJ9-1</f>
        <v>-0.16046429204323953</v>
      </c>
    </row>
    <row r="9" spans="1:40" s="2" customFormat="1">
      <c r="A9" s="2" t="s">
        <v>311</v>
      </c>
      <c r="B9" s="2" t="s">
        <v>42</v>
      </c>
      <c r="C9" s="2">
        <v>160</v>
      </c>
      <c r="D9" s="2">
        <v>8.9</v>
      </c>
      <c r="E9" s="2">
        <v>1.95</v>
      </c>
      <c r="F9" s="2">
        <v>0.5</v>
      </c>
      <c r="G9" s="2">
        <v>0.22</v>
      </c>
      <c r="H9" s="2">
        <v>2.17</v>
      </c>
      <c r="I9" s="2">
        <v>1.98</v>
      </c>
      <c r="J9" s="2">
        <f t="shared" si="0"/>
        <v>2.3550608081600632</v>
      </c>
      <c r="K9" s="2">
        <f t="shared" si="1"/>
        <v>1.1759199988090629</v>
      </c>
      <c r="L9" s="2">
        <f t="shared" si="2"/>
        <v>0.29967069841985322</v>
      </c>
      <c r="M9" s="2">
        <f t="shared" si="3"/>
        <v>0.15723196867187142</v>
      </c>
      <c r="N9" s="2">
        <f t="shared" si="4"/>
        <v>0.90067209129511672</v>
      </c>
      <c r="O9" s="2">
        <f t="shared" si="5"/>
        <v>0.73443934338944372</v>
      </c>
      <c r="R9" s="2">
        <v>342</v>
      </c>
      <c r="S9" s="2">
        <v>22.38</v>
      </c>
      <c r="T9" s="2">
        <v>87.75</v>
      </c>
      <c r="U9" s="2">
        <f t="shared" si="17"/>
        <v>3.4200000000000001E-2</v>
      </c>
      <c r="V9" s="2">
        <f t="shared" si="18"/>
        <v>2.238E-3</v>
      </c>
      <c r="AG9" s="2">
        <f t="shared" si="12"/>
        <v>7.8588291100136471</v>
      </c>
      <c r="AH9" s="2">
        <f t="shared" si="13"/>
        <v>3.9240406386397573</v>
      </c>
      <c r="AI9" s="2">
        <f t="shared" si="14"/>
        <v>0.52468249148464219</v>
      </c>
      <c r="AJ9" s="2">
        <f t="shared" si="15"/>
        <v>0.11412527210813297</v>
      </c>
    </row>
    <row r="10" spans="1:40">
      <c r="AE10" s="39"/>
      <c r="AH10" s="39"/>
      <c r="AI10" s="39"/>
      <c r="AJ10" s="39" t="s">
        <v>97</v>
      </c>
      <c r="AK10" s="6">
        <f>_xlfn.VAR.P(AK3:AK8)</f>
        <v>1.9575079274827818E-3</v>
      </c>
    </row>
    <row r="11" spans="1:40">
      <c r="AJ11" s="39" t="s">
        <v>98</v>
      </c>
      <c r="AK11" s="6">
        <f>AVERAGE(AK3:AK8)</f>
        <v>4.6301061157898449E-2</v>
      </c>
    </row>
  </sheetData>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7"/>
  <sheetViews>
    <sheetView topLeftCell="A58" workbookViewId="0">
      <selection activeCell="B50" sqref="B50"/>
    </sheetView>
  </sheetViews>
  <sheetFormatPr defaultRowHeight="14.5"/>
  <cols>
    <col min="1" max="1" width="15.26953125" style="6" customWidth="1"/>
    <col min="2" max="2" width="20.90625" style="6" customWidth="1"/>
    <col min="3" max="3" width="10.36328125" customWidth="1"/>
    <col min="4" max="4" width="7.26953125" customWidth="1"/>
    <col min="7" max="9" width="8.7265625" style="6"/>
    <col min="13" max="19" width="8.7265625" style="6"/>
    <col min="20" max="20" width="13.26953125" customWidth="1"/>
    <col min="21" max="22" width="12.54296875" customWidth="1"/>
    <col min="23" max="23" width="17.90625" customWidth="1"/>
    <col min="24" max="25" width="20" customWidth="1"/>
    <col min="26" max="27" width="11.90625" customWidth="1"/>
    <col min="28" max="28" width="13.81640625" customWidth="1"/>
    <col min="29" max="29" width="18.36328125" customWidth="1"/>
    <col min="32" max="33" width="8.7265625" style="6"/>
    <col min="35" max="35" width="11" customWidth="1"/>
    <col min="36" max="36" width="14.08984375" customWidth="1"/>
    <col min="37" max="37" width="13.81640625" customWidth="1"/>
    <col min="41" max="41" width="10.453125" customWidth="1"/>
  </cols>
  <sheetData>
    <row r="1" spans="1:44" s="6" customFormat="1">
      <c r="A1" s="81" t="s">
        <v>181</v>
      </c>
      <c r="B1" s="81"/>
      <c r="C1" s="81"/>
      <c r="D1" s="81"/>
      <c r="E1" s="81"/>
      <c r="F1" s="81"/>
      <c r="G1" s="81"/>
      <c r="H1" s="81"/>
      <c r="I1" s="81"/>
      <c r="J1" s="81"/>
      <c r="K1" s="81"/>
      <c r="L1" s="81"/>
    </row>
    <row r="2" spans="1:44">
      <c r="A2" s="1" t="s">
        <v>197</v>
      </c>
      <c r="B2" s="1" t="s">
        <v>196</v>
      </c>
      <c r="C2" s="1" t="s">
        <v>18</v>
      </c>
      <c r="D2" s="1" t="s">
        <v>1</v>
      </c>
      <c r="E2" s="1" t="s">
        <v>2</v>
      </c>
      <c r="F2" s="1" t="s">
        <v>3</v>
      </c>
      <c r="G2" s="1" t="s">
        <v>48</v>
      </c>
      <c r="H2" s="1" t="s">
        <v>49</v>
      </c>
      <c r="I2" s="1" t="s">
        <v>50</v>
      </c>
      <c r="J2" s="1" t="s">
        <v>4</v>
      </c>
      <c r="K2" s="1" t="s">
        <v>5</v>
      </c>
      <c r="L2" s="1" t="s">
        <v>6</v>
      </c>
      <c r="M2" s="1" t="s">
        <v>45</v>
      </c>
      <c r="N2" s="1" t="s">
        <v>46</v>
      </c>
      <c r="O2" s="1" t="s">
        <v>47</v>
      </c>
      <c r="P2" s="1" t="s">
        <v>51</v>
      </c>
      <c r="Q2" s="1" t="s">
        <v>52</v>
      </c>
      <c r="R2" s="1" t="s">
        <v>129</v>
      </c>
      <c r="S2" s="1" t="s">
        <v>122</v>
      </c>
      <c r="T2" s="1" t="s">
        <v>7</v>
      </c>
      <c r="U2" s="1" t="s">
        <v>8</v>
      </c>
      <c r="V2" s="1" t="s">
        <v>9</v>
      </c>
      <c r="W2" s="1" t="s">
        <v>10</v>
      </c>
      <c r="X2" s="1" t="s">
        <v>11</v>
      </c>
      <c r="Y2" s="1" t="s">
        <v>12</v>
      </c>
      <c r="Z2" s="1" t="s">
        <v>13</v>
      </c>
      <c r="AA2" s="1" t="s">
        <v>14</v>
      </c>
      <c r="AB2" s="1" t="s">
        <v>15</v>
      </c>
      <c r="AC2" s="1" t="s">
        <v>460</v>
      </c>
      <c r="AD2" s="1" t="s">
        <v>16</v>
      </c>
      <c r="AE2" s="1" t="s">
        <v>17</v>
      </c>
      <c r="AF2" s="1" t="s">
        <v>107</v>
      </c>
      <c r="AG2" s="1" t="s">
        <v>135</v>
      </c>
      <c r="AH2" s="1" t="s">
        <v>459</v>
      </c>
      <c r="AI2" s="1" t="s">
        <v>461</v>
      </c>
      <c r="AJ2" s="1" t="s">
        <v>462</v>
      </c>
      <c r="AK2" s="1" t="s">
        <v>463</v>
      </c>
      <c r="AM2" s="1"/>
    </row>
    <row r="3" spans="1:44">
      <c r="A3" s="6" t="s">
        <v>312</v>
      </c>
      <c r="B3" s="6" t="s">
        <v>240</v>
      </c>
      <c r="C3">
        <v>0</v>
      </c>
      <c r="D3">
        <v>18.100000000000001</v>
      </c>
      <c r="E3">
        <v>2.1800000000000002</v>
      </c>
      <c r="F3">
        <v>1.55</v>
      </c>
      <c r="G3" s="6">
        <v>0.43</v>
      </c>
      <c r="H3" s="6">
        <v>1.74</v>
      </c>
      <c r="I3" s="6">
        <v>1.34</v>
      </c>
      <c r="J3">
        <f>D3*26.98/101.96</f>
        <v>4.7895056885052965</v>
      </c>
      <c r="K3">
        <f>E3*24.305/40.3044</f>
        <v>1.3146182550788499</v>
      </c>
      <c r="L3">
        <f>F3*79.866/47.867</f>
        <v>2.5861721018655861</v>
      </c>
      <c r="M3" s="6">
        <f>G3*40.078/56.0774</f>
        <v>0.30731702967683955</v>
      </c>
      <c r="N3" s="6">
        <f>H3*39.0983/94.2</f>
        <v>0.7221978980891719</v>
      </c>
      <c r="O3" s="6">
        <f>I3*22.989769/61.9789</f>
        <v>0.49704480815245183</v>
      </c>
      <c r="P3" s="6">
        <f>100*(J3/(J3+M3+N3+O3))</f>
        <v>75.830526865422115</v>
      </c>
      <c r="Q3" s="6">
        <f>100*(J3/(J3+M3+O3))</f>
        <v>85.620649147614799</v>
      </c>
      <c r="R3">
        <v>200.1</v>
      </c>
      <c r="S3" s="6">
        <f>R3/10000</f>
        <v>2.001E-2</v>
      </c>
      <c r="T3">
        <f>(J3/AVERAGE(J64:J65)-1)*100</f>
        <v>28.36879432624113</v>
      </c>
      <c r="U3">
        <f>(K3/AVERAGE(K64:K65)-1)*100</f>
        <v>-55.005159958720327</v>
      </c>
      <c r="V3">
        <f>(L3/AVERAGE(L64:L65)-1)*100</f>
        <v>169.5652173913044</v>
      </c>
      <c r="W3">
        <f>U3/-0.61</f>
        <v>90.172393374951355</v>
      </c>
      <c r="X3">
        <f>W3*0.0032</f>
        <v>0.28855165879984435</v>
      </c>
      <c r="Y3">
        <f>W3*0.000044</f>
        <v>3.9675853084978592E-3</v>
      </c>
      <c r="Z3">
        <f>AVERAGE(J64:J65)*(100-X3)/100</f>
        <v>3.7202853820187016</v>
      </c>
      <c r="AA3">
        <f>AVERAGE(L64:L65)*(100-Y3)/100</f>
        <v>0.95934836041077498</v>
      </c>
      <c r="AB3">
        <f>Z3/AA3</f>
        <v>3.8779295775579845</v>
      </c>
      <c r="AC3">
        <f>AB3/AVERAGE(AD64:AD65)-1</f>
        <v>-1.0052211027125724E-2</v>
      </c>
      <c r="AD3">
        <f>J3/L3</f>
        <v>1.8519671158196673</v>
      </c>
      <c r="AE3">
        <f>K3/L3</f>
        <v>0.50832589761931313</v>
      </c>
      <c r="AF3" s="6">
        <f>M3/L3</f>
        <v>0.11883085021880421</v>
      </c>
      <c r="AG3" s="6">
        <f>S3/L3</f>
        <v>7.7373040972661461E-3</v>
      </c>
      <c r="AH3">
        <f>AD3/AVERAGE(AD64:AD65)-1</f>
        <v>-0.52723464547526655</v>
      </c>
      <c r="AI3">
        <f>AE3/AVERAGE(AE64:AE65)-1</f>
        <v>-0.83366265363781966</v>
      </c>
      <c r="AJ3" s="6">
        <f>AF3/AVERAGE(AF64:AF65)-1</f>
        <v>-0.98395169311750152</v>
      </c>
      <c r="AK3" s="6">
        <f>AG3/AVERAGE(AG64:AG65)-1</f>
        <v>0.44183864915572224</v>
      </c>
      <c r="AM3" s="1"/>
      <c r="AN3" s="1"/>
      <c r="AO3" s="1"/>
      <c r="AP3" s="1"/>
      <c r="AQ3" s="1"/>
      <c r="AR3" s="1"/>
    </row>
    <row r="4" spans="1:44">
      <c r="A4" s="6" t="s">
        <v>315</v>
      </c>
      <c r="B4" s="6" t="s">
        <v>240</v>
      </c>
      <c r="C4">
        <v>4</v>
      </c>
      <c r="D4">
        <v>14.6</v>
      </c>
      <c r="E4">
        <v>0.7</v>
      </c>
      <c r="F4">
        <v>0.78</v>
      </c>
      <c r="G4" s="6">
        <v>0.28000000000000003</v>
      </c>
      <c r="H4" s="6">
        <v>2.29</v>
      </c>
      <c r="I4" s="6">
        <v>1.2</v>
      </c>
      <c r="J4">
        <f t="shared" ref="J4:J65" si="0">D4*26.98/101.96</f>
        <v>3.8633581796783054</v>
      </c>
      <c r="K4">
        <f t="shared" ref="K4:K17" si="1">E4*24.305/40.3044</f>
        <v>0.4221251277776123</v>
      </c>
      <c r="L4">
        <f t="shared" ref="L4:L17" si="2">F4*79.866/47.867</f>
        <v>1.3014285415839724</v>
      </c>
      <c r="M4" s="6">
        <f t="shared" ref="M4:M65" si="3">G4*40.078/56.0774</f>
        <v>0.20011341467329088</v>
      </c>
      <c r="N4" s="6">
        <f t="shared" ref="N4:N65" si="4">H4*39.0983/94.2</f>
        <v>0.95047884288747353</v>
      </c>
      <c r="O4" s="6">
        <f t="shared" ref="O4:O65" si="5">I4*22.989769/61.9789</f>
        <v>0.44511475356935987</v>
      </c>
      <c r="P4" s="6">
        <f t="shared" ref="P4:P63" si="6">100*(J4/(J4+M4+N4+O4))</f>
        <v>70.769592313774581</v>
      </c>
      <c r="Q4" s="6">
        <f t="shared" ref="Q4:Q63" si="7">100*(J4/(J4+M4+O4))</f>
        <v>85.688902940936586</v>
      </c>
      <c r="R4">
        <v>4.92</v>
      </c>
      <c r="S4" s="6">
        <f t="shared" ref="S4:S65" si="8">R4/10000</f>
        <v>4.9200000000000003E-4</v>
      </c>
      <c r="T4">
        <f>(J4/AVERAGE(J64:J65)-1)*100</f>
        <v>3.5460992907801359</v>
      </c>
      <c r="U4">
        <f>(K4/AVERAGE(K64:K65)-1)*100</f>
        <v>-85.552115583075334</v>
      </c>
      <c r="V4">
        <f>(L4/AVERAGE(L64:L65)-1)*100</f>
        <v>35.652173913043498</v>
      </c>
      <c r="W4">
        <f t="shared" ref="W4:W63" si="9">U4/-0.61</f>
        <v>140.24936980832021</v>
      </c>
      <c r="X4">
        <f t="shared" ref="X4:X63" si="10">W4*0.0032</f>
        <v>0.44879798338662469</v>
      </c>
      <c r="Y4">
        <f t="shared" ref="Y4:Y63" si="11">W4*0.000044</f>
        <v>6.1709722715660893E-3</v>
      </c>
      <c r="Z4">
        <f>AVERAGE(J64:J65)*(100-X4)/100</f>
        <v>3.7143065092934511</v>
      </c>
      <c r="AA4">
        <f>AVERAGE(L64:L65)*(100-Y4)/100</f>
        <v>0.95932722141536375</v>
      </c>
      <c r="AB4">
        <f t="shared" ref="AB4:AB63" si="12">Z4/AA4</f>
        <v>3.8717826684970644</v>
      </c>
      <c r="AC4">
        <f>AB4/AVERAGE(AD64:AD65)-1</f>
        <v>-1.1621378004548544E-2</v>
      </c>
      <c r="AD4">
        <f t="shared" ref="AD4:AD65" si="13">J4/L4</f>
        <v>2.9685519075647453</v>
      </c>
      <c r="AE4">
        <f t="shared" ref="AE4:AE16" si="14">K4/L4</f>
        <v>0.3243552099017612</v>
      </c>
      <c r="AF4" s="6">
        <f t="shared" ref="AF4:AF65" si="15">M4/L4</f>
        <v>0.15376442753417124</v>
      </c>
      <c r="AG4" s="6">
        <f t="shared" ref="AG4:AG65" si="16">S4/L4</f>
        <v>3.7804611185273795E-4</v>
      </c>
      <c r="AH4">
        <f>AD4/AVERAGE(AD64:AD65)-1</f>
        <v>-0.24219578035878175</v>
      </c>
      <c r="AI4">
        <f>AE4/AVERAGE(AE64:AE65)-1</f>
        <v>-0.8938626083257083</v>
      </c>
      <c r="AJ4" s="6">
        <f>AF4/AVERAGE(AF64:AF65)-1</f>
        <v>-0.97923385454083389</v>
      </c>
      <c r="AK4" s="6">
        <f>AG4/AVERAGE(AG64:AG65)-1</f>
        <v>-0.92955149644112856</v>
      </c>
    </row>
    <row r="5" spans="1:44">
      <c r="A5" s="6" t="s">
        <v>316</v>
      </c>
      <c r="B5" s="6" t="s">
        <v>240</v>
      </c>
      <c r="C5">
        <v>11</v>
      </c>
      <c r="D5">
        <v>14.6</v>
      </c>
      <c r="E5">
        <v>0.94</v>
      </c>
      <c r="F5">
        <v>0.81</v>
      </c>
      <c r="G5" s="6">
        <v>0.61</v>
      </c>
      <c r="H5" s="6">
        <v>2.29</v>
      </c>
      <c r="I5" s="6">
        <v>1.1399999999999999</v>
      </c>
      <c r="J5">
        <f t="shared" si="0"/>
        <v>3.8633581796783054</v>
      </c>
      <c r="K5">
        <f t="shared" si="1"/>
        <v>0.56685374301565083</v>
      </c>
      <c r="L5">
        <f t="shared" si="2"/>
        <v>1.3514834854910482</v>
      </c>
      <c r="M5" s="6">
        <f t="shared" si="3"/>
        <v>0.43596136768109794</v>
      </c>
      <c r="N5" s="6">
        <f t="shared" si="4"/>
        <v>0.95047884288747353</v>
      </c>
      <c r="O5" s="6">
        <f t="shared" si="5"/>
        <v>0.42285901589089181</v>
      </c>
      <c r="P5" s="6">
        <f t="shared" si="6"/>
        <v>68.104909270533128</v>
      </c>
      <c r="Q5" s="6">
        <f t="shared" si="7"/>
        <v>81.813047260524158</v>
      </c>
      <c r="R5" s="6">
        <v>13.21</v>
      </c>
      <c r="S5" s="6">
        <f t="shared" si="8"/>
        <v>1.3210000000000001E-3</v>
      </c>
      <c r="T5">
        <f>(J5/AVERAGE(J64:J65)-1)*100</f>
        <v>3.5460992907801359</v>
      </c>
      <c r="U5">
        <f>(K5/AVERAGE(K64:K65)-1)*100</f>
        <v>-80.598555211558306</v>
      </c>
      <c r="V5">
        <f>(L5/AVERAGE(L64:L65)-1)*100</f>
        <v>40.869565217391312</v>
      </c>
      <c r="W5">
        <f t="shared" si="9"/>
        <v>132.12877903534149</v>
      </c>
      <c r="X5">
        <f t="shared" si="10"/>
        <v>0.4228120929130928</v>
      </c>
      <c r="Y5">
        <f t="shared" si="11"/>
        <v>5.8136662775550253E-3</v>
      </c>
      <c r="Z5">
        <f>AVERAGE(J64:J65)*(100-X5)/100</f>
        <v>3.7152760562218701</v>
      </c>
      <c r="AA5">
        <f>AVERAGE(L64:L65)*(100-Y5)/100</f>
        <v>0.95933064936056556</v>
      </c>
      <c r="AB5">
        <f t="shared" si="12"/>
        <v>3.8727794829637294</v>
      </c>
      <c r="AC5">
        <f>AB5/AVERAGE(AD64:AD65)-1</f>
        <v>-1.1366913796894584E-2</v>
      </c>
      <c r="AD5">
        <f t="shared" si="13"/>
        <v>2.8586055406179027</v>
      </c>
      <c r="AE5">
        <f t="shared" si="14"/>
        <v>0.41943075820100761</v>
      </c>
      <c r="AF5" s="6">
        <f t="shared" si="15"/>
        <v>0.3225798704618989</v>
      </c>
      <c r="AG5" s="6">
        <f t="shared" si="16"/>
        <v>9.7744442620401528E-4</v>
      </c>
      <c r="AH5">
        <f>AD5/AVERAGE(AD64:AD65)-1</f>
        <v>-0.27026260330845653</v>
      </c>
      <c r="AI5">
        <f>AE5/AVERAGE(AE64:AE65)-1</f>
        <v>-0.8627514363746196</v>
      </c>
      <c r="AJ5" s="6">
        <f>AF5/AVERAGE(AF64:AF65)-1</f>
        <v>-0.95643504404995039</v>
      </c>
      <c r="AK5" s="6">
        <f>AG5/AVERAGE(AG64:AG65)-1</f>
        <v>-0.81785423793789525</v>
      </c>
      <c r="AP5" s="6"/>
      <c r="AR5" s="6"/>
    </row>
    <row r="6" spans="1:44">
      <c r="A6" s="6" t="s">
        <v>317</v>
      </c>
      <c r="B6" s="6" t="s">
        <v>240</v>
      </c>
      <c r="C6">
        <v>21</v>
      </c>
      <c r="D6">
        <v>15.9</v>
      </c>
      <c r="E6">
        <v>1.75</v>
      </c>
      <c r="F6">
        <v>0.9</v>
      </c>
      <c r="G6" s="6">
        <v>0.52</v>
      </c>
      <c r="H6" s="6">
        <v>2.2599999999999998</v>
      </c>
      <c r="I6" s="6">
        <v>1.1100000000000001</v>
      </c>
      <c r="J6">
        <f t="shared" si="0"/>
        <v>4.2073558258140453</v>
      </c>
      <c r="K6">
        <f t="shared" si="1"/>
        <v>1.0553128194440309</v>
      </c>
      <c r="L6">
        <f t="shared" si="2"/>
        <v>1.5016483172122759</v>
      </c>
      <c r="M6" s="6">
        <f t="shared" si="3"/>
        <v>0.37163919867896877</v>
      </c>
      <c r="N6" s="6">
        <f t="shared" si="4"/>
        <v>0.93802715498938416</v>
      </c>
      <c r="O6" s="6">
        <f t="shared" si="5"/>
        <v>0.41173114705165786</v>
      </c>
      <c r="P6" s="6">
        <f t="shared" si="6"/>
        <v>70.965270337426261</v>
      </c>
      <c r="Q6" s="6">
        <f t="shared" si="7"/>
        <v>84.303479718099496</v>
      </c>
      <c r="R6" s="6">
        <v>2.2400000000000002</v>
      </c>
      <c r="S6" s="6">
        <f t="shared" si="8"/>
        <v>2.2400000000000002E-4</v>
      </c>
      <c r="T6">
        <f>(J6/AVERAGE(J64:J65)-1)*100</f>
        <v>12.765957446808507</v>
      </c>
      <c r="U6">
        <f>(K6/AVERAGE(K64:K65)-1)*100</f>
        <v>-63.880288957688336</v>
      </c>
      <c r="V6">
        <f>(L6/AVERAGE(L64:L65)-1)*100</f>
        <v>56.52173913043481</v>
      </c>
      <c r="W6">
        <f t="shared" si="9"/>
        <v>104.72178517653826</v>
      </c>
      <c r="X6">
        <f t="shared" si="10"/>
        <v>0.33510971256492245</v>
      </c>
      <c r="Y6">
        <f t="shared" si="11"/>
        <v>4.6077585477676836E-3</v>
      </c>
      <c r="Z6">
        <f>AVERAGE(J64:J65)*(100-X6)/100</f>
        <v>3.7185482771052842</v>
      </c>
      <c r="AA6">
        <f>AVERAGE(L64:L65)*(100-Y6)/100</f>
        <v>0.95934221867562175</v>
      </c>
      <c r="AB6">
        <f t="shared" si="12"/>
        <v>3.8761436791959021</v>
      </c>
      <c r="AC6">
        <f>AB6/AVERAGE(AD64:AD65)-1</f>
        <v>-1.0508110521821323E-2</v>
      </c>
      <c r="AD6">
        <f t="shared" si="13"/>
        <v>2.8018250196056296</v>
      </c>
      <c r="AE6">
        <f t="shared" si="14"/>
        <v>0.70276962145381594</v>
      </c>
      <c r="AF6" s="6">
        <f t="shared" si="15"/>
        <v>0.24748750717404702</v>
      </c>
      <c r="AG6" s="6">
        <f t="shared" si="16"/>
        <v>1.4916941432454916E-4</v>
      </c>
      <c r="AH6">
        <f>AD6/AVERAGE(AD64:AD65)-1</f>
        <v>-0.28475738721534327</v>
      </c>
      <c r="AI6">
        <f>AE6/AVERAGE(AE64:AE65)-1</f>
        <v>-0.77003565137236785</v>
      </c>
      <c r="AJ6" s="6">
        <f>AF6/AVERAGE(AF64:AF65)-1</f>
        <v>-0.96657639445143739</v>
      </c>
      <c r="AK6" s="6">
        <f>AG6/AVERAGE(AG64:AG65)-1</f>
        <v>-0.97220243328408762</v>
      </c>
      <c r="AP6" s="6"/>
      <c r="AR6" s="6"/>
    </row>
    <row r="7" spans="1:44">
      <c r="A7" s="6" t="s">
        <v>318</v>
      </c>
      <c r="B7" s="6" t="s">
        <v>240</v>
      </c>
      <c r="C7">
        <v>30</v>
      </c>
      <c r="D7">
        <v>15.7</v>
      </c>
      <c r="E7">
        <v>1.91</v>
      </c>
      <c r="F7">
        <v>0.9</v>
      </c>
      <c r="G7" s="6">
        <v>0.5</v>
      </c>
      <c r="H7" s="6">
        <v>2.1</v>
      </c>
      <c r="I7" s="6">
        <v>1.07</v>
      </c>
      <c r="J7">
        <f t="shared" si="0"/>
        <v>4.1544331110239314</v>
      </c>
      <c r="K7">
        <f t="shared" si="1"/>
        <v>1.1517985629360565</v>
      </c>
      <c r="L7">
        <f t="shared" si="2"/>
        <v>1.5016483172122759</v>
      </c>
      <c r="M7" s="6">
        <f t="shared" si="3"/>
        <v>0.35734538334516225</v>
      </c>
      <c r="N7" s="6">
        <f t="shared" si="4"/>
        <v>0.871618152866242</v>
      </c>
      <c r="O7" s="6">
        <f t="shared" si="5"/>
        <v>0.39689398859934594</v>
      </c>
      <c r="P7" s="6">
        <f t="shared" si="6"/>
        <v>71.872391420401755</v>
      </c>
      <c r="Q7" s="6">
        <f t="shared" si="7"/>
        <v>84.63455497262278</v>
      </c>
      <c r="R7" s="6">
        <v>16.010000000000002</v>
      </c>
      <c r="S7" s="6">
        <f t="shared" si="8"/>
        <v>1.6010000000000002E-3</v>
      </c>
      <c r="T7">
        <f>(J7/AVERAGE(J64:J65)-1)*100</f>
        <v>11.347517730496449</v>
      </c>
      <c r="U7">
        <f>(K7/AVERAGE(K64:K65)-1)*100</f>
        <v>-60.577915376676984</v>
      </c>
      <c r="V7">
        <f>(L7/AVERAGE(L64:L65)-1)*100</f>
        <v>56.52173913043481</v>
      </c>
      <c r="W7">
        <f t="shared" si="9"/>
        <v>99.308057994552428</v>
      </c>
      <c r="X7">
        <f t="shared" si="10"/>
        <v>0.31778578558256776</v>
      </c>
      <c r="Y7">
        <f t="shared" si="11"/>
        <v>4.369554551760307E-3</v>
      </c>
      <c r="Z7">
        <f>AVERAGE(J64:J65)*(100-X7)/100</f>
        <v>3.7191946417242305</v>
      </c>
      <c r="AA7">
        <f>AVERAGE(L64:L65)*(100-Y7)/100</f>
        <v>0.95934450397242299</v>
      </c>
      <c r="AB7">
        <f t="shared" si="12"/>
        <v>3.8768082021879611</v>
      </c>
      <c r="AC7">
        <f>AB7/AVERAGE(AD64:AD65)-1</f>
        <v>-1.033847281862077E-2</v>
      </c>
      <c r="AD7">
        <f t="shared" si="13"/>
        <v>2.7665819375980112</v>
      </c>
      <c r="AE7">
        <f t="shared" si="14"/>
        <v>0.76702284398673626</v>
      </c>
      <c r="AF7" s="6">
        <f t="shared" si="15"/>
        <v>0.23796875689812211</v>
      </c>
      <c r="AG7" s="6">
        <f t="shared" si="16"/>
        <v>1.0661617514893002E-3</v>
      </c>
      <c r="AH7">
        <f>AD7/AVERAGE(AD64:AD65)-1</f>
        <v>-0.29375414964030755</v>
      </c>
      <c r="AI7">
        <f>AE7/AVERAGE(AE64:AE65)-1</f>
        <v>-0.74901033949784157</v>
      </c>
      <c r="AJ7" s="6">
        <f>AF7/AVERAGE(AF64:AF65)-1</f>
        <v>-0.96786191774176666</v>
      </c>
      <c r="AK7" s="6">
        <f>AG7/AVERAGE(AG64:AG65)-1</f>
        <v>-0.80132185574921522</v>
      </c>
      <c r="AP7" s="6"/>
      <c r="AR7" s="6"/>
    </row>
    <row r="8" spans="1:44">
      <c r="A8" s="6" t="s">
        <v>319</v>
      </c>
      <c r="B8" s="6" t="s">
        <v>240</v>
      </c>
      <c r="C8">
        <v>38</v>
      </c>
      <c r="D8">
        <v>15</v>
      </c>
      <c r="E8">
        <v>2.2599999999999998</v>
      </c>
      <c r="F8">
        <v>0.89</v>
      </c>
      <c r="G8" s="6">
        <v>0.54</v>
      </c>
      <c r="H8" s="6">
        <v>1.87</v>
      </c>
      <c r="I8" s="6">
        <v>0.95</v>
      </c>
      <c r="J8">
        <f t="shared" si="0"/>
        <v>3.9692036092585328</v>
      </c>
      <c r="K8">
        <f t="shared" si="1"/>
        <v>1.3628611268248625</v>
      </c>
      <c r="L8">
        <f t="shared" si="2"/>
        <v>1.4849633359099172</v>
      </c>
      <c r="M8" s="6">
        <f t="shared" si="3"/>
        <v>0.38593301401277524</v>
      </c>
      <c r="N8" s="6">
        <f t="shared" si="4"/>
        <v>0.77615521231422502</v>
      </c>
      <c r="O8" s="6">
        <f t="shared" si="5"/>
        <v>0.35238251324240988</v>
      </c>
      <c r="P8" s="6">
        <f t="shared" si="6"/>
        <v>72.382190421407742</v>
      </c>
      <c r="Q8" s="6">
        <f t="shared" si="7"/>
        <v>84.316250112963644</v>
      </c>
      <c r="R8" s="6">
        <v>5.34</v>
      </c>
      <c r="S8" s="6">
        <f t="shared" si="8"/>
        <v>5.3399999999999997E-4</v>
      </c>
      <c r="T8">
        <f>(J8/AVERAGE(J64:J65)-1)*100</f>
        <v>6.3829787234042534</v>
      </c>
      <c r="U8">
        <f>(K8/AVERAGE(K64:K65)-1)*100</f>
        <v>-53.353973168214665</v>
      </c>
      <c r="V8">
        <f>(L8/AVERAGE(L64:L65)-1)*100</f>
        <v>54.782608695652193</v>
      </c>
      <c r="W8">
        <f t="shared" si="9"/>
        <v>87.465529783958473</v>
      </c>
      <c r="X8">
        <f t="shared" si="10"/>
        <v>0.27988969530866714</v>
      </c>
      <c r="Y8">
        <f t="shared" si="11"/>
        <v>3.8484833104941727E-3</v>
      </c>
      <c r="Z8">
        <f>AVERAGE(J64:J65)*(100-X8)/100</f>
        <v>3.7206085643281752</v>
      </c>
      <c r="AA8">
        <f>AVERAGE(L64:L65)*(100-Y8)/100</f>
        <v>0.95934950305917566</v>
      </c>
      <c r="AB8">
        <f t="shared" si="12"/>
        <v>3.8782618351955058</v>
      </c>
      <c r="AC8">
        <f>AB8/AVERAGE(AD64:AD65)-1</f>
        <v>-9.9673931605154253E-3</v>
      </c>
      <c r="AD8">
        <f t="shared" si="13"/>
        <v>2.6729303769822623</v>
      </c>
      <c r="AE8">
        <f t="shared" si="14"/>
        <v>0.91777426005589824</v>
      </c>
      <c r="AF8" s="6">
        <f t="shared" si="15"/>
        <v>0.25989396820783678</v>
      </c>
      <c r="AG8" s="6">
        <f t="shared" si="16"/>
        <v>3.5960483810382383E-4</v>
      </c>
      <c r="AH8">
        <f>AD8/AVERAGE(AD64:AD65)-1</f>
        <v>-0.31766127675833056</v>
      </c>
      <c r="AI8">
        <f>AE8/AVERAGE(AE64:AE65)-1</f>
        <v>-0.69968058741020633</v>
      </c>
      <c r="AJ8" s="6">
        <f>AF8/AVERAGE(AF64:AF65)-1</f>
        <v>-0.96490088094943505</v>
      </c>
      <c r="AK8" s="6">
        <f>AG8/AVERAGE(AG64:AG65)-1</f>
        <v>-0.932988008809854</v>
      </c>
      <c r="AP8" s="6"/>
      <c r="AR8" s="6"/>
    </row>
    <row r="9" spans="1:44">
      <c r="A9" s="6" t="s">
        <v>320</v>
      </c>
      <c r="B9" s="6" t="s">
        <v>240</v>
      </c>
      <c r="C9">
        <v>47</v>
      </c>
      <c r="D9">
        <v>16.2</v>
      </c>
      <c r="E9">
        <v>1.73</v>
      </c>
      <c r="F9">
        <v>0.88</v>
      </c>
      <c r="G9" s="6">
        <v>0.51</v>
      </c>
      <c r="H9" s="6">
        <v>2.17</v>
      </c>
      <c r="I9" s="6">
        <v>1.1599999999999999</v>
      </c>
      <c r="J9">
        <f t="shared" si="0"/>
        <v>4.2867398979992153</v>
      </c>
      <c r="K9">
        <f t="shared" si="1"/>
        <v>1.0432521015075276</v>
      </c>
      <c r="L9">
        <f t="shared" si="2"/>
        <v>1.4682783546075584</v>
      </c>
      <c r="M9" s="6">
        <f t="shared" si="3"/>
        <v>0.36449229101206554</v>
      </c>
      <c r="N9" s="6">
        <f t="shared" si="4"/>
        <v>0.90067209129511672</v>
      </c>
      <c r="O9" s="6">
        <f t="shared" si="5"/>
        <v>0.43027759511704783</v>
      </c>
      <c r="P9" s="6">
        <f t="shared" si="6"/>
        <v>71.658468218935283</v>
      </c>
      <c r="Q9" s="6">
        <f t="shared" si="7"/>
        <v>84.359571861663824</v>
      </c>
      <c r="R9" s="6">
        <v>4.46</v>
      </c>
      <c r="S9" s="6">
        <f t="shared" si="8"/>
        <v>4.46E-4</v>
      </c>
      <c r="T9">
        <f>(J9/AVERAGE(J64:J65)-1)*100</f>
        <v>14.893617021276583</v>
      </c>
      <c r="U9">
        <f>(K9/AVERAGE(K64:K65)-1)*100</f>
        <v>-64.293085655314755</v>
      </c>
      <c r="V9">
        <f>(L9/AVERAGE(L64:L65)-1)*100</f>
        <v>53.04347826086957</v>
      </c>
      <c r="W9">
        <f t="shared" si="9"/>
        <v>105.39850107428649</v>
      </c>
      <c r="X9">
        <f t="shared" si="10"/>
        <v>0.33727520343771678</v>
      </c>
      <c r="Y9">
        <f t="shared" si="11"/>
        <v>4.6375340472686053E-3</v>
      </c>
      <c r="Z9">
        <f>AVERAGE(J64:J65)*(100-X9)/100</f>
        <v>3.7184674815279162</v>
      </c>
      <c r="AA9">
        <f>AVERAGE(L64:L65)*(100-Y9)/100</f>
        <v>0.95934193301352166</v>
      </c>
      <c r="AB9">
        <f t="shared" si="12"/>
        <v>3.8760606135992863</v>
      </c>
      <c r="AC9">
        <f>AB9/AVERAGE(AD64:AD65)-1</f>
        <v>-1.0529315291548325E-2</v>
      </c>
      <c r="AD9">
        <f t="shared" si="13"/>
        <v>2.9195689526765349</v>
      </c>
      <c r="AE9">
        <f t="shared" si="14"/>
        <v>0.71052746792441013</v>
      </c>
      <c r="AF9" s="6">
        <f t="shared" si="15"/>
        <v>0.24824468049145018</v>
      </c>
      <c r="AG9" s="6">
        <f t="shared" si="16"/>
        <v>3.0375711703466943E-4</v>
      </c>
      <c r="AH9">
        <f>AD9/AVERAGE(AD64:AD65)-1</f>
        <v>-0.25470002184103091</v>
      </c>
      <c r="AI9">
        <f>AE9/AVERAGE(AE64:AE65)-1</f>
        <v>-0.76749708388751736</v>
      </c>
      <c r="AJ9" s="6">
        <f>AF9/AVERAGE(AF64:AF65)-1</f>
        <v>-0.96647413691697936</v>
      </c>
      <c r="AK9" s="6">
        <f>AG9/AVERAGE(AG64:AG65)-1</f>
        <v>-0.94339517410832363</v>
      </c>
      <c r="AP9" s="6"/>
      <c r="AR9" s="6"/>
    </row>
    <row r="10" spans="1:44">
      <c r="A10" s="6" t="s">
        <v>321</v>
      </c>
      <c r="B10" s="6" t="s">
        <v>240</v>
      </c>
      <c r="C10">
        <v>53</v>
      </c>
      <c r="D10">
        <v>16.7</v>
      </c>
      <c r="E10">
        <v>0.5</v>
      </c>
      <c r="F10">
        <v>0.95</v>
      </c>
      <c r="G10" s="6">
        <v>0.23</v>
      </c>
      <c r="H10" s="6">
        <v>2.73</v>
      </c>
      <c r="I10" s="6">
        <v>1.52</v>
      </c>
      <c r="J10">
        <f t="shared" si="0"/>
        <v>4.4190466849745</v>
      </c>
      <c r="K10">
        <f t="shared" si="1"/>
        <v>0.30151794841258023</v>
      </c>
      <c r="L10">
        <f t="shared" si="2"/>
        <v>1.5850732237240688</v>
      </c>
      <c r="M10" s="6">
        <f t="shared" si="3"/>
        <v>0.16437887633877463</v>
      </c>
      <c r="N10" s="6">
        <f t="shared" si="4"/>
        <v>1.1331035987261147</v>
      </c>
      <c r="O10" s="6">
        <f t="shared" si="5"/>
        <v>0.56381202118785578</v>
      </c>
      <c r="P10" s="6">
        <f t="shared" si="6"/>
        <v>70.363162724082642</v>
      </c>
      <c r="Q10" s="6">
        <f t="shared" si="7"/>
        <v>85.852782471082477</v>
      </c>
      <c r="R10" s="6">
        <v>2.1800000000000002</v>
      </c>
      <c r="S10" s="6">
        <f t="shared" si="8"/>
        <v>2.1800000000000001E-4</v>
      </c>
      <c r="T10">
        <f>(J10/AVERAGE(J64:J65)-1)*100</f>
        <v>18.439716312056742</v>
      </c>
      <c r="U10">
        <f>(K10/AVERAGE(K64:K65)-1)*100</f>
        <v>-89.680082559339525</v>
      </c>
      <c r="V10">
        <f>(L10/AVERAGE(L64:L65)-1)*100</f>
        <v>65.217391304347828</v>
      </c>
      <c r="W10">
        <f t="shared" si="9"/>
        <v>147.01652878580251</v>
      </c>
      <c r="X10">
        <f t="shared" si="10"/>
        <v>0.47045289211456803</v>
      </c>
      <c r="Y10">
        <f t="shared" si="11"/>
        <v>6.4687272665753101E-3</v>
      </c>
      <c r="Z10">
        <f>AVERAGE(J64:J65)*(100-X10)/100</f>
        <v>3.7134985535197687</v>
      </c>
      <c r="AA10">
        <f>AVERAGE(L64:L65)*(100-Y10)/100</f>
        <v>0.95932436479436201</v>
      </c>
      <c r="AB10">
        <f t="shared" si="12"/>
        <v>3.8709519843330398</v>
      </c>
      <c r="AC10">
        <f>AB10/AVERAGE(AD64:AD65)-1</f>
        <v>-1.1833432900096419E-2</v>
      </c>
      <c r="AD10">
        <f t="shared" si="13"/>
        <v>2.7879132767078856</v>
      </c>
      <c r="AE10">
        <f t="shared" si="14"/>
        <v>0.1902233561829878</v>
      </c>
      <c r="AF10" s="6">
        <f t="shared" si="15"/>
        <v>0.10370427932191849</v>
      </c>
      <c r="AG10" s="6">
        <f t="shared" si="16"/>
        <v>1.3753307843269056E-4</v>
      </c>
      <c r="AH10">
        <f>AD10/AVERAGE(AD64:AD65)-1</f>
        <v>-0.28830874080414493</v>
      </c>
      <c r="AI10">
        <f>AE10/AVERAGE(AE64:AE65)-1</f>
        <v>-0.93775401089778376</v>
      </c>
      <c r="AJ10" s="6">
        <f>AF10/AVERAGE(AF64:AF65)-1</f>
        <v>-0.98599456204746461</v>
      </c>
      <c r="AK10" s="6">
        <f>AG10/AVERAGE(AG64:AG65)-1</f>
        <v>-0.9743708524921898</v>
      </c>
    </row>
    <row r="11" spans="1:44">
      <c r="A11" s="6" t="s">
        <v>322</v>
      </c>
      <c r="B11" s="6" t="s">
        <v>240</v>
      </c>
      <c r="C11">
        <v>65</v>
      </c>
      <c r="D11">
        <v>15.8</v>
      </c>
      <c r="E11">
        <v>0.53</v>
      </c>
      <c r="F11">
        <v>0.87</v>
      </c>
      <c r="G11" s="6">
        <v>0.63</v>
      </c>
      <c r="H11" s="6">
        <v>2.56</v>
      </c>
      <c r="I11" s="6">
        <v>1.42</v>
      </c>
      <c r="J11">
        <f t="shared" si="0"/>
        <v>4.1808944684189884</v>
      </c>
      <c r="K11">
        <f t="shared" si="1"/>
        <v>0.31960902531733509</v>
      </c>
      <c r="L11">
        <f t="shared" si="2"/>
        <v>1.4515933733051998</v>
      </c>
      <c r="M11" s="6">
        <f t="shared" si="3"/>
        <v>0.45025518301490441</v>
      </c>
      <c r="N11" s="6">
        <f t="shared" si="4"/>
        <v>1.0625440339702761</v>
      </c>
      <c r="O11" s="6">
        <f t="shared" si="5"/>
        <v>0.52671912505707574</v>
      </c>
      <c r="P11" s="6">
        <f t="shared" si="6"/>
        <v>67.212492093574966</v>
      </c>
      <c r="Q11" s="6">
        <f t="shared" si="7"/>
        <v>81.058566039428399</v>
      </c>
      <c r="R11" s="6">
        <v>0.69</v>
      </c>
      <c r="S11" s="6">
        <f t="shared" si="8"/>
        <v>6.8999999999999997E-5</v>
      </c>
      <c r="T11">
        <f>(J11/AVERAGE(J64:J65)-1)*100</f>
        <v>12.056737588652489</v>
      </c>
      <c r="U11">
        <f>(K11/AVERAGE(K64:K65)-1)*100</f>
        <v>-89.060887512899896</v>
      </c>
      <c r="V11">
        <f>(L11/AVERAGE(L64:L65)-1)*100</f>
        <v>51.304347826086946</v>
      </c>
      <c r="W11">
        <f t="shared" si="9"/>
        <v>146.00145493918015</v>
      </c>
      <c r="X11">
        <f t="shared" si="10"/>
        <v>0.46720465580537651</v>
      </c>
      <c r="Y11">
        <f t="shared" si="11"/>
        <v>6.4240640173239263E-3</v>
      </c>
      <c r="Z11">
        <f>AVERAGE(J64:J65)*(100-X11)/100</f>
        <v>3.7136197468858212</v>
      </c>
      <c r="AA11">
        <f>AVERAGE(L64:L65)*(100-Y11)/100</f>
        <v>0.95932479328751241</v>
      </c>
      <c r="AB11">
        <f t="shared" si="12"/>
        <v>3.8710765872730222</v>
      </c>
      <c r="AC11">
        <f>AB11/AVERAGE(AD64:AD65)-1</f>
        <v>-1.1801624585255133E-2</v>
      </c>
      <c r="AD11">
        <f t="shared" si="13"/>
        <v>2.8802104951053318</v>
      </c>
      <c r="AE11">
        <f t="shared" si="14"/>
        <v>0.22017806859341235</v>
      </c>
      <c r="AF11" s="6">
        <f t="shared" si="15"/>
        <v>0.31017996588789715</v>
      </c>
      <c r="AG11" s="6">
        <f t="shared" si="16"/>
        <v>4.7533972852804311E-5</v>
      </c>
      <c r="AH11">
        <f>AD11/AVERAGE(AD64:AD65)-1</f>
        <v>-0.26474734664947452</v>
      </c>
      <c r="AI11">
        <f>AE11/AVERAGE(AE64:AE65)-1</f>
        <v>-0.92795205629203248</v>
      </c>
      <c r="AJ11" s="6">
        <f>AF11/AVERAGE(AF64:AF65)-1</f>
        <v>-0.9581096720909924</v>
      </c>
      <c r="AK11" s="6">
        <f>AG11/AVERAGE(AG64:AG65)-1</f>
        <v>-0.99114209311854395</v>
      </c>
    </row>
    <row r="12" spans="1:44">
      <c r="A12" s="6" t="s">
        <v>323</v>
      </c>
      <c r="B12" s="6" t="s">
        <v>240</v>
      </c>
      <c r="C12">
        <v>72</v>
      </c>
      <c r="D12">
        <v>17.5</v>
      </c>
      <c r="E12">
        <v>1.7</v>
      </c>
      <c r="F12">
        <v>0.96</v>
      </c>
      <c r="G12" s="6">
        <v>0.56999999999999995</v>
      </c>
      <c r="H12" s="6">
        <v>2.5</v>
      </c>
      <c r="I12" s="6">
        <v>1.25</v>
      </c>
      <c r="J12">
        <f t="shared" si="0"/>
        <v>4.6307375441349556</v>
      </c>
      <c r="K12">
        <f t="shared" si="1"/>
        <v>1.0251610246027729</v>
      </c>
      <c r="L12">
        <f t="shared" si="2"/>
        <v>1.6017582050264274</v>
      </c>
      <c r="M12" s="6">
        <f t="shared" si="3"/>
        <v>0.40737373701348489</v>
      </c>
      <c r="N12" s="6">
        <f t="shared" si="4"/>
        <v>1.0376406581740976</v>
      </c>
      <c r="O12" s="6">
        <f t="shared" si="5"/>
        <v>0.46366120163474983</v>
      </c>
      <c r="P12" s="6">
        <f t="shared" si="6"/>
        <v>70.812738762932383</v>
      </c>
      <c r="Q12" s="6">
        <f t="shared" si="7"/>
        <v>84.168103254469685</v>
      </c>
      <c r="R12" s="6">
        <v>3.63</v>
      </c>
      <c r="S12" s="6">
        <f t="shared" si="8"/>
        <v>3.6299999999999999E-4</v>
      </c>
      <c r="T12">
        <f>(J12/AVERAGE(J64:J65)-1)*100</f>
        <v>24.113475177304977</v>
      </c>
      <c r="U12">
        <f>(K12/AVERAGE(K64:K65)-1)*100</f>
        <v>-64.912280701754383</v>
      </c>
      <c r="V12">
        <f>(L12/AVERAGE(L64:L65)-1)*100</f>
        <v>66.956521739130451</v>
      </c>
      <c r="W12">
        <f t="shared" si="9"/>
        <v>106.41357492090883</v>
      </c>
      <c r="X12">
        <f t="shared" si="10"/>
        <v>0.3405234397469083</v>
      </c>
      <c r="Y12">
        <f t="shared" si="11"/>
        <v>4.6821972965199882E-3</v>
      </c>
      <c r="Z12">
        <f>AVERAGE(J64:J65)*(100-X12)/100</f>
        <v>3.7183462881618641</v>
      </c>
      <c r="AA12">
        <f>AVERAGE(L64:L65)*(100-Y12)/100</f>
        <v>0.95934150452037148</v>
      </c>
      <c r="AB12">
        <f t="shared" si="12"/>
        <v>3.8759360151116087</v>
      </c>
      <c r="AC12">
        <f>AB12/AVERAGE(AD64:AD65)-1</f>
        <v>-1.0561122469816775E-2</v>
      </c>
      <c r="AD12">
        <f t="shared" si="13"/>
        <v>2.8910340709374127</v>
      </c>
      <c r="AE12">
        <f t="shared" si="14"/>
        <v>0.64002233382401108</v>
      </c>
      <c r="AF12" s="6">
        <f t="shared" si="15"/>
        <v>0.25432910893486799</v>
      </c>
      <c r="AG12" s="6">
        <f t="shared" si="16"/>
        <v>2.26625965680014E-4</v>
      </c>
      <c r="AH12">
        <f>AD12/AVERAGE(AD64:AD65)-1</f>
        <v>-0.26198433232715246</v>
      </c>
      <c r="AI12">
        <f>AE12/AVERAGE(AE64:AE65)-1</f>
        <v>-0.79056818249983496</v>
      </c>
      <c r="AJ12" s="6">
        <f>AF12/AVERAGE(AF64:AF65)-1</f>
        <v>-0.96565242458651313</v>
      </c>
      <c r="AK12" s="6">
        <f>AG12/AVERAGE(AG64:AG65)-1</f>
        <v>-0.95776848471871001</v>
      </c>
    </row>
    <row r="13" spans="1:44">
      <c r="A13" s="6" t="s">
        <v>324</v>
      </c>
      <c r="B13" s="6" t="s">
        <v>240</v>
      </c>
      <c r="C13">
        <v>75</v>
      </c>
      <c r="D13">
        <v>17.600000000000001</v>
      </c>
      <c r="E13">
        <v>2.09</v>
      </c>
      <c r="F13">
        <v>0.99</v>
      </c>
      <c r="G13" s="6">
        <v>0.57999999999999996</v>
      </c>
      <c r="H13" s="6">
        <v>2.37</v>
      </c>
      <c r="I13" s="6">
        <v>1.21</v>
      </c>
      <c r="J13">
        <f t="shared" si="0"/>
        <v>4.6571989015300126</v>
      </c>
      <c r="K13">
        <f t="shared" si="1"/>
        <v>1.2603450243645855</v>
      </c>
      <c r="L13">
        <f t="shared" si="2"/>
        <v>1.6518131489335033</v>
      </c>
      <c r="M13" s="6">
        <f t="shared" si="3"/>
        <v>0.41452064468038818</v>
      </c>
      <c r="N13" s="6">
        <f t="shared" si="4"/>
        <v>0.98368334394904466</v>
      </c>
      <c r="O13" s="6">
        <f t="shared" si="5"/>
        <v>0.44882404318243785</v>
      </c>
      <c r="P13" s="6">
        <f t="shared" si="6"/>
        <v>71.602650849347512</v>
      </c>
      <c r="Q13" s="6">
        <f t="shared" si="7"/>
        <v>84.361237731703525</v>
      </c>
      <c r="R13" s="6">
        <v>3.42</v>
      </c>
      <c r="S13" s="6">
        <f t="shared" si="8"/>
        <v>3.4200000000000002E-4</v>
      </c>
      <c r="T13">
        <f>(J13/AVERAGE(J64:J65)-1)*100</f>
        <v>24.822695035460995</v>
      </c>
      <c r="U13">
        <f>(K13/AVERAGE(K64:K65)-1)*100</f>
        <v>-56.862745098039213</v>
      </c>
      <c r="V13">
        <f>(L13/AVERAGE(L64:L65)-1)*100</f>
        <v>72.173913043478265</v>
      </c>
      <c r="W13">
        <f t="shared" si="9"/>
        <v>93.217614914818384</v>
      </c>
      <c r="X13">
        <f t="shared" si="10"/>
        <v>0.29829636772741885</v>
      </c>
      <c r="Y13">
        <f t="shared" si="11"/>
        <v>4.1015750562520088E-3</v>
      </c>
      <c r="Z13">
        <f>AVERAGE(J64:J65)*(100-X13)/100</f>
        <v>3.7199218019205449</v>
      </c>
      <c r="AA13">
        <f>AVERAGE(L64:L65)*(100-Y13)/100</f>
        <v>0.95934707493132432</v>
      </c>
      <c r="AB13">
        <f t="shared" si="12"/>
        <v>3.8775557867697032</v>
      </c>
      <c r="AC13">
        <f>AB13/AVERAGE(AD64:AD65)-1</f>
        <v>-1.0147631368572663E-2</v>
      </c>
      <c r="AD13">
        <f t="shared" si="13"/>
        <v>2.819446560609439</v>
      </c>
      <c r="AE13">
        <f t="shared" si="14"/>
        <v>0.76300701757842893</v>
      </c>
      <c r="AF13" s="6">
        <f t="shared" si="15"/>
        <v>0.25094887091074697</v>
      </c>
      <c r="AG13" s="6">
        <f t="shared" si="16"/>
        <v>2.0704520981735316E-4</v>
      </c>
      <c r="AH13">
        <f>AD13/AVERAGE(AD64:AD65)-1</f>
        <v>-0.28025900600286102</v>
      </c>
      <c r="AI13">
        <f>AE13/AVERAGE(AE64:AE65)-1</f>
        <v>-0.75032442148999934</v>
      </c>
      <c r="AJ13" s="6">
        <f>AF13/AVERAGE(AF64:AF65)-1</f>
        <v>-0.96610893143677212</v>
      </c>
      <c r="AK13" s="6">
        <f>AG13/AVERAGE(AG64:AG65)-1</f>
        <v>-0.96141733840567345</v>
      </c>
      <c r="AP13" s="6"/>
    </row>
    <row r="14" spans="1:44">
      <c r="A14" s="6" t="s">
        <v>325</v>
      </c>
      <c r="B14" s="6" t="s">
        <v>240</v>
      </c>
      <c r="C14">
        <v>81</v>
      </c>
      <c r="D14">
        <v>15.4</v>
      </c>
      <c r="E14">
        <v>1.19</v>
      </c>
      <c r="F14">
        <v>0.85</v>
      </c>
      <c r="G14" s="6">
        <v>0.48</v>
      </c>
      <c r="H14" s="6">
        <v>2.3199999999999998</v>
      </c>
      <c r="I14" s="6">
        <v>1.1100000000000001</v>
      </c>
      <c r="J14">
        <f t="shared" si="0"/>
        <v>4.0750490388387606</v>
      </c>
      <c r="K14">
        <f t="shared" si="1"/>
        <v>0.71761271722194098</v>
      </c>
      <c r="L14">
        <f t="shared" si="2"/>
        <v>1.4182234107004827</v>
      </c>
      <c r="M14" s="6">
        <f t="shared" si="3"/>
        <v>0.34305156801135572</v>
      </c>
      <c r="N14" s="6">
        <f t="shared" si="4"/>
        <v>0.96293053078556257</v>
      </c>
      <c r="O14" s="6">
        <f t="shared" si="5"/>
        <v>0.41173114705165786</v>
      </c>
      <c r="P14" s="6">
        <f t="shared" si="6"/>
        <v>70.347251251976957</v>
      </c>
      <c r="Q14" s="6">
        <f t="shared" si="7"/>
        <v>84.372484311627161</v>
      </c>
      <c r="R14" s="6">
        <v>0.89</v>
      </c>
      <c r="S14" s="6">
        <f t="shared" si="8"/>
        <v>8.8999999999999995E-5</v>
      </c>
      <c r="T14">
        <f>(J14/AVERAGE(J64:J65)-1)*100</f>
        <v>9.219858156028371</v>
      </c>
      <c r="U14">
        <f>(K14/AVERAGE(K64:K65)-1)*100</f>
        <v>-75.438596491228068</v>
      </c>
      <c r="V14">
        <f>(L14/AVERAGE(L64:L65)-1)*100</f>
        <v>47.826086956521749</v>
      </c>
      <c r="W14">
        <f t="shared" si="9"/>
        <v>123.66983031348865</v>
      </c>
      <c r="X14">
        <f t="shared" si="10"/>
        <v>0.39574345700316371</v>
      </c>
      <c r="Y14">
        <f t="shared" si="11"/>
        <v>5.4414725337935E-3</v>
      </c>
      <c r="Z14">
        <f>AVERAGE(J64:J65)*(100-X14)/100</f>
        <v>3.7162860009389735</v>
      </c>
      <c r="AA14">
        <f>AVERAGE(L64:L65)*(100-Y14)/100</f>
        <v>0.95933422013681746</v>
      </c>
      <c r="AB14">
        <f t="shared" si="12"/>
        <v>3.8738178237913452</v>
      </c>
      <c r="AC14">
        <f>AB14/AVERAGE(AD64:AD65)-1</f>
        <v>-1.1101848847688944E-2</v>
      </c>
      <c r="AD14">
        <f t="shared" si="13"/>
        <v>2.8733477448563836</v>
      </c>
      <c r="AE14">
        <f t="shared" si="14"/>
        <v>0.50599412744674754</v>
      </c>
      <c r="AF14" s="6">
        <f t="shared" si="15"/>
        <v>0.24188824230585587</v>
      </c>
      <c r="AG14" s="6">
        <f t="shared" si="16"/>
        <v>6.2754569786745729E-5</v>
      </c>
      <c r="AH14">
        <f>AD14/AVERAGE(AD64:AD65)-1</f>
        <v>-0.26649925170585709</v>
      </c>
      <c r="AI14">
        <f>AE14/AVERAGE(AE64:AE65)-1</f>
        <v>-0.83442566898810488</v>
      </c>
      <c r="AJ14" s="6">
        <f>AF14/AVERAGE(AF64:AF65)-1</f>
        <v>-0.96733258462221938</v>
      </c>
      <c r="AK14" s="6">
        <f>AG14/AVERAGE(AG64:AG65)-1</f>
        <v>-0.98830575055701375</v>
      </c>
      <c r="AP14" s="6"/>
    </row>
    <row r="15" spans="1:44">
      <c r="A15" s="6" t="s">
        <v>326</v>
      </c>
      <c r="B15" s="6" t="s">
        <v>240</v>
      </c>
      <c r="C15">
        <v>91</v>
      </c>
      <c r="D15">
        <v>14.4</v>
      </c>
      <c r="E15">
        <v>0.64</v>
      </c>
      <c r="F15">
        <v>0.81</v>
      </c>
      <c r="G15" s="6">
        <v>0.54</v>
      </c>
      <c r="H15" s="6">
        <v>2.34</v>
      </c>
      <c r="I15" s="6">
        <v>1.22</v>
      </c>
      <c r="J15" s="3">
        <f t="shared" si="0"/>
        <v>3.8104354648881915</v>
      </c>
      <c r="K15" s="3">
        <f t="shared" si="1"/>
        <v>0.38594297396810273</v>
      </c>
      <c r="L15" s="3">
        <f t="shared" si="2"/>
        <v>1.3514834854910482</v>
      </c>
      <c r="M15" s="6">
        <f t="shared" si="3"/>
        <v>0.38593301401277524</v>
      </c>
      <c r="N15" s="6">
        <f t="shared" si="4"/>
        <v>0.97123165605095529</v>
      </c>
      <c r="O15" s="6">
        <f t="shared" si="5"/>
        <v>0.45253333279551583</v>
      </c>
      <c r="P15" s="6">
        <f t="shared" si="6"/>
        <v>67.799732635449729</v>
      </c>
      <c r="Q15" s="6">
        <f t="shared" si="7"/>
        <v>81.964206155123847</v>
      </c>
      <c r="R15" s="6">
        <v>11.13</v>
      </c>
      <c r="S15" s="6">
        <f t="shared" si="8"/>
        <v>1.1130000000000001E-3</v>
      </c>
      <c r="T15" s="3">
        <f>(J15/AVERAGE(J64:J65)-1)*100</f>
        <v>2.1276595744680771</v>
      </c>
      <c r="U15" s="3">
        <f>(K15/AVERAGE(K64:K65)-1)*100</f>
        <v>-86.790505675954591</v>
      </c>
      <c r="V15" s="3">
        <f>(L15/AVERAGE(L64:L65)-1)*100</f>
        <v>40.869565217391312</v>
      </c>
      <c r="W15">
        <f t="shared" si="9"/>
        <v>142.2795175015649</v>
      </c>
      <c r="X15">
        <f t="shared" si="10"/>
        <v>0.45529445600500767</v>
      </c>
      <c r="Y15">
        <f t="shared" si="11"/>
        <v>6.2602987700688551E-3</v>
      </c>
      <c r="Z15" s="3">
        <f>AVERAGE(J64:J65)*(100-X15)/100</f>
        <v>3.7140641225613469</v>
      </c>
      <c r="AA15" s="3">
        <f>AVERAGE(L64:L65)*(100-Y15)/100</f>
        <v>0.95932636442906316</v>
      </c>
      <c r="AB15">
        <f t="shared" si="12"/>
        <v>3.8715334637673049</v>
      </c>
      <c r="AC15" s="3">
        <f>AB15/AVERAGE(AD64:AD65)-1</f>
        <v>-1.1684994340609656E-2</v>
      </c>
      <c r="AD15" s="3">
        <f t="shared" si="13"/>
        <v>2.8194465606094381</v>
      </c>
      <c r="AE15" s="3">
        <f t="shared" si="14"/>
        <v>0.28556987792409033</v>
      </c>
      <c r="AF15" s="6">
        <f t="shared" si="15"/>
        <v>0.28556250827774654</v>
      </c>
      <c r="AG15" s="6">
        <f t="shared" si="16"/>
        <v>8.2353947491678188E-4</v>
      </c>
      <c r="AH15" s="3">
        <f>AD15/AVERAGE(AD64:AD65)-1</f>
        <v>-0.28025900600286124</v>
      </c>
      <c r="AI15" s="3">
        <f>AE15/AVERAGE(AE64:AE65)-1</f>
        <v>-0.90655416944654943</v>
      </c>
      <c r="AJ15" s="3">
        <f>AF15/AVERAGE(AF64:AF65)-1</f>
        <v>-0.96143430129012009</v>
      </c>
      <c r="AK15" s="3">
        <f>AG15/AVERAGE(AG64:AG65)-1</f>
        <v>-0.84653426708923352</v>
      </c>
      <c r="AP15" s="6"/>
    </row>
    <row r="16" spans="1:44">
      <c r="A16" s="6" t="s">
        <v>327</v>
      </c>
      <c r="B16" s="6" t="s">
        <v>240</v>
      </c>
      <c r="C16">
        <v>99</v>
      </c>
      <c r="D16">
        <v>15.4</v>
      </c>
      <c r="E16">
        <v>0.51</v>
      </c>
      <c r="F16">
        <v>0.84</v>
      </c>
      <c r="G16" s="6">
        <v>0.54</v>
      </c>
      <c r="H16" s="6">
        <v>2.58</v>
      </c>
      <c r="I16" s="6">
        <v>1.32</v>
      </c>
      <c r="J16" s="3">
        <f t="shared" si="0"/>
        <v>4.0750490388387606</v>
      </c>
      <c r="K16" s="3">
        <f t="shared" si="1"/>
        <v>0.30754830738083189</v>
      </c>
      <c r="L16" s="3">
        <f t="shared" si="2"/>
        <v>1.4015384293981241</v>
      </c>
      <c r="M16" s="6">
        <f t="shared" si="3"/>
        <v>0.38593301401277524</v>
      </c>
      <c r="N16" s="6">
        <f t="shared" si="4"/>
        <v>1.0708451592356687</v>
      </c>
      <c r="O16" s="6">
        <f t="shared" si="5"/>
        <v>0.48962622892629587</v>
      </c>
      <c r="P16" s="6">
        <f t="shared" si="6"/>
        <v>67.675505237367901</v>
      </c>
      <c r="Q16" s="6">
        <f t="shared" si="7"/>
        <v>82.314107820612179</v>
      </c>
      <c r="R16" s="6">
        <v>25.12</v>
      </c>
      <c r="S16" s="6">
        <f t="shared" si="8"/>
        <v>2.5119999999999999E-3</v>
      </c>
      <c r="T16" s="3">
        <f>(J16/AVERAGE(J64:J65)-1)*100</f>
        <v>9.219858156028371</v>
      </c>
      <c r="U16" s="3">
        <f>(K16/AVERAGE(K64:K65)-1)*100</f>
        <v>-89.473684210526315</v>
      </c>
      <c r="V16" s="3">
        <f>(L16/AVERAGE(L64:L65)-1)*100</f>
        <v>46.086956521739154</v>
      </c>
      <c r="W16">
        <f t="shared" si="9"/>
        <v>146.67817083692839</v>
      </c>
      <c r="X16">
        <f t="shared" si="10"/>
        <v>0.46937014667817084</v>
      </c>
      <c r="Y16">
        <f t="shared" si="11"/>
        <v>6.4538395168248488E-3</v>
      </c>
      <c r="Z16" s="3">
        <f>AVERAGE(J64:J65)*(100-X16)/100</f>
        <v>3.7135389513084527</v>
      </c>
      <c r="AA16" s="3">
        <f>AVERAGE(L64:L65)*(100-Y16)/100</f>
        <v>0.95932450762541222</v>
      </c>
      <c r="AB16">
        <f t="shared" si="12"/>
        <v>3.870993518658735</v>
      </c>
      <c r="AC16" s="3">
        <f>AB16/AVERAGE(AD64:AD65)-1</f>
        <v>-1.1822830125325479E-2</v>
      </c>
      <c r="AD16" s="3">
        <f t="shared" si="13"/>
        <v>2.9075542656284834</v>
      </c>
      <c r="AE16" s="3">
        <f t="shared" si="14"/>
        <v>0.21943622873966093</v>
      </c>
      <c r="AF16" s="6">
        <f t="shared" si="15"/>
        <v>0.27536384726782703</v>
      </c>
      <c r="AG16" s="6">
        <f t="shared" si="16"/>
        <v>1.7923161772158841E-3</v>
      </c>
      <c r="AH16" s="3">
        <f>AD16/AVERAGE(AD64:AD65)-1</f>
        <v>-0.25776709994045055</v>
      </c>
      <c r="AI16" s="3">
        <f>AE16/AVERAGE(AE64:AE65)-1</f>
        <v>-0.92819480542851485</v>
      </c>
      <c r="AJ16" s="3">
        <f>AF16/AVERAGE(AF64:AF65)-1</f>
        <v>-0.96281164767261573</v>
      </c>
      <c r="AK16" s="3">
        <f>AG16/AVERAGE(AG64:AG65)-1</f>
        <v>-0.66600372644911354</v>
      </c>
    </row>
    <row r="17" spans="1:37">
      <c r="A17" s="6" t="s">
        <v>328</v>
      </c>
      <c r="B17" s="6" t="s">
        <v>240</v>
      </c>
      <c r="C17">
        <v>106</v>
      </c>
      <c r="D17">
        <v>15.5</v>
      </c>
      <c r="E17">
        <v>0.5</v>
      </c>
      <c r="F17">
        <v>0.86</v>
      </c>
      <c r="G17" s="6">
        <v>0.53</v>
      </c>
      <c r="H17" s="6">
        <v>2.69</v>
      </c>
      <c r="I17" s="6">
        <v>1.31</v>
      </c>
      <c r="J17" s="3">
        <f t="shared" si="0"/>
        <v>4.1015103962338175</v>
      </c>
      <c r="K17" s="3">
        <f t="shared" si="1"/>
        <v>0.30151794841258023</v>
      </c>
      <c r="L17" s="3">
        <f t="shared" si="2"/>
        <v>1.4349083920028411</v>
      </c>
      <c r="M17" s="6">
        <f t="shared" si="3"/>
        <v>0.37878610634587201</v>
      </c>
      <c r="N17" s="6">
        <f t="shared" si="4"/>
        <v>1.1165013481953292</v>
      </c>
      <c r="O17" s="6">
        <f t="shared" si="5"/>
        <v>0.48591693931321783</v>
      </c>
      <c r="P17" s="6">
        <f t="shared" si="6"/>
        <v>67.428944768497374</v>
      </c>
      <c r="Q17" s="6">
        <f t="shared" si="7"/>
        <v>82.588282687070674</v>
      </c>
      <c r="R17" s="6">
        <v>18.09</v>
      </c>
      <c r="S17" s="6">
        <f t="shared" si="8"/>
        <v>1.8090000000000001E-3</v>
      </c>
      <c r="T17" s="3">
        <f>(J17/AVERAGE(J64:J65)-1)*100</f>
        <v>9.9290780141843893</v>
      </c>
      <c r="U17" s="3">
        <f>(K17/AVERAGE(K64:K65)-1)*100</f>
        <v>-89.680082559339525</v>
      </c>
      <c r="V17" s="3">
        <f>(L17/AVERAGE(L64:L65)-1)*100</f>
        <v>49.565217391304351</v>
      </c>
      <c r="W17">
        <f t="shared" si="9"/>
        <v>147.01652878580251</v>
      </c>
      <c r="X17">
        <f t="shared" si="10"/>
        <v>0.47045289211456803</v>
      </c>
      <c r="Y17">
        <f t="shared" si="11"/>
        <v>6.4687272665753101E-3</v>
      </c>
      <c r="Z17" s="3">
        <f>AVERAGE(J64:J65)*(100-X17)/100</f>
        <v>3.7134985535197687</v>
      </c>
      <c r="AA17" s="3">
        <f>AVERAGE(L64:L65)*(100-Y17)/100</f>
        <v>0.95932436479436201</v>
      </c>
      <c r="AB17">
        <f t="shared" si="12"/>
        <v>3.8709519843330398</v>
      </c>
      <c r="AC17">
        <f>AB17/AVERAGE(AD64:AD65)-1</f>
        <v>-1.1833432900096419E-2</v>
      </c>
      <c r="AD17" s="3">
        <f t="shared" si="13"/>
        <v>2.8583778721294819</v>
      </c>
      <c r="AE17" s="3">
        <f>K17/L17</f>
        <v>0.21013045159748653</v>
      </c>
      <c r="AF17" s="6">
        <f t="shared" si="15"/>
        <v>0.26397929544280063</v>
      </c>
      <c r="AG17" s="6">
        <f t="shared" si="16"/>
        <v>1.2607076591663129E-3</v>
      </c>
      <c r="AH17">
        <f>AD17/AVERAGE(AD64:AD65)-1</f>
        <v>-0.27032072192877266</v>
      </c>
      <c r="AI17">
        <f>AE17/AVERAGE(AE64:AE65)-1</f>
        <v>-0.93123989575917976</v>
      </c>
      <c r="AJ17" s="6">
        <f>AF17/AVERAGE(AF64:AF65)-1</f>
        <v>-0.96434915061121562</v>
      </c>
      <c r="AK17" s="6">
        <f>AG17/AVERAGE(AG64:AG65)-1</f>
        <v>-0.76506842623454618</v>
      </c>
    </row>
    <row r="18" spans="1:37">
      <c r="A18" s="6" t="s">
        <v>329</v>
      </c>
      <c r="B18" s="6" t="s">
        <v>240</v>
      </c>
      <c r="C18">
        <v>117</v>
      </c>
      <c r="D18">
        <v>15</v>
      </c>
      <c r="E18">
        <v>0.56999999999999995</v>
      </c>
      <c r="F18">
        <v>0.83</v>
      </c>
      <c r="G18" s="6">
        <v>0.54</v>
      </c>
      <c r="H18" s="6">
        <v>2.61</v>
      </c>
      <c r="I18" s="6">
        <v>1.26</v>
      </c>
      <c r="J18">
        <f t="shared" si="0"/>
        <v>3.9692036092585328</v>
      </c>
      <c r="K18" s="3">
        <f t="shared" ref="K18:K65" si="17">E18*24.305/40.3044</f>
        <v>0.34373046119034145</v>
      </c>
      <c r="L18" s="3">
        <f t="shared" ref="L18:L65" si="18">F18*79.866/47.867</f>
        <v>1.3848534480957655</v>
      </c>
      <c r="M18" s="6">
        <f t="shared" si="3"/>
        <v>0.38593301401277524</v>
      </c>
      <c r="N18" s="6">
        <f t="shared" si="4"/>
        <v>1.0832968471337581</v>
      </c>
      <c r="O18" s="6">
        <f t="shared" si="5"/>
        <v>0.46737049124782787</v>
      </c>
      <c r="P18" s="6">
        <f t="shared" si="6"/>
        <v>67.208522921367802</v>
      </c>
      <c r="Q18" s="6">
        <f t="shared" si="7"/>
        <v>82.305811375755979</v>
      </c>
      <c r="R18" s="6">
        <v>20.55</v>
      </c>
      <c r="S18" s="6">
        <f t="shared" si="8"/>
        <v>2.055E-3</v>
      </c>
      <c r="T18">
        <f>(J18/AVERAGE(J64:J65)-1)*100</f>
        <v>6.3829787234042534</v>
      </c>
      <c r="U18">
        <f>(K18/AVERAGE(K64:K65)-1)*100</f>
        <v>-88.235294117647058</v>
      </c>
      <c r="V18">
        <f>(L18/AVERAGE(L64:L65)-1)*100</f>
        <v>44.34782608695653</v>
      </c>
      <c r="W18">
        <f t="shared" si="9"/>
        <v>144.6480231436837</v>
      </c>
      <c r="X18">
        <f t="shared" si="10"/>
        <v>0.46287367405978785</v>
      </c>
      <c r="Y18">
        <f t="shared" si="11"/>
        <v>6.364513018322083E-3</v>
      </c>
      <c r="Z18">
        <f>AVERAGE(J64:J65)*(100-X18)/100</f>
        <v>3.7137813380405578</v>
      </c>
      <c r="AA18">
        <f>AVERAGE(L64:L65)*(100-Y18)/100</f>
        <v>0.95932536461171269</v>
      </c>
      <c r="AB18">
        <f t="shared" si="12"/>
        <v>3.8712427243531837</v>
      </c>
      <c r="AC18">
        <f>AB18/AVERAGE(AD64:AD65)-1</f>
        <v>-1.1759213543001024E-2</v>
      </c>
      <c r="AD18">
        <f t="shared" si="13"/>
        <v>2.8661542596556786</v>
      </c>
      <c r="AE18">
        <f t="shared" ref="AE18:AE65" si="19">K18/L18</f>
        <v>0.24820710210382621</v>
      </c>
      <c r="AF18" s="6">
        <f t="shared" si="15"/>
        <v>0.27868148398189724</v>
      </c>
      <c r="AG18" s="6">
        <f t="shared" si="16"/>
        <v>1.4839115307296346E-3</v>
      </c>
      <c r="AH18">
        <f>AD18/AVERAGE(AD64:AD65)-1</f>
        <v>-0.26833558592158335</v>
      </c>
      <c r="AI18">
        <f>AE18/AVERAGE(AE64:AE65)-1</f>
        <v>-0.91878023349674676</v>
      </c>
      <c r="AJ18" s="6">
        <f>AF18/AVERAGE(AF64:AF65)-1</f>
        <v>-0.96236359523493642</v>
      </c>
      <c r="AK18" s="6">
        <f>AG18/AVERAGE(AG64:AG65)-1</f>
        <v>-0.72347461466716867</v>
      </c>
    </row>
    <row r="19" spans="1:37">
      <c r="A19" s="6" t="s">
        <v>330</v>
      </c>
      <c r="B19" s="6" t="s">
        <v>240</v>
      </c>
      <c r="C19">
        <v>121</v>
      </c>
      <c r="D19">
        <v>14</v>
      </c>
      <c r="E19">
        <v>0.75</v>
      </c>
      <c r="F19">
        <v>0.81</v>
      </c>
      <c r="G19" s="6">
        <v>0.57999999999999996</v>
      </c>
      <c r="H19" s="6">
        <v>2.44</v>
      </c>
      <c r="I19" s="6">
        <v>1.1000000000000001</v>
      </c>
      <c r="J19" s="3">
        <f t="shared" si="0"/>
        <v>3.7045900353079646</v>
      </c>
      <c r="K19" s="3">
        <f t="shared" si="17"/>
        <v>0.45227692261887031</v>
      </c>
      <c r="L19" s="3">
        <f t="shared" si="18"/>
        <v>1.3514834854910482</v>
      </c>
      <c r="M19" s="6">
        <f t="shared" si="3"/>
        <v>0.41452064468038818</v>
      </c>
      <c r="N19" s="6">
        <f t="shared" si="4"/>
        <v>1.0127372823779193</v>
      </c>
      <c r="O19" s="6">
        <f t="shared" si="5"/>
        <v>0.40802185743857994</v>
      </c>
      <c r="P19" s="6">
        <f t="shared" si="6"/>
        <v>66.871427593193204</v>
      </c>
      <c r="Q19" s="6">
        <f t="shared" si="7"/>
        <v>81.830827895609318</v>
      </c>
      <c r="R19" s="6">
        <v>12.2</v>
      </c>
      <c r="S19" s="6">
        <f t="shared" si="8"/>
        <v>1.2199999999999999E-3</v>
      </c>
      <c r="T19">
        <f>(J19/AVERAGE(J64:J65)-1)*100</f>
        <v>-0.70921985815601829</v>
      </c>
      <c r="U19">
        <f>(K19/AVERAGE(K64:K65)-1)*100</f>
        <v>-84.520123839009287</v>
      </c>
      <c r="V19">
        <f>(L19/AVERAGE(L64:L65)-1)*100</f>
        <v>40.869565217391312</v>
      </c>
      <c r="W19">
        <f t="shared" si="9"/>
        <v>138.55758006394964</v>
      </c>
      <c r="X19">
        <f t="shared" si="10"/>
        <v>0.44338425620463889</v>
      </c>
      <c r="Y19">
        <f t="shared" si="11"/>
        <v>6.0965335228137839E-3</v>
      </c>
      <c r="Z19">
        <f>AVERAGE(J64:J65)*(100-X19)/100</f>
        <v>3.7145084982368717</v>
      </c>
      <c r="AA19">
        <f>AVERAGE(L64:L65)*(100-Y19)/100</f>
        <v>0.95932793557061413</v>
      </c>
      <c r="AB19">
        <f t="shared" si="12"/>
        <v>3.8719903387650847</v>
      </c>
      <c r="AC19">
        <f>AB19/AVERAGE(AD64:AD65)-1</f>
        <v>-1.1568364477987481E-2</v>
      </c>
      <c r="AD19">
        <f t="shared" si="13"/>
        <v>2.7411286005925097</v>
      </c>
      <c r="AE19">
        <f t="shared" si="19"/>
        <v>0.33465220069229329</v>
      </c>
      <c r="AF19" s="6">
        <f t="shared" si="15"/>
        <v>0.30671528666869075</v>
      </c>
      <c r="AG19" s="6">
        <f t="shared" si="16"/>
        <v>9.0271173351165663E-4</v>
      </c>
      <c r="AH19">
        <f>AD19/AVERAGE(AD64:AD65)-1</f>
        <v>-0.30025181139167056</v>
      </c>
      <c r="AI19" s="3">
        <f>AE19/AVERAGE(AE64:AE65)-1</f>
        <v>-0.89049316732017514</v>
      </c>
      <c r="AJ19" s="3">
        <f>AF19/AVERAGE(AF64:AF65)-1</f>
        <v>-0.95857758286716599</v>
      </c>
      <c r="AK19" s="3">
        <f>AG19/AVERAGE(AG64:AG65)-1</f>
        <v>-0.8317805982469586</v>
      </c>
    </row>
    <row r="20" spans="1:37">
      <c r="A20" s="6" t="s">
        <v>331</v>
      </c>
      <c r="B20" s="6" t="s">
        <v>240</v>
      </c>
      <c r="C20">
        <v>106</v>
      </c>
      <c r="D20">
        <v>15.6</v>
      </c>
      <c r="E20">
        <v>0.64</v>
      </c>
      <c r="F20">
        <v>0.9</v>
      </c>
      <c r="G20" s="6">
        <v>0.47</v>
      </c>
      <c r="H20" s="6">
        <v>2.59</v>
      </c>
      <c r="I20" s="6">
        <v>1.35</v>
      </c>
      <c r="J20" s="3">
        <f t="shared" si="0"/>
        <v>4.1279717536288745</v>
      </c>
      <c r="K20" s="3">
        <f t="shared" si="17"/>
        <v>0.38594297396810273</v>
      </c>
      <c r="L20" s="3">
        <f t="shared" si="18"/>
        <v>1.5016483172122759</v>
      </c>
      <c r="M20" s="6">
        <f t="shared" si="3"/>
        <v>0.33590466034445254</v>
      </c>
      <c r="N20" s="6">
        <f t="shared" si="4"/>
        <v>1.074995721868365</v>
      </c>
      <c r="O20" s="6">
        <f t="shared" si="5"/>
        <v>0.50075409776552993</v>
      </c>
      <c r="P20" s="6">
        <f t="shared" si="6"/>
        <v>68.348132714885011</v>
      </c>
      <c r="Q20" s="6">
        <f t="shared" si="7"/>
        <v>83.147612775377652</v>
      </c>
      <c r="R20" s="6">
        <v>1.01</v>
      </c>
      <c r="S20" s="6">
        <f t="shared" si="8"/>
        <v>1.01E-4</v>
      </c>
      <c r="T20">
        <f>(J20/AVERAGE(J64:J65)-1)*100</f>
        <v>10.638297872340431</v>
      </c>
      <c r="U20">
        <f>(K20/AVERAGE(K64:K65)-1)*100</f>
        <v>-86.790505675954591</v>
      </c>
      <c r="V20">
        <f>(L20/AVERAGE(L64:L65)-1)*100</f>
        <v>56.52173913043481</v>
      </c>
      <c r="W20">
        <f t="shared" si="9"/>
        <v>142.2795175015649</v>
      </c>
      <c r="X20">
        <f t="shared" si="10"/>
        <v>0.45529445600500767</v>
      </c>
      <c r="Y20">
        <f t="shared" si="11"/>
        <v>6.2602987700688551E-3</v>
      </c>
      <c r="Z20">
        <f>AVERAGE(J64:J65)*(100-X20)/100</f>
        <v>3.7140641225613469</v>
      </c>
      <c r="AA20">
        <f>AVERAGE(L64:L65)*(100-Y20)/100</f>
        <v>0.95932636442906316</v>
      </c>
      <c r="AB20">
        <f t="shared" si="12"/>
        <v>3.8715334637673049</v>
      </c>
      <c r="AC20">
        <f>AB20/AVERAGE(AD64:AD65)-1</f>
        <v>-1.1684994340609656E-2</v>
      </c>
      <c r="AD20">
        <f t="shared" si="13"/>
        <v>2.7489603965942022</v>
      </c>
      <c r="AE20">
        <f t="shared" si="19"/>
        <v>0.25701289013168127</v>
      </c>
      <c r="AF20" s="6">
        <f t="shared" si="15"/>
        <v>0.22369063148423482</v>
      </c>
      <c r="AG20" s="6">
        <f t="shared" si="16"/>
        <v>6.7259423423122615E-5</v>
      </c>
      <c r="AH20">
        <f>AD20/AVERAGE(AD64:AD65)-1</f>
        <v>-0.29825253085278969</v>
      </c>
      <c r="AI20" s="3">
        <f>AE20/AVERAGE(AE64:AE65)-1</f>
        <v>-0.91589875250189456</v>
      </c>
      <c r="AJ20" s="3">
        <f>AF20/AVERAGE(AF64:AF65)-1</f>
        <v>-0.96979020267726068</v>
      </c>
      <c r="AK20" s="3">
        <f>AG20/AVERAGE(AG64:AG65)-1</f>
        <v>-0.98746627572184309</v>
      </c>
    </row>
    <row r="21" spans="1:37">
      <c r="A21" s="6" t="s">
        <v>332</v>
      </c>
      <c r="B21" s="6" t="s">
        <v>240</v>
      </c>
      <c r="C21">
        <v>122</v>
      </c>
      <c r="D21">
        <v>15.3</v>
      </c>
      <c r="E21">
        <v>0.95</v>
      </c>
      <c r="F21">
        <v>0.85</v>
      </c>
      <c r="G21" s="6">
        <v>0.47</v>
      </c>
      <c r="H21" s="6">
        <v>2.35</v>
      </c>
      <c r="I21" s="6">
        <v>1.25</v>
      </c>
      <c r="J21" s="3">
        <f t="shared" si="0"/>
        <v>4.0485876814437036</v>
      </c>
      <c r="K21" s="3">
        <f t="shared" si="17"/>
        <v>0.57288410198390249</v>
      </c>
      <c r="L21" s="3">
        <f t="shared" si="18"/>
        <v>1.4182234107004827</v>
      </c>
      <c r="M21" s="6">
        <f t="shared" si="3"/>
        <v>0.33590466034445254</v>
      </c>
      <c r="N21" s="6">
        <f t="shared" si="4"/>
        <v>0.97538221868365182</v>
      </c>
      <c r="O21" s="6">
        <f t="shared" si="5"/>
        <v>0.46366120163474983</v>
      </c>
      <c r="P21" s="6">
        <f t="shared" si="6"/>
        <v>69.521126800450901</v>
      </c>
      <c r="Q21" s="6">
        <f t="shared" si="7"/>
        <v>83.507827158982877</v>
      </c>
      <c r="R21" s="6">
        <v>2.14</v>
      </c>
      <c r="S21" s="6">
        <f t="shared" si="8"/>
        <v>2.1400000000000002E-4</v>
      </c>
      <c r="T21">
        <f>(J21/AVERAGE(J64:J65)-1)*100</f>
        <v>8.5106382978723296</v>
      </c>
      <c r="U21">
        <f>(K21/AVERAGE(K64:K65)-1)*100</f>
        <v>-80.392156862745097</v>
      </c>
      <c r="V21">
        <f>(L21/AVERAGE(L64:L65)-1)*100</f>
        <v>47.826086956521749</v>
      </c>
      <c r="W21">
        <f t="shared" si="9"/>
        <v>131.79042108646738</v>
      </c>
      <c r="X21">
        <f t="shared" si="10"/>
        <v>0.4217293474766956</v>
      </c>
      <c r="Y21">
        <f t="shared" si="11"/>
        <v>5.798778527804564E-3</v>
      </c>
      <c r="Z21">
        <f>AVERAGE(J64:J65)*(100-X21)/100</f>
        <v>3.7153164540105541</v>
      </c>
      <c r="AA21">
        <f>AVERAGE(L64:L65)*(100-Y21)/100</f>
        <v>0.95933079219161554</v>
      </c>
      <c r="AB21">
        <f t="shared" si="12"/>
        <v>3.8728210167452453</v>
      </c>
      <c r="AC21">
        <f>AB21/AVERAGE(AD64:AD65)-1</f>
        <v>-1.13563111610403E-2</v>
      </c>
      <c r="AD21">
        <f t="shared" si="13"/>
        <v>2.854689642617056</v>
      </c>
      <c r="AE21">
        <f t="shared" si="19"/>
        <v>0.40394489165916819</v>
      </c>
      <c r="AF21" s="6">
        <f t="shared" si="15"/>
        <v>0.23684890392448393</v>
      </c>
      <c r="AG21" s="6">
        <f t="shared" si="16"/>
        <v>1.5089301049846728E-4</v>
      </c>
      <c r="AH21">
        <f>AD21/AVERAGE(AD64:AD65)-1</f>
        <v>-0.27126224357789708</v>
      </c>
      <c r="AI21">
        <f>AE21/AVERAGE(AE64:AE65)-1</f>
        <v>-0.86781881137705852</v>
      </c>
      <c r="AJ21" s="6">
        <f>AF21/AVERAGE(AF64:AF65)-1</f>
        <v>-0.96801315577592306</v>
      </c>
      <c r="AK21" s="6">
        <f>AG21/AVERAGE(AG64:AG65)-1</f>
        <v>-0.9718812429123701</v>
      </c>
    </row>
    <row r="22" spans="1:37">
      <c r="A22" s="6" t="s">
        <v>333</v>
      </c>
      <c r="B22" s="6" t="s">
        <v>240</v>
      </c>
      <c r="C22">
        <v>130</v>
      </c>
      <c r="D22">
        <v>14.9</v>
      </c>
      <c r="E22">
        <v>0.75</v>
      </c>
      <c r="F22">
        <v>0.83</v>
      </c>
      <c r="G22" s="6">
        <v>0.56000000000000005</v>
      </c>
      <c r="H22" s="6">
        <v>2.41</v>
      </c>
      <c r="I22" s="6">
        <v>1.27</v>
      </c>
      <c r="J22">
        <f t="shared" si="0"/>
        <v>3.9427422518634763</v>
      </c>
      <c r="K22" s="3">
        <f t="shared" si="17"/>
        <v>0.45227692261887031</v>
      </c>
      <c r="L22" s="3">
        <f t="shared" si="18"/>
        <v>1.3848534480957655</v>
      </c>
      <c r="M22" s="6">
        <f t="shared" si="3"/>
        <v>0.40022682934658177</v>
      </c>
      <c r="N22" s="6">
        <f t="shared" si="4"/>
        <v>1.0002855944798301</v>
      </c>
      <c r="O22" s="6">
        <f t="shared" si="5"/>
        <v>0.47107978086090585</v>
      </c>
      <c r="P22" s="6">
        <f t="shared" si="6"/>
        <v>67.810723330876428</v>
      </c>
      <c r="Q22" s="6">
        <f t="shared" si="7"/>
        <v>81.900752668458381</v>
      </c>
      <c r="R22" s="6">
        <v>4.05</v>
      </c>
      <c r="S22" s="6">
        <f t="shared" si="8"/>
        <v>4.0499999999999998E-4</v>
      </c>
      <c r="T22">
        <f>(J22/AVERAGE(J64:J65)-1)*100</f>
        <v>5.6737588652482351</v>
      </c>
      <c r="U22">
        <f>(K22/AVERAGE(K64:K65)-1)*100</f>
        <v>-84.520123839009287</v>
      </c>
      <c r="V22">
        <f>(L22/AVERAGE(L64:L65)-1)*100</f>
        <v>44.34782608695653</v>
      </c>
      <c r="W22">
        <f t="shared" si="9"/>
        <v>138.55758006394964</v>
      </c>
      <c r="X22">
        <f t="shared" si="10"/>
        <v>0.44338425620463889</v>
      </c>
      <c r="Y22">
        <f t="shared" si="11"/>
        <v>6.0965335228137839E-3</v>
      </c>
      <c r="Z22">
        <f>AVERAGE(J64:J65)*(100-X22)/100</f>
        <v>3.7145084982368717</v>
      </c>
      <c r="AA22">
        <f>AVERAGE(L64:L65)*(100-Y22)/100</f>
        <v>0.95932793557061413</v>
      </c>
      <c r="AB22">
        <f t="shared" si="12"/>
        <v>3.8719903387650847</v>
      </c>
      <c r="AC22">
        <f>AB22/AVERAGE(AD64:AD65)-1</f>
        <v>-1.1568364477987481E-2</v>
      </c>
      <c r="AD22">
        <f t="shared" si="13"/>
        <v>2.8470465645913077</v>
      </c>
      <c r="AE22">
        <f t="shared" si="19"/>
        <v>0.32658829224187658</v>
      </c>
      <c r="AF22" s="6">
        <f t="shared" si="15"/>
        <v>0.28900302042567122</v>
      </c>
      <c r="AG22" s="6">
        <f t="shared" si="16"/>
        <v>2.9244971773503749E-4</v>
      </c>
      <c r="AH22">
        <f>AD22/AVERAGE(AD64:AD65)-1</f>
        <v>-0.27321334868210612</v>
      </c>
      <c r="AI22">
        <f>AE22/AVERAGE(AE64:AE65)-1</f>
        <v>-0.89313188617993</v>
      </c>
      <c r="AJ22" s="6">
        <f>AF22/AVERAGE(AF64:AF65)-1</f>
        <v>-0.96096965431771186</v>
      </c>
      <c r="AK22" s="6">
        <f>AG22/AVERAGE(AG64:AG65)-1</f>
        <v>-0.94550229632126681</v>
      </c>
    </row>
    <row r="23" spans="1:37">
      <c r="A23" s="6" t="s">
        <v>334</v>
      </c>
      <c r="B23" s="6" t="s">
        <v>240</v>
      </c>
      <c r="C23">
        <v>144</v>
      </c>
      <c r="D23">
        <v>16.2</v>
      </c>
      <c r="E23">
        <v>1.54</v>
      </c>
      <c r="F23">
        <v>0.89</v>
      </c>
      <c r="G23" s="6">
        <v>1.02</v>
      </c>
      <c r="H23" s="6">
        <v>2.4900000000000002</v>
      </c>
      <c r="I23" s="6">
        <v>1.27</v>
      </c>
      <c r="J23" s="3">
        <f t="shared" si="0"/>
        <v>4.2867398979992153</v>
      </c>
      <c r="K23" s="3">
        <f t="shared" si="17"/>
        <v>0.92867528111074726</v>
      </c>
      <c r="L23" s="3">
        <f t="shared" si="18"/>
        <v>1.4849633359099172</v>
      </c>
      <c r="M23" s="6">
        <f t="shared" si="3"/>
        <v>0.72898458202413108</v>
      </c>
      <c r="N23" s="6">
        <f t="shared" si="4"/>
        <v>1.0334900955414013</v>
      </c>
      <c r="O23" s="6">
        <f t="shared" si="5"/>
        <v>0.47107978086090585</v>
      </c>
      <c r="P23" s="6">
        <f t="shared" si="6"/>
        <v>65.744576297766315</v>
      </c>
      <c r="Q23" s="6">
        <f t="shared" si="7"/>
        <v>78.128172505799682</v>
      </c>
      <c r="R23" s="6">
        <v>6.01</v>
      </c>
      <c r="S23" s="6">
        <f t="shared" si="8"/>
        <v>6.0099999999999997E-4</v>
      </c>
      <c r="T23">
        <f>(J23/AVERAGE(J64:J65)-1)*100</f>
        <v>14.893617021276583</v>
      </c>
      <c r="U23">
        <f>(K23/AVERAGE(K64:K65)-1)*100</f>
        <v>-68.214654282765736</v>
      </c>
      <c r="V23">
        <f>(L23/AVERAGE(L64:L65)-1)*100</f>
        <v>54.782608695652193</v>
      </c>
      <c r="W23">
        <f t="shared" si="9"/>
        <v>111.82730210289465</v>
      </c>
      <c r="X23">
        <f t="shared" si="10"/>
        <v>0.35784736672926287</v>
      </c>
      <c r="Y23">
        <f t="shared" si="11"/>
        <v>4.9204012925273648E-3</v>
      </c>
      <c r="Z23">
        <f>AVERAGE(J64:J65)*(100-X23)/100</f>
        <v>3.7176999235429178</v>
      </c>
      <c r="AA23">
        <f>AVERAGE(L64:L65)*(100-Y23)/100</f>
        <v>0.95933921922357013</v>
      </c>
      <c r="AB23">
        <f t="shared" si="12"/>
        <v>3.8752714879641785</v>
      </c>
      <c r="AC23">
        <f>AB23/AVERAGE(AD64:AD65)-1</f>
        <v>-1.0730761233789687E-2</v>
      </c>
      <c r="AD23">
        <f t="shared" si="13"/>
        <v>2.8867648071408429</v>
      </c>
      <c r="AE23">
        <f t="shared" si="19"/>
        <v>0.62538600021508128</v>
      </c>
      <c r="AF23" s="6">
        <f t="shared" si="15"/>
        <v>0.49091082883702503</v>
      </c>
      <c r="AG23" s="6">
        <f t="shared" si="16"/>
        <v>4.0472379719175679E-4</v>
      </c>
      <c r="AH23">
        <f>AD23/AVERAGE(AD64:AD65)-1</f>
        <v>-0.26307417889899709</v>
      </c>
      <c r="AI23" s="3">
        <f>AE23/AVERAGE(AE64:AE65)-1</f>
        <v>-0.79535756841226446</v>
      </c>
      <c r="AJ23" s="3">
        <f>AF23/AVERAGE(AF64:AF65)-1</f>
        <v>-0.93370166401559962</v>
      </c>
      <c r="AK23" s="3">
        <f>AG23/AVERAGE(AG64:AG65)-1</f>
        <v>-0.92458013725603416</v>
      </c>
    </row>
    <row r="24" spans="1:37">
      <c r="A24" s="6" t="s">
        <v>335</v>
      </c>
      <c r="B24" s="6" t="s">
        <v>240</v>
      </c>
      <c r="C24">
        <v>153</v>
      </c>
      <c r="D24">
        <v>15.7</v>
      </c>
      <c r="E24">
        <v>0.49</v>
      </c>
      <c r="F24">
        <v>0.87</v>
      </c>
      <c r="G24" s="6">
        <v>0.5</v>
      </c>
      <c r="H24" s="6">
        <v>2.71</v>
      </c>
      <c r="I24" s="6">
        <v>1.35</v>
      </c>
      <c r="J24" s="3">
        <f t="shared" si="0"/>
        <v>4.1544331110239314</v>
      </c>
      <c r="K24" s="3">
        <f t="shared" si="17"/>
        <v>0.29548758944432862</v>
      </c>
      <c r="L24" s="3">
        <f t="shared" si="18"/>
        <v>1.4515933733051998</v>
      </c>
      <c r="M24" s="6">
        <f t="shared" si="3"/>
        <v>0.35734538334516225</v>
      </c>
      <c r="N24" s="6">
        <f t="shared" si="4"/>
        <v>1.1248024734607218</v>
      </c>
      <c r="O24" s="6">
        <f t="shared" si="5"/>
        <v>0.50075409776552993</v>
      </c>
      <c r="P24" s="6">
        <f t="shared" si="6"/>
        <v>67.691156937362607</v>
      </c>
      <c r="Q24" s="6">
        <f t="shared" si="7"/>
        <v>82.880919668090101</v>
      </c>
      <c r="R24" s="6">
        <v>5.73</v>
      </c>
      <c r="S24" s="6">
        <f t="shared" si="8"/>
        <v>5.7300000000000005E-4</v>
      </c>
      <c r="T24">
        <f>(J24/AVERAGE(J64:J65)-1)*100</f>
        <v>11.347517730496449</v>
      </c>
      <c r="U24">
        <f>(K24/AVERAGE(K64:K65)-1)*100</f>
        <v>-89.886480908152734</v>
      </c>
      <c r="V24">
        <f>(L24/AVERAGE(L64:L65)-1)*100</f>
        <v>51.304347826086946</v>
      </c>
      <c r="W24">
        <f t="shared" si="9"/>
        <v>147.35488673467663</v>
      </c>
      <c r="X24">
        <f t="shared" si="10"/>
        <v>0.47153563755096523</v>
      </c>
      <c r="Y24">
        <f t="shared" si="11"/>
        <v>6.4836150163257713E-3</v>
      </c>
      <c r="Z24">
        <f>AVERAGE(J64:J65)*(100-X24)/100</f>
        <v>3.7134581557310842</v>
      </c>
      <c r="AA24">
        <f>AVERAGE(L64:L65)*(100-Y24)/100</f>
        <v>0.95932422196331213</v>
      </c>
      <c r="AB24">
        <f t="shared" si="12"/>
        <v>3.8709104499949754</v>
      </c>
      <c r="AC24">
        <f>AB24/AVERAGE(AD64:AD65)-1</f>
        <v>-1.1844035678024945E-2</v>
      </c>
      <c r="AD24">
        <f t="shared" si="13"/>
        <v>2.861981314756564</v>
      </c>
      <c r="AE24">
        <f t="shared" si="19"/>
        <v>0.20356085586938119</v>
      </c>
      <c r="AF24" s="6">
        <f t="shared" si="15"/>
        <v>0.24617457610150567</v>
      </c>
      <c r="AG24" s="6">
        <f t="shared" si="16"/>
        <v>3.947386441254619E-4</v>
      </c>
      <c r="AH24">
        <f>AD24/AVERAGE(AD64:AD65)-1</f>
        <v>-0.2694008444554904</v>
      </c>
      <c r="AI24" s="3">
        <f>AE24/AVERAGE(AE64:AE65)-1</f>
        <v>-0.9333896369492376</v>
      </c>
      <c r="AJ24" s="3">
        <f>AF24/AVERAGE(AF64:AF65)-1</f>
        <v>-0.96675370800872418</v>
      </c>
      <c r="AK24" s="3">
        <f>AG24/AVERAGE(AG64:AG65)-1</f>
        <v>-0.92644086024529948</v>
      </c>
    </row>
    <row r="25" spans="1:37">
      <c r="A25" s="6" t="s">
        <v>336</v>
      </c>
      <c r="B25" s="6" t="s">
        <v>240</v>
      </c>
      <c r="C25">
        <v>159</v>
      </c>
      <c r="D25">
        <v>15.6</v>
      </c>
      <c r="E25">
        <v>0.62</v>
      </c>
      <c r="F25">
        <v>0.86</v>
      </c>
      <c r="G25" s="6">
        <v>0.59</v>
      </c>
      <c r="H25" s="6">
        <v>2.63</v>
      </c>
      <c r="I25" s="6">
        <v>1.3</v>
      </c>
      <c r="J25" s="3">
        <f t="shared" si="0"/>
        <v>4.1279717536288745</v>
      </c>
      <c r="K25" s="3">
        <f t="shared" si="17"/>
        <v>0.37388225603159947</v>
      </c>
      <c r="L25" s="3">
        <f t="shared" si="18"/>
        <v>1.4349083920028411</v>
      </c>
      <c r="M25" s="6">
        <f t="shared" si="3"/>
        <v>0.42166755234729142</v>
      </c>
      <c r="N25" s="6">
        <f t="shared" si="4"/>
        <v>1.0915979723991507</v>
      </c>
      <c r="O25" s="6">
        <f t="shared" si="5"/>
        <v>0.48220764970013991</v>
      </c>
      <c r="P25" s="6">
        <f t="shared" si="6"/>
        <v>67.412572532537808</v>
      </c>
      <c r="Q25" s="6">
        <f t="shared" si="7"/>
        <v>82.036909905858892</v>
      </c>
      <c r="R25" s="6">
        <v>4.84</v>
      </c>
      <c r="S25" s="6">
        <f t="shared" si="8"/>
        <v>4.84E-4</v>
      </c>
      <c r="T25">
        <f>(J25/AVERAGE(J64:J65)-1)*100</f>
        <v>10.638297872340431</v>
      </c>
      <c r="U25">
        <f>(K25/AVERAGE(K64:K65)-1)*100</f>
        <v>-87.20330237358101</v>
      </c>
      <c r="V25">
        <f>(L25/AVERAGE(L64:L65)-1)*100</f>
        <v>49.565217391304351</v>
      </c>
      <c r="W25">
        <f t="shared" si="9"/>
        <v>142.95623339931313</v>
      </c>
      <c r="X25">
        <f t="shared" si="10"/>
        <v>0.45745994687780206</v>
      </c>
      <c r="Y25">
        <f t="shared" si="11"/>
        <v>6.2900742695697776E-3</v>
      </c>
      <c r="Z25">
        <f>AVERAGE(J64:J65)*(100-X25)/100</f>
        <v>3.7139833269839784</v>
      </c>
      <c r="AA25">
        <f>AVERAGE(L64:L65)*(100-Y25)/100</f>
        <v>0.95932607876696308</v>
      </c>
      <c r="AB25">
        <f t="shared" si="12"/>
        <v>3.8714503954251089</v>
      </c>
      <c r="AC25">
        <f>AB25/AVERAGE(AD64:AD65)-1</f>
        <v>-1.1706199811221119E-2</v>
      </c>
      <c r="AD25">
        <f t="shared" si="13"/>
        <v>2.8768190196916077</v>
      </c>
      <c r="AE25">
        <f t="shared" si="19"/>
        <v>0.26056175998088327</v>
      </c>
      <c r="AF25" s="6">
        <f t="shared" si="15"/>
        <v>0.29386374398349502</v>
      </c>
      <c r="AG25" s="6">
        <f t="shared" si="16"/>
        <v>3.3730376287257902E-4</v>
      </c>
      <c r="AH25">
        <f>AD25/AVERAGE(AD64:AD65)-1</f>
        <v>-0.26561311368315188</v>
      </c>
      <c r="AI25">
        <f>AE25/AVERAGE(AE64:AE65)-1</f>
        <v>-0.9147374707413829</v>
      </c>
      <c r="AJ25" s="6">
        <f>AF25/AVERAGE(AF64:AF65)-1</f>
        <v>-0.96031320539739096</v>
      </c>
      <c r="AK25" s="6">
        <f>AG25/AVERAGE(AG64:AG65)-1</f>
        <v>-0.93714379120924285</v>
      </c>
    </row>
    <row r="26" spans="1:37">
      <c r="A26" s="6" t="s">
        <v>337</v>
      </c>
      <c r="B26" s="6" t="s">
        <v>240</v>
      </c>
      <c r="C26">
        <v>170</v>
      </c>
      <c r="D26">
        <v>13.6</v>
      </c>
      <c r="E26">
        <v>1.99</v>
      </c>
      <c r="F26">
        <v>0.75</v>
      </c>
      <c r="G26" s="6">
        <v>2.06</v>
      </c>
      <c r="H26" s="6">
        <v>2.17</v>
      </c>
      <c r="I26" s="6">
        <v>0.97</v>
      </c>
      <c r="J26">
        <f t="shared" si="0"/>
        <v>3.5987446057277364</v>
      </c>
      <c r="K26" s="3">
        <f t="shared" si="17"/>
        <v>1.2000414346820694</v>
      </c>
      <c r="L26" s="3">
        <f t="shared" si="18"/>
        <v>1.2513735976768965</v>
      </c>
      <c r="M26" s="6">
        <f t="shared" si="3"/>
        <v>1.4722629793820685</v>
      </c>
      <c r="N26" s="6">
        <f t="shared" si="4"/>
        <v>0.90067209129511672</v>
      </c>
      <c r="O26" s="6">
        <f t="shared" si="5"/>
        <v>0.3598010924685659</v>
      </c>
      <c r="P26" s="6">
        <f t="shared" si="6"/>
        <v>56.838909207775004</v>
      </c>
      <c r="Q26" s="6">
        <f t="shared" si="7"/>
        <v>66.265354192746813</v>
      </c>
      <c r="R26" s="6">
        <v>16.47</v>
      </c>
      <c r="S26" s="6">
        <f t="shared" si="8"/>
        <v>1.6469999999999998E-3</v>
      </c>
      <c r="T26">
        <f>(J26/AVERAGE(J64:J65)-1)*100</f>
        <v>-3.546099290780147</v>
      </c>
      <c r="U26">
        <f>(K26/AVERAGE(K64:K65)-1)*100</f>
        <v>-58.926728586171315</v>
      </c>
      <c r="V26">
        <f>(L26/AVERAGE(L64:L65)-1)*100</f>
        <v>30.434782608695677</v>
      </c>
      <c r="W26">
        <f t="shared" si="9"/>
        <v>96.601194403559532</v>
      </c>
      <c r="X26">
        <f t="shared" si="10"/>
        <v>0.3091238220913905</v>
      </c>
      <c r="Y26">
        <f t="shared" si="11"/>
        <v>4.2504525537566196E-3</v>
      </c>
      <c r="Z26">
        <f>AVERAGE(J64:J65)*(100-X26)/100</f>
        <v>3.7195178240337032</v>
      </c>
      <c r="AA26">
        <f>AVERAGE(L64:L65)*(100-Y26)/100</f>
        <v>0.95934564662082356</v>
      </c>
      <c r="AB26">
        <f t="shared" si="12"/>
        <v>3.8771404624967496</v>
      </c>
      <c r="AC26">
        <f>AB26/AVERAGE(AD64:AD65)-1</f>
        <v>-1.025365427009628E-2</v>
      </c>
      <c r="AD26">
        <f t="shared" si="13"/>
        <v>2.8758354918216269</v>
      </c>
      <c r="AE26">
        <f t="shared" si="19"/>
        <v>0.95897934630383574</v>
      </c>
      <c r="AF26" s="6">
        <f t="shared" si="15"/>
        <v>1.1765175341043159</v>
      </c>
      <c r="AG26" s="6">
        <f t="shared" si="16"/>
        <v>1.3161537074599953E-3</v>
      </c>
      <c r="AH26">
        <f>AD26/AVERAGE(AD64:AD65)-1</f>
        <v>-0.26586418612291851</v>
      </c>
      <c r="AI26">
        <f>AE26/AVERAGE(AE64:AE65)-1</f>
        <v>-0.68619722027269403</v>
      </c>
      <c r="AJ26" s="6">
        <f>AF26/AVERAGE(AF64:AF65)-1</f>
        <v>-0.84110932131529448</v>
      </c>
      <c r="AK26" s="6">
        <f>AG26/AVERAGE(AG64:AG65)-1</f>
        <v>-0.75473611224406567</v>
      </c>
    </row>
    <row r="27" spans="1:37">
      <c r="A27" s="6" t="s">
        <v>338</v>
      </c>
      <c r="B27" s="6" t="s">
        <v>240</v>
      </c>
      <c r="C27">
        <v>172</v>
      </c>
      <c r="D27">
        <v>14.2</v>
      </c>
      <c r="E27">
        <v>0.64</v>
      </c>
      <c r="F27">
        <v>0.82</v>
      </c>
      <c r="G27" s="6">
        <v>0.6</v>
      </c>
      <c r="H27" s="6">
        <v>2.31</v>
      </c>
      <c r="I27" s="6">
        <v>1.22</v>
      </c>
      <c r="J27" s="3">
        <f t="shared" si="0"/>
        <v>3.7575127500980776</v>
      </c>
      <c r="K27" s="3">
        <f t="shared" si="17"/>
        <v>0.38594297396810273</v>
      </c>
      <c r="L27" s="3">
        <f t="shared" si="18"/>
        <v>1.3681684667934066</v>
      </c>
      <c r="M27" s="6">
        <f t="shared" si="3"/>
        <v>0.42881446001419471</v>
      </c>
      <c r="N27" s="6">
        <f t="shared" si="4"/>
        <v>0.95877996815286626</v>
      </c>
      <c r="O27" s="6">
        <f t="shared" si="5"/>
        <v>0.45253333279551583</v>
      </c>
      <c r="P27" s="6">
        <f t="shared" si="6"/>
        <v>67.126724959800882</v>
      </c>
      <c r="Q27" s="6">
        <f t="shared" si="7"/>
        <v>81.000769808500166</v>
      </c>
      <c r="R27" s="6">
        <v>29.53</v>
      </c>
      <c r="S27" s="6">
        <f t="shared" si="8"/>
        <v>2.9530000000000003E-3</v>
      </c>
      <c r="T27">
        <f>(J27/AVERAGE(J64:J65)-1)*100</f>
        <v>0.70921985815601829</v>
      </c>
      <c r="U27">
        <f>(K27/AVERAGE(K64:K65)-1)*100</f>
        <v>-86.790505675954591</v>
      </c>
      <c r="V27">
        <f>(L27/AVERAGE(L64:L65)-1)*100</f>
        <v>42.608695652173914</v>
      </c>
      <c r="W27">
        <f t="shared" si="9"/>
        <v>142.2795175015649</v>
      </c>
      <c r="X27">
        <f t="shared" si="10"/>
        <v>0.45529445600500767</v>
      </c>
      <c r="Y27">
        <f t="shared" si="11"/>
        <v>6.2602987700688551E-3</v>
      </c>
      <c r="Z27">
        <f>AVERAGE(J64:J65)*(100-X27)/100</f>
        <v>3.7140641225613469</v>
      </c>
      <c r="AA27">
        <f>AVERAGE(L64:L65)*(100-Y27)/100</f>
        <v>0.95932636442906316</v>
      </c>
      <c r="AB27">
        <f t="shared" si="12"/>
        <v>3.8715334637673049</v>
      </c>
      <c r="AC27" s="3">
        <f>AB27/AVERAGE(AD64:AD65)-1</f>
        <v>-1.1684994340609656E-2</v>
      </c>
      <c r="AD27">
        <f t="shared" si="13"/>
        <v>2.7463816344960841</v>
      </c>
      <c r="AE27">
        <f t="shared" si="19"/>
        <v>0.28208731843721119</v>
      </c>
      <c r="AF27" s="6">
        <f t="shared" si="15"/>
        <v>0.31342226518289262</v>
      </c>
      <c r="AG27" s="6">
        <f t="shared" si="16"/>
        <v>2.1583599327654312E-3</v>
      </c>
      <c r="AH27">
        <f>AD27/AVERAGE(AD64:AD65)-1</f>
        <v>-0.29891083054242118</v>
      </c>
      <c r="AI27" s="3">
        <f>AE27/AVERAGE(AE64:AE65)-1</f>
        <v>-0.90769375274598185</v>
      </c>
      <c r="AJ27" s="3">
        <f>AF27/AVERAGE(AF64:AF65)-1</f>
        <v>-0.95767179409891223</v>
      </c>
      <c r="AK27" s="3">
        <f>AG27/AVERAGE(AG64:AG65)-1</f>
        <v>-0.59779184962499754</v>
      </c>
    </row>
    <row r="28" spans="1:37">
      <c r="A28" s="6" t="s">
        <v>339</v>
      </c>
      <c r="B28" s="6" t="s">
        <v>240</v>
      </c>
      <c r="C28">
        <v>176</v>
      </c>
      <c r="D28">
        <v>13.4</v>
      </c>
      <c r="E28">
        <v>1.08</v>
      </c>
      <c r="F28">
        <v>0.75</v>
      </c>
      <c r="G28" s="6">
        <v>0.57999999999999996</v>
      </c>
      <c r="H28" s="6">
        <v>2.14</v>
      </c>
      <c r="I28" s="6">
        <v>0.99</v>
      </c>
      <c r="J28" s="3">
        <f t="shared" si="0"/>
        <v>3.5458218909376233</v>
      </c>
      <c r="K28" s="3">
        <f t="shared" si="17"/>
        <v>0.65127876857117339</v>
      </c>
      <c r="L28" s="3">
        <f t="shared" si="18"/>
        <v>1.2513735976768965</v>
      </c>
      <c r="M28" s="6">
        <f t="shared" si="3"/>
        <v>0.41452064468038818</v>
      </c>
      <c r="N28" s="6">
        <f t="shared" si="4"/>
        <v>0.88822040339702768</v>
      </c>
      <c r="O28" s="6">
        <f t="shared" si="5"/>
        <v>0.36721967169472186</v>
      </c>
      <c r="P28" s="6">
        <f t="shared" si="6"/>
        <v>67.98254750220714</v>
      </c>
      <c r="Q28" s="6">
        <f t="shared" si="7"/>
        <v>81.935780956444205</v>
      </c>
      <c r="R28" s="6">
        <v>15.17</v>
      </c>
      <c r="S28" s="6">
        <f t="shared" si="8"/>
        <v>1.5169999999999999E-3</v>
      </c>
      <c r="T28">
        <f>(J28/AVERAGE(J64:J65)-1)*100</f>
        <v>-4.9645390070921831</v>
      </c>
      <c r="U28">
        <f>(K28/AVERAGE(K64:K65)-1)*100</f>
        <v>-77.708978328173373</v>
      </c>
      <c r="V28">
        <f>(L28/AVERAGE(L64:L65)-1)*100</f>
        <v>30.434782608695677</v>
      </c>
      <c r="W28">
        <f t="shared" si="9"/>
        <v>127.3917677511039</v>
      </c>
      <c r="X28">
        <f t="shared" si="10"/>
        <v>0.40765365680353249</v>
      </c>
      <c r="Y28">
        <f t="shared" si="11"/>
        <v>5.6052377810485712E-3</v>
      </c>
      <c r="Z28">
        <f>AVERAGE(J64:J65)*(100-X28)/100</f>
        <v>3.7158416252634483</v>
      </c>
      <c r="AA28">
        <f>AVERAGE(L64:L65)*(100-Y28)/100</f>
        <v>0.95933264899526649</v>
      </c>
      <c r="AB28">
        <f t="shared" si="12"/>
        <v>3.8733609547794958</v>
      </c>
      <c r="AC28" s="3">
        <f>AB28/AVERAGE(AD64:AD65)-1</f>
        <v>-1.121847718223834E-2</v>
      </c>
      <c r="AD28">
        <f t="shared" si="13"/>
        <v>2.8335437934124861</v>
      </c>
      <c r="AE28">
        <f t="shared" si="19"/>
        <v>0.52045110251665461</v>
      </c>
      <c r="AF28" s="6">
        <f t="shared" si="15"/>
        <v>0.331252509602186</v>
      </c>
      <c r="AG28" s="6">
        <f t="shared" si="16"/>
        <v>1.2122678653411129E-3</v>
      </c>
      <c r="AH28" s="3">
        <f>AD28/AVERAGE(AD64:AD65)-1</f>
        <v>-0.27666030103287531</v>
      </c>
      <c r="AI28" s="3">
        <f>AE28/AVERAGE(AE64:AE65)-1</f>
        <v>-0.82969497381633639</v>
      </c>
      <c r="AJ28" s="3">
        <f>AF28/AVERAGE(AF64:AF65)-1</f>
        <v>-0.95526378949653923</v>
      </c>
      <c r="AK28" s="3">
        <f>AG28/AVERAGE(AG64:AG65)-1</f>
        <v>-0.77409513192121893</v>
      </c>
    </row>
    <row r="29" spans="1:37" s="15" customFormat="1">
      <c r="A29" s="15" t="s">
        <v>340</v>
      </c>
      <c r="B29" s="15" t="s">
        <v>376</v>
      </c>
      <c r="C29" s="15">
        <v>183</v>
      </c>
      <c r="D29" s="15">
        <v>17.399999999999999</v>
      </c>
      <c r="E29" s="15">
        <v>6.28</v>
      </c>
      <c r="F29" s="15">
        <v>1.1299999999999999</v>
      </c>
      <c r="G29" s="15">
        <v>1.45</v>
      </c>
      <c r="H29" s="15">
        <v>0.9</v>
      </c>
      <c r="I29" s="15">
        <v>0.59</v>
      </c>
      <c r="J29" s="53">
        <f t="shared" si="0"/>
        <v>4.6042761867398978</v>
      </c>
      <c r="K29" s="53">
        <f t="shared" si="17"/>
        <v>3.7870654320620081</v>
      </c>
      <c r="L29" s="53">
        <f t="shared" si="18"/>
        <v>1.8854028871665238</v>
      </c>
      <c r="M29" s="15">
        <f t="shared" si="3"/>
        <v>1.0363016117009705</v>
      </c>
      <c r="N29" s="15">
        <f t="shared" si="4"/>
        <v>0.37355063694267515</v>
      </c>
      <c r="O29" s="15">
        <f t="shared" si="5"/>
        <v>0.21884808717160192</v>
      </c>
      <c r="P29" s="15">
        <f t="shared" si="6"/>
        <v>73.869621842445525</v>
      </c>
      <c r="Q29" s="15">
        <f t="shared" si="7"/>
        <v>78.578964503083299</v>
      </c>
      <c r="R29" s="15">
        <v>95.96</v>
      </c>
      <c r="S29" s="15">
        <f t="shared" si="8"/>
        <v>9.5959999999999986E-3</v>
      </c>
      <c r="T29" s="15">
        <f>(J29/AVERAGE(J64:J65)-1)*100</f>
        <v>23.404255319148916</v>
      </c>
      <c r="U29" s="15">
        <f>(K29/AVERAGE(K64:K65)-1)*100</f>
        <v>29.618163054695579</v>
      </c>
      <c r="V29" s="15">
        <f>(L29/AVERAGE(L64:L65)-1)*100</f>
        <v>96.521739130434781</v>
      </c>
      <c r="W29" s="15">
        <f t="shared" si="9"/>
        <v>-48.554365663435377</v>
      </c>
      <c r="X29" s="15">
        <f t="shared" si="10"/>
        <v>-0.1553739701229932</v>
      </c>
      <c r="Y29" s="15">
        <f t="shared" si="11"/>
        <v>-2.1363920891911566E-3</v>
      </c>
      <c r="Z29" s="15">
        <f>AVERAGE(J64:J65)*(100-X29)/100</f>
        <v>3.7368484753791931</v>
      </c>
      <c r="AA29" s="15">
        <f>AVERAGE(L64:L65)*(100-Y29)/100</f>
        <v>0.95940692114130655</v>
      </c>
      <c r="AB29" s="15">
        <f t="shared" si="12"/>
        <v>3.8949567623859265</v>
      </c>
      <c r="AC29" s="15">
        <f>AB29/AVERAGE(AD64:AD65)-1</f>
        <v>-5.7055555152770721E-3</v>
      </c>
      <c r="AD29" s="15">
        <f t="shared" si="13"/>
        <v>2.4420648860145908</v>
      </c>
      <c r="AE29" s="15">
        <f t="shared" si="19"/>
        <v>2.0086239698897441</v>
      </c>
      <c r="AF29" s="15">
        <f t="shared" si="15"/>
        <v>0.54964465088858305</v>
      </c>
      <c r="AG29" s="15">
        <f t="shared" si="16"/>
        <v>5.0896283575874541E-3</v>
      </c>
      <c r="AH29" s="53">
        <f>AD29/AVERAGE(AD64:AD65)-1</f>
        <v>-0.37659601957991184</v>
      </c>
      <c r="AI29" s="15">
        <f>AE29/AVERAGE(AE64:AE65)-1</f>
        <v>-0.34272642303748313</v>
      </c>
      <c r="AJ29" s="15">
        <f>AF29/AVERAGE(AF64:AF65)-1</f>
        <v>-0.9257695622177089</v>
      </c>
      <c r="AK29" s="15">
        <f>AG29/AVERAGE(AG64:AG65)-1</f>
        <v>-5.1552997845662141E-2</v>
      </c>
    </row>
    <row r="30" spans="1:37">
      <c r="A30" s="6" t="s">
        <v>341</v>
      </c>
      <c r="B30" s="6" t="s">
        <v>240</v>
      </c>
      <c r="C30">
        <v>186</v>
      </c>
      <c r="D30">
        <v>14.3</v>
      </c>
      <c r="E30">
        <v>3.73</v>
      </c>
      <c r="F30">
        <v>0.56999999999999995</v>
      </c>
      <c r="G30" s="6">
        <v>1.31</v>
      </c>
      <c r="H30" s="6">
        <v>1.68</v>
      </c>
      <c r="I30" s="6">
        <v>0.62</v>
      </c>
      <c r="J30">
        <f t="shared" si="0"/>
        <v>3.783974107493135</v>
      </c>
      <c r="K30" s="3">
        <f t="shared" si="17"/>
        <v>2.2493238951578487</v>
      </c>
      <c r="L30" s="3">
        <f t="shared" si="18"/>
        <v>0.95104393423444122</v>
      </c>
      <c r="M30" s="6">
        <f t="shared" si="3"/>
        <v>0.93624490436432517</v>
      </c>
      <c r="N30" s="6">
        <f t="shared" si="4"/>
        <v>0.69729452229299349</v>
      </c>
      <c r="O30" s="6">
        <f t="shared" si="5"/>
        <v>0.22997595601083592</v>
      </c>
      <c r="P30" s="6">
        <f t="shared" si="6"/>
        <v>67.002764929183897</v>
      </c>
      <c r="Q30" s="6">
        <f t="shared" si="7"/>
        <v>76.440910551097517</v>
      </c>
      <c r="R30" s="6">
        <v>46.36</v>
      </c>
      <c r="S30" s="6">
        <f t="shared" si="8"/>
        <v>4.6360000000000004E-3</v>
      </c>
      <c r="T30">
        <f>(J30/AVERAGE(J64:J65)-1)*100</f>
        <v>1.4184397163120588</v>
      </c>
      <c r="U30">
        <f>(K30/AVERAGE(K64:K65)-1)*100</f>
        <v>-23.01341589267285</v>
      </c>
      <c r="V30">
        <f>(L30/AVERAGE(L64:L65)-1)*100</f>
        <v>-0.86956521739129933</v>
      </c>
      <c r="W30">
        <f t="shared" si="9"/>
        <v>37.726911299463687</v>
      </c>
      <c r="X30">
        <f t="shared" si="10"/>
        <v>0.12072611615828381</v>
      </c>
      <c r="Y30">
        <f t="shared" si="11"/>
        <v>1.6599840971764021E-3</v>
      </c>
      <c r="Z30">
        <f>AVERAGE(J64:J65)*(100-X30)/100</f>
        <v>3.7265470392647417</v>
      </c>
      <c r="AA30">
        <f>AVERAGE(L64:L65)*(100-Y30)/100</f>
        <v>0.9593704992235369</v>
      </c>
      <c r="AB30">
        <f t="shared" si="12"/>
        <v>3.8843669283981623</v>
      </c>
      <c r="AC30">
        <f>AB30/AVERAGE(AD64:AD65)-1</f>
        <v>-8.4089008267662635E-3</v>
      </c>
      <c r="AD30" s="3">
        <f t="shared" si="13"/>
        <v>3.9787584687547675</v>
      </c>
      <c r="AE30" s="3">
        <f t="shared" si="19"/>
        <v>2.365110395208482</v>
      </c>
      <c r="AF30" s="6">
        <f t="shared" si="15"/>
        <v>0.98443917327328434</v>
      </c>
      <c r="AG30" s="6">
        <f t="shared" si="16"/>
        <v>4.8746433609629467E-3</v>
      </c>
      <c r="AH30">
        <f>AD30/AVERAGE(AD64:AD65)-1</f>
        <v>1.5687126397278428E-2</v>
      </c>
      <c r="AI30">
        <f>AE30/AVERAGE(AE64:AE65)-1</f>
        <v>-0.22607486882911154</v>
      </c>
      <c r="AJ30" s="6">
        <f>AF30/AVERAGE(AF64:AF65)-1</f>
        <v>-0.86704982813172959</v>
      </c>
      <c r="AK30" s="6">
        <f>AG30/AVERAGE(AG64:AG65)-1</f>
        <v>-9.1615230533576231E-2</v>
      </c>
    </row>
    <row r="31" spans="1:37">
      <c r="A31" s="6" t="s">
        <v>342</v>
      </c>
      <c r="B31" s="6" t="s">
        <v>240</v>
      </c>
      <c r="C31">
        <v>192</v>
      </c>
      <c r="D31">
        <v>15.5</v>
      </c>
      <c r="E31">
        <v>3.62</v>
      </c>
      <c r="F31">
        <v>0.7</v>
      </c>
      <c r="G31" s="6">
        <v>0.85</v>
      </c>
      <c r="H31" s="6">
        <v>1.73</v>
      </c>
      <c r="I31" s="6">
        <v>0.74</v>
      </c>
      <c r="J31" s="3">
        <f t="shared" si="0"/>
        <v>4.1015103962338175</v>
      </c>
      <c r="K31" s="3">
        <f t="shared" si="17"/>
        <v>2.1829899465070808</v>
      </c>
      <c r="L31" s="3">
        <f t="shared" si="18"/>
        <v>1.1679486911651034</v>
      </c>
      <c r="M31" s="6">
        <f t="shared" si="3"/>
        <v>0.60748715168677581</v>
      </c>
      <c r="N31" s="6">
        <f t="shared" si="4"/>
        <v>0.7180473354564757</v>
      </c>
      <c r="O31" s="6">
        <f t="shared" si="5"/>
        <v>0.27448743136777193</v>
      </c>
      <c r="P31" s="6">
        <f t="shared" si="6"/>
        <v>71.936984126650017</v>
      </c>
      <c r="Q31" s="6">
        <f t="shared" si="7"/>
        <v>82.302051943166632</v>
      </c>
      <c r="R31" s="6">
        <v>50.51</v>
      </c>
      <c r="S31" s="6">
        <f t="shared" si="8"/>
        <v>5.0509999999999999E-3</v>
      </c>
      <c r="T31">
        <f>(J31/AVERAGE(J64:J65)-1)*100</f>
        <v>9.9290780141843893</v>
      </c>
      <c r="U31">
        <f>(K31/AVERAGE(K64:K65)-1)*100</f>
        <v>-25.283797729618161</v>
      </c>
      <c r="V31">
        <f>(L31/AVERAGE(L64:L65)-1)*100</f>
        <v>21.739130434782616</v>
      </c>
      <c r="W31">
        <f t="shared" si="9"/>
        <v>41.448848737078954</v>
      </c>
      <c r="X31">
        <f t="shared" si="10"/>
        <v>0.13263631595865266</v>
      </c>
      <c r="Y31">
        <f t="shared" si="11"/>
        <v>1.823749344431474E-3</v>
      </c>
      <c r="Z31">
        <f>AVERAGE(J64:J65)*(100-X31)/100</f>
        <v>3.726102663589216</v>
      </c>
      <c r="AA31">
        <f>AVERAGE(L64:L65)*(100-Y31)/100</f>
        <v>0.95936892808198626</v>
      </c>
      <c r="AB31">
        <f t="shared" si="12"/>
        <v>3.8839100939391575</v>
      </c>
      <c r="AC31">
        <f>AB31/AVERAGE(AD64:AD65)-1</f>
        <v>-8.525520340755266E-3</v>
      </c>
      <c r="AD31" s="3">
        <f t="shared" si="13"/>
        <v>3.5117213857590772</v>
      </c>
      <c r="AE31" s="3">
        <f t="shared" si="19"/>
        <v>1.8690803483237</v>
      </c>
      <c r="AF31" s="6">
        <f t="shared" si="15"/>
        <v>0.52013171150589554</v>
      </c>
      <c r="AG31" s="6">
        <f t="shared" si="16"/>
        <v>4.3246762791962247E-3</v>
      </c>
      <c r="AH31">
        <f>AD31/AVERAGE(AD64:AD65)-1</f>
        <v>-0.10353688694106367</v>
      </c>
      <c r="AI31" s="3">
        <f>AE31/AVERAGE(AE64:AE65)-1</f>
        <v>-0.38838869564993839</v>
      </c>
      <c r="AJ31" s="3">
        <f>AF31/AVERAGE(AF64:AF65)-1</f>
        <v>-0.92975533449271863</v>
      </c>
      <c r="AK31" s="3">
        <f>AG31/AVERAGE(AG64:AG65)-1</f>
        <v>-0.19410102975850596</v>
      </c>
    </row>
    <row r="32" spans="1:37">
      <c r="A32" s="6" t="s">
        <v>343</v>
      </c>
      <c r="B32" s="6" t="s">
        <v>240</v>
      </c>
      <c r="C32">
        <v>197</v>
      </c>
      <c r="D32">
        <v>16.399999999999999</v>
      </c>
      <c r="E32">
        <v>3.3</v>
      </c>
      <c r="F32">
        <v>0.61</v>
      </c>
      <c r="G32" s="6">
        <v>0.81</v>
      </c>
      <c r="H32" s="6">
        <v>2.15</v>
      </c>
      <c r="I32" s="6">
        <v>0.82</v>
      </c>
      <c r="J32" s="3">
        <f t="shared" si="0"/>
        <v>4.3396626127893292</v>
      </c>
      <c r="K32" s="3">
        <f t="shared" si="17"/>
        <v>1.9900184595230295</v>
      </c>
      <c r="L32" s="3">
        <f t="shared" si="18"/>
        <v>1.0177838594438757</v>
      </c>
      <c r="M32" s="6">
        <f t="shared" si="3"/>
        <v>0.57889952101916287</v>
      </c>
      <c r="N32" s="6">
        <f t="shared" si="4"/>
        <v>0.89237096602972399</v>
      </c>
      <c r="O32" s="6">
        <f t="shared" si="5"/>
        <v>0.30416174827239589</v>
      </c>
      <c r="P32" s="6">
        <f t="shared" si="6"/>
        <v>70.966399059699953</v>
      </c>
      <c r="Q32" s="6">
        <f t="shared" si="7"/>
        <v>83.091940350870686</v>
      </c>
      <c r="R32" s="6">
        <v>39.090000000000003</v>
      </c>
      <c r="S32" s="6">
        <f t="shared" si="8"/>
        <v>3.9090000000000001E-3</v>
      </c>
      <c r="T32">
        <f>(J32/AVERAGE(J64:J65)-1)*100</f>
        <v>16.312056737588641</v>
      </c>
      <c r="U32">
        <f>(K32/AVERAGE(K64:K65)-1)*100</f>
        <v>-31.888544891640869</v>
      </c>
      <c r="V32">
        <f>(L32/AVERAGE(L64:L65)-1)*100</f>
        <v>6.0869565217391397</v>
      </c>
      <c r="W32">
        <f t="shared" si="9"/>
        <v>52.276303101050608</v>
      </c>
      <c r="X32">
        <f t="shared" si="10"/>
        <v>0.16728416992336195</v>
      </c>
      <c r="Y32">
        <f t="shared" si="11"/>
        <v>2.3001573364462265E-3</v>
      </c>
      <c r="Z32">
        <f>AVERAGE(J64:J65)*(100-X32)/100</f>
        <v>3.7248099343513239</v>
      </c>
      <c r="AA32">
        <f>AVERAGE(L64:L65)*(100-Y32)/100</f>
        <v>0.95936435748838367</v>
      </c>
      <c r="AB32">
        <f t="shared" si="12"/>
        <v>3.8825811124595853</v>
      </c>
      <c r="AC32">
        <f>AB32/AVERAGE(AD64:AD65)-1</f>
        <v>-8.8647792806035852E-3</v>
      </c>
      <c r="AD32" s="3">
        <f t="shared" si="13"/>
        <v>4.2638351674790282</v>
      </c>
      <c r="AE32" s="3">
        <f t="shared" si="19"/>
        <v>1.9552466283071039</v>
      </c>
      <c r="AF32" s="6">
        <f t="shared" si="15"/>
        <v>0.56878434025813462</v>
      </c>
      <c r="AG32" s="6">
        <f t="shared" si="16"/>
        <v>3.8406975741744473E-3</v>
      </c>
      <c r="AH32">
        <f>AD32/AVERAGE(AD64:AD65)-1</f>
        <v>8.8460765512066608E-2</v>
      </c>
      <c r="AI32" s="3">
        <f>AE32/AVERAGE(AE64:AE65)-1</f>
        <v>-0.36019286611328583</v>
      </c>
      <c r="AJ32" s="3">
        <f>AF32/AVERAGE(AF64:AF65)-1</f>
        <v>-0.92318471486474729</v>
      </c>
      <c r="AK32" s="3">
        <f>AG32/AVERAGE(AG64:AG65)-1</f>
        <v>-0.28428996294458808</v>
      </c>
    </row>
    <row r="33" spans="1:37">
      <c r="A33" s="6" t="s">
        <v>344</v>
      </c>
      <c r="B33" s="6" t="s">
        <v>240</v>
      </c>
      <c r="C33">
        <v>214</v>
      </c>
      <c r="D33">
        <v>15.5</v>
      </c>
      <c r="E33">
        <v>2.89</v>
      </c>
      <c r="F33">
        <v>0.59</v>
      </c>
      <c r="G33" s="6">
        <v>0.56000000000000005</v>
      </c>
      <c r="H33" s="6">
        <v>2.1</v>
      </c>
      <c r="I33" s="6">
        <v>0.77</v>
      </c>
      <c r="J33" s="3">
        <f t="shared" si="0"/>
        <v>4.1015103962338175</v>
      </c>
      <c r="K33" s="3">
        <f t="shared" si="17"/>
        <v>1.7427737418247138</v>
      </c>
      <c r="L33" s="3">
        <f t="shared" si="18"/>
        <v>0.98441389683915848</v>
      </c>
      <c r="M33" s="6">
        <f t="shared" si="3"/>
        <v>0.40022682934658177</v>
      </c>
      <c r="N33" s="6">
        <f t="shared" si="4"/>
        <v>0.871618152866242</v>
      </c>
      <c r="O33" s="6">
        <f t="shared" si="5"/>
        <v>0.28561530020700593</v>
      </c>
      <c r="P33" s="6">
        <f t="shared" si="6"/>
        <v>72.478028764227972</v>
      </c>
      <c r="Q33" s="6">
        <f t="shared" si="7"/>
        <v>85.673874529622552</v>
      </c>
      <c r="R33" s="6">
        <v>52.13</v>
      </c>
      <c r="S33" s="6">
        <f t="shared" si="8"/>
        <v>5.2130000000000006E-3</v>
      </c>
      <c r="T33">
        <f>(J33/AVERAGE(J64:J65)-1)*100</f>
        <v>9.9290780141843893</v>
      </c>
      <c r="U33">
        <f>(K33/AVERAGE(K64:K65)-1)*100</f>
        <v>-40.350877192982459</v>
      </c>
      <c r="V33">
        <f>(L33/AVERAGE(L64:L65)-1)*100</f>
        <v>2.6086956521739202</v>
      </c>
      <c r="W33">
        <f t="shared" si="9"/>
        <v>66.148979004889284</v>
      </c>
      <c r="X33">
        <f t="shared" si="10"/>
        <v>0.21167673281564572</v>
      </c>
      <c r="Y33">
        <f t="shared" si="11"/>
        <v>2.9105550762151284E-3</v>
      </c>
      <c r="Z33">
        <f>AVERAGE(J64:J65)*(100-X33)/100</f>
        <v>3.723153625015275</v>
      </c>
      <c r="AA33">
        <f>AVERAGE(L64:L65)*(100-Y33)/100</f>
        <v>0.95935850141533052</v>
      </c>
      <c r="AB33">
        <f t="shared" si="12"/>
        <v>3.8808783364326782</v>
      </c>
      <c r="AC33">
        <f>AB33/AVERAGE(AD64:AD65)-1</f>
        <v>-9.2994595215000198E-3</v>
      </c>
      <c r="AD33">
        <f t="shared" si="13"/>
        <v>4.166449101748058</v>
      </c>
      <c r="AE33">
        <f t="shared" si="19"/>
        <v>1.7703668623742137</v>
      </c>
      <c r="AF33" s="6">
        <f t="shared" si="15"/>
        <v>0.40656357110730029</v>
      </c>
      <c r="AG33" s="6">
        <f t="shared" si="16"/>
        <v>5.2955367825854079E-3</v>
      </c>
      <c r="AH33">
        <f>AD33/AVERAGE(AD64:AD65)-1</f>
        <v>6.3600303629246513E-2</v>
      </c>
      <c r="AI33">
        <f>AE33/AVERAGE(AE64:AE65)-1</f>
        <v>-0.42069029464361141</v>
      </c>
      <c r="AJ33" s="6">
        <f>AF33/AVERAGE(AF64:AF65)-1</f>
        <v>-0.94509290353169628</v>
      </c>
      <c r="AK33" s="6">
        <f>AG33/AVERAGE(AG64:AG65)-1</f>
        <v>-1.3182174931550161E-2</v>
      </c>
    </row>
    <row r="34" spans="1:37">
      <c r="A34" s="6" t="s">
        <v>345</v>
      </c>
      <c r="B34" s="6" t="s">
        <v>240</v>
      </c>
      <c r="C34">
        <v>228</v>
      </c>
      <c r="D34">
        <v>16</v>
      </c>
      <c r="E34">
        <v>3.59</v>
      </c>
      <c r="F34">
        <v>0.75</v>
      </c>
      <c r="G34" s="6">
        <v>1.24</v>
      </c>
      <c r="H34" s="6">
        <v>1.89</v>
      </c>
      <c r="I34" s="6">
        <v>0.87</v>
      </c>
      <c r="J34">
        <f t="shared" si="0"/>
        <v>4.2338171832091023</v>
      </c>
      <c r="K34" s="3">
        <f t="shared" si="17"/>
        <v>2.1648988696023261</v>
      </c>
      <c r="L34" s="3">
        <f t="shared" si="18"/>
        <v>1.2513735976768965</v>
      </c>
      <c r="M34" s="6">
        <f t="shared" si="3"/>
        <v>0.88621655069600247</v>
      </c>
      <c r="N34" s="6">
        <f t="shared" si="4"/>
        <v>0.78445633757961775</v>
      </c>
      <c r="O34" s="6">
        <f t="shared" si="5"/>
        <v>0.32270819633778591</v>
      </c>
      <c r="P34" s="6">
        <f t="shared" si="6"/>
        <v>67.989118077166339</v>
      </c>
      <c r="Q34" s="6">
        <f t="shared" si="7"/>
        <v>77.788314005550546</v>
      </c>
      <c r="R34" s="6">
        <v>67.510000000000005</v>
      </c>
      <c r="S34" s="6">
        <f t="shared" si="8"/>
        <v>6.7510000000000009E-3</v>
      </c>
      <c r="T34">
        <f>(J34/AVERAGE(J64:J65)-1)*100</f>
        <v>13.475177304964546</v>
      </c>
      <c r="U34">
        <f>(K34/AVERAGE(K64:K65)-1)*100</f>
        <v>-25.902992776057786</v>
      </c>
      <c r="V34">
        <f>(L34/AVERAGE(L64:L65)-1)*100</f>
        <v>30.434782608695677</v>
      </c>
      <c r="W34">
        <f t="shared" si="9"/>
        <v>42.46392258370129</v>
      </c>
      <c r="X34">
        <f t="shared" si="10"/>
        <v>0.13588455226784413</v>
      </c>
      <c r="Y34">
        <f t="shared" si="11"/>
        <v>1.8684125936828566E-3</v>
      </c>
      <c r="Z34">
        <f>AVERAGE(J64:J65)*(100-X34)/100</f>
        <v>3.7259814702231635</v>
      </c>
      <c r="AA34">
        <f>AVERAGE(L64:L65)*(100-Y34)/100</f>
        <v>0.95936849958883585</v>
      </c>
      <c r="AB34">
        <f t="shared" si="12"/>
        <v>3.8837855024633776</v>
      </c>
      <c r="AC34">
        <f>AB34/AVERAGE(AD64:AD65)-1</f>
        <v>-8.5573257290446625E-3</v>
      </c>
      <c r="AD34">
        <f t="shared" si="13"/>
        <v>3.3833358727313265</v>
      </c>
      <c r="AE34">
        <f t="shared" si="19"/>
        <v>1.7300180166988797</v>
      </c>
      <c r="AF34" s="6">
        <f t="shared" si="15"/>
        <v>0.70819502052881156</v>
      </c>
      <c r="AG34" s="6">
        <f t="shared" si="16"/>
        <v>5.3948716934198119E-3</v>
      </c>
      <c r="AH34">
        <f>AD34/AVERAGE(AD64:AD65)-1</f>
        <v>-0.13631080720343325</v>
      </c>
      <c r="AI34">
        <f>AE34/AVERAGE(AE64:AE65)-1</f>
        <v>-0.4338934777783775</v>
      </c>
      <c r="AJ34" s="6">
        <f>AF34/AVERAGE(AF64:AF65)-1</f>
        <v>-0.90435706719949771</v>
      </c>
      <c r="AK34" s="6">
        <f>AG34/AVERAGE(AG64:AG65)-1</f>
        <v>5.3287833881683344E-3</v>
      </c>
    </row>
    <row r="35" spans="1:37">
      <c r="A35" s="6" t="s">
        <v>346</v>
      </c>
      <c r="B35" s="6" t="s">
        <v>240</v>
      </c>
      <c r="C35">
        <v>241</v>
      </c>
      <c r="D35">
        <v>15.3</v>
      </c>
      <c r="E35">
        <v>4.2699999999999996</v>
      </c>
      <c r="F35">
        <v>0.6</v>
      </c>
      <c r="G35" s="6">
        <v>1.77</v>
      </c>
      <c r="H35" s="6">
        <v>1.71</v>
      </c>
      <c r="I35" s="6">
        <v>0.7</v>
      </c>
      <c r="J35" s="3">
        <f t="shared" si="0"/>
        <v>4.0485876814437036</v>
      </c>
      <c r="K35" s="3">
        <f t="shared" si="17"/>
        <v>2.5749632794434354</v>
      </c>
      <c r="L35" s="3">
        <f t="shared" si="18"/>
        <v>1.0010988781415171</v>
      </c>
      <c r="M35" s="6">
        <f t="shared" si="3"/>
        <v>1.2650026570418744</v>
      </c>
      <c r="N35" s="6">
        <f t="shared" si="4"/>
        <v>0.70974621019108275</v>
      </c>
      <c r="O35" s="6">
        <f t="shared" si="5"/>
        <v>0.25965027291545989</v>
      </c>
      <c r="P35" s="6">
        <f t="shared" si="6"/>
        <v>64.437309776463678</v>
      </c>
      <c r="Q35" s="6">
        <f t="shared" si="7"/>
        <v>72.643332016952755</v>
      </c>
      <c r="R35" s="6">
        <v>40.630000000000003</v>
      </c>
      <c r="S35" s="6">
        <f t="shared" si="8"/>
        <v>4.0630000000000006E-3</v>
      </c>
      <c r="T35">
        <f>(J35/AVERAGE(J64:J65)-1)*100</f>
        <v>8.5106382978723296</v>
      </c>
      <c r="U35">
        <f>(K35/AVERAGE(K64:K65)-1)*100</f>
        <v>-11.867905056759543</v>
      </c>
      <c r="V35">
        <f>(L35/AVERAGE(L64:L65)-1)*100</f>
        <v>4.3478260869565188</v>
      </c>
      <c r="W35">
        <f t="shared" si="9"/>
        <v>19.455582060261548</v>
      </c>
      <c r="X35">
        <f t="shared" si="10"/>
        <v>6.2257862592836957E-2</v>
      </c>
      <c r="Y35">
        <f t="shared" si="11"/>
        <v>8.5604561065150814E-4</v>
      </c>
      <c r="Z35">
        <f>AVERAGE(J64:J65)*(100-X35)/100</f>
        <v>3.7287285198536835</v>
      </c>
      <c r="AA35">
        <f>AVERAGE(L64:L65)*(100-Y35)/100</f>
        <v>0.9593782121002411</v>
      </c>
      <c r="AB35">
        <f t="shared" si="12"/>
        <v>3.8866095485855015</v>
      </c>
      <c r="AC35">
        <f>AB35/AVERAGE(AD64:AD65)-1</f>
        <v>-7.8364105709323173E-3</v>
      </c>
      <c r="AD35">
        <f t="shared" si="13"/>
        <v>4.0441436603741634</v>
      </c>
      <c r="AE35">
        <f t="shared" si="19"/>
        <v>2.5721368145209671</v>
      </c>
      <c r="AF35" s="6">
        <f t="shared" si="15"/>
        <v>1.2636140991290288</v>
      </c>
      <c r="AG35" s="6">
        <f t="shared" si="16"/>
        <v>4.0585401589328801E-3</v>
      </c>
      <c r="AH35">
        <f>AD35/AVERAGE(AD64:AD65)-1</f>
        <v>3.2378488264646066E-2</v>
      </c>
      <c r="AI35" s="3">
        <f>AE35/AVERAGE(AE64:AE65)-1</f>
        <v>-0.1583304840228662</v>
      </c>
      <c r="AJ35" s="3">
        <f>AF35/AVERAGE(AF64:AF65)-1</f>
        <v>-0.82934678320878108</v>
      </c>
      <c r="AK35" s="3">
        <f>AG35/AVERAGE(AG64:AG65)-1</f>
        <v>-0.24369522165121305</v>
      </c>
    </row>
    <row r="36" spans="1:37">
      <c r="A36" s="6" t="s">
        <v>347</v>
      </c>
      <c r="B36" s="6" t="s">
        <v>240</v>
      </c>
      <c r="C36">
        <v>245</v>
      </c>
      <c r="D36">
        <v>16.2</v>
      </c>
      <c r="E36">
        <v>4.7</v>
      </c>
      <c r="F36">
        <v>0.65</v>
      </c>
      <c r="G36" s="6">
        <v>2.0099999999999998</v>
      </c>
      <c r="H36" s="6">
        <v>1.78</v>
      </c>
      <c r="I36" s="6">
        <v>0.75</v>
      </c>
      <c r="J36" s="3">
        <f t="shared" si="0"/>
        <v>4.2867398979992153</v>
      </c>
      <c r="K36" s="3">
        <f t="shared" si="17"/>
        <v>2.8342687150782546</v>
      </c>
      <c r="L36" s="3">
        <f t="shared" si="18"/>
        <v>1.0845237846533102</v>
      </c>
      <c r="M36" s="6">
        <f t="shared" si="3"/>
        <v>1.4365284410475523</v>
      </c>
      <c r="N36" s="6">
        <f t="shared" si="4"/>
        <v>0.73880014861995758</v>
      </c>
      <c r="O36" s="6">
        <f t="shared" si="5"/>
        <v>0.27819672098084991</v>
      </c>
      <c r="P36" s="6">
        <f t="shared" si="6"/>
        <v>63.598979643997481</v>
      </c>
      <c r="Q36" s="6">
        <f t="shared" si="7"/>
        <v>71.428223860716585</v>
      </c>
      <c r="R36" s="6">
        <v>52.5</v>
      </c>
      <c r="S36" s="6">
        <f t="shared" si="8"/>
        <v>5.2500000000000003E-3</v>
      </c>
      <c r="T36">
        <f>(J36/AVERAGE(J64:J65)-1)*100</f>
        <v>14.893617021276583</v>
      </c>
      <c r="U36">
        <f>(K36/AVERAGE(K64:K65)-1)*100</f>
        <v>-2.9927760577915241</v>
      </c>
      <c r="V36">
        <f>(L36/AVERAGE(L64:L65)-1)*100</f>
        <v>13.043478260869579</v>
      </c>
      <c r="W36">
        <f t="shared" si="9"/>
        <v>4.9061902586746298</v>
      </c>
      <c r="X36">
        <f t="shared" si="10"/>
        <v>1.5699808827758815E-2</v>
      </c>
      <c r="Y36">
        <f t="shared" si="11"/>
        <v>2.1587237138168372E-4</v>
      </c>
      <c r="Z36">
        <f>AVERAGE(J64:J65)*(100-X36)/100</f>
        <v>3.7304656247671009</v>
      </c>
      <c r="AA36">
        <f>AVERAGE(L64:L65)*(100-Y36)/100</f>
        <v>0.95938435383539444</v>
      </c>
      <c r="AB36">
        <f t="shared" si="12"/>
        <v>3.8883953129458191</v>
      </c>
      <c r="AC36">
        <f>AB36/AVERAGE(AD64:AD65)-1</f>
        <v>-7.380545283859119E-3</v>
      </c>
      <c r="AD36">
        <f t="shared" si="13"/>
        <v>3.9526471974697701</v>
      </c>
      <c r="AE36">
        <f t="shared" si="19"/>
        <v>2.6133762626370483</v>
      </c>
      <c r="AF36" s="6">
        <f t="shared" si="15"/>
        <v>1.3245707114729321</v>
      </c>
      <c r="AG36" s="6">
        <f t="shared" si="16"/>
        <v>4.8408343590899371E-3</v>
      </c>
      <c r="AH36">
        <f>AD36/AVERAGE(AD64:AD65)-1</f>
        <v>9.0215088921425934E-3</v>
      </c>
      <c r="AI36" s="3">
        <f>AE36/AVERAGE(AE64:AE65)-1</f>
        <v>-0.1448358727957062</v>
      </c>
      <c r="AJ36" s="3">
        <f>AF36/AVERAGE(AF64:AF65)-1</f>
        <v>-0.82111448983032598</v>
      </c>
      <c r="AK36" s="3">
        <f>AG36/AVERAGE(AG64:AG65)-1</f>
        <v>-9.7915503209572874E-2</v>
      </c>
    </row>
    <row r="37" spans="1:37">
      <c r="A37" s="6" t="s">
        <v>348</v>
      </c>
      <c r="B37" s="6" t="s">
        <v>240</v>
      </c>
      <c r="C37">
        <v>252</v>
      </c>
      <c r="D37">
        <v>15.6</v>
      </c>
      <c r="E37">
        <v>5.12</v>
      </c>
      <c r="F37">
        <v>0.62</v>
      </c>
      <c r="G37" s="6">
        <v>2.57</v>
      </c>
      <c r="H37" s="6">
        <v>1.65</v>
      </c>
      <c r="I37" s="6">
        <v>0.68</v>
      </c>
      <c r="J37" s="3">
        <f t="shared" si="0"/>
        <v>4.1279717536288745</v>
      </c>
      <c r="K37" s="3">
        <f t="shared" si="17"/>
        <v>3.0875437917448219</v>
      </c>
      <c r="L37" s="3">
        <f t="shared" si="18"/>
        <v>1.0344688407462344</v>
      </c>
      <c r="M37" s="6">
        <f t="shared" si="3"/>
        <v>1.8367552703941339</v>
      </c>
      <c r="N37" s="6">
        <f t="shared" si="4"/>
        <v>0.68484283439490445</v>
      </c>
      <c r="O37" s="6">
        <f t="shared" si="5"/>
        <v>0.25223169368930393</v>
      </c>
      <c r="P37" s="6">
        <f t="shared" si="6"/>
        <v>59.810061510223321</v>
      </c>
      <c r="Q37" s="6">
        <f t="shared" si="7"/>
        <v>66.398571086987474</v>
      </c>
      <c r="R37" s="6">
        <v>59.47</v>
      </c>
      <c r="S37" s="6">
        <f t="shared" si="8"/>
        <v>5.947E-3</v>
      </c>
      <c r="T37">
        <f>(J37/AVERAGE(J64:J65)-1)*100</f>
        <v>10.638297872340431</v>
      </c>
      <c r="U37">
        <f>(K37/AVERAGE(K64:K65)-1)*100</f>
        <v>5.6759545923632748</v>
      </c>
      <c r="V37">
        <f>(L37/AVERAGE(L64:L65)-1)*100</f>
        <v>7.8260869565217384</v>
      </c>
      <c r="W37">
        <f t="shared" si="9"/>
        <v>-9.3048435940381555</v>
      </c>
      <c r="X37">
        <f t="shared" si="10"/>
        <v>-2.9775499500922099E-2</v>
      </c>
      <c r="Y37">
        <f t="shared" si="11"/>
        <v>-4.0941311813767886E-4</v>
      </c>
      <c r="Z37">
        <f>AVERAGE(J64:J65)*(100-X37)/100</f>
        <v>3.7321623318918347</v>
      </c>
      <c r="AA37">
        <f>AVERAGE(L64:L65)*(100-Y37)/100</f>
        <v>0.95939035273949758</v>
      </c>
      <c r="AB37">
        <f t="shared" si="12"/>
        <v>3.8901395258299263</v>
      </c>
      <c r="AC37">
        <f>AB37/AVERAGE(AD64:AD65)-1</f>
        <v>-6.9352871496959345E-3</v>
      </c>
      <c r="AD37">
        <f t="shared" si="13"/>
        <v>3.9904263821528749</v>
      </c>
      <c r="AE37">
        <f t="shared" si="19"/>
        <v>2.9846658208840409</v>
      </c>
      <c r="AF37" s="6">
        <f t="shared" si="15"/>
        <v>1.7755539829205049</v>
      </c>
      <c r="AG37" s="6">
        <f t="shared" si="16"/>
        <v>5.7488440112995719E-3</v>
      </c>
      <c r="AH37">
        <f>AD37/AVERAGE(AD64:AD65)-1</f>
        <v>1.8665681020144209E-2</v>
      </c>
      <c r="AI37">
        <f>AE37/AVERAGE(AE64:AE65)-1</f>
        <v>-2.3340351634904222E-2</v>
      </c>
      <c r="AJ37" s="6">
        <f>AF37/AVERAGE(AF64:AF65)-1</f>
        <v>-0.76020843786034309</v>
      </c>
      <c r="AK37" s="6">
        <f>AG37/AVERAGE(AG64:AG65)-1</f>
        <v>7.1291160236017115E-2</v>
      </c>
    </row>
    <row r="38" spans="1:37">
      <c r="A38" s="6" t="s">
        <v>349</v>
      </c>
      <c r="B38" s="6" t="s">
        <v>240</v>
      </c>
      <c r="C38">
        <v>255</v>
      </c>
      <c r="D38">
        <v>16</v>
      </c>
      <c r="E38">
        <v>4.97</v>
      </c>
      <c r="F38">
        <v>0.64</v>
      </c>
      <c r="G38" s="6">
        <v>2.38</v>
      </c>
      <c r="H38" s="6">
        <v>1.73</v>
      </c>
      <c r="I38" s="6">
        <v>0.74</v>
      </c>
      <c r="J38">
        <f t="shared" si="0"/>
        <v>4.2338171832091023</v>
      </c>
      <c r="K38" s="3">
        <f t="shared" si="17"/>
        <v>2.9970884072210473</v>
      </c>
      <c r="L38" s="3">
        <f t="shared" si="18"/>
        <v>1.0678388033509516</v>
      </c>
      <c r="M38" s="6">
        <f t="shared" si="3"/>
        <v>1.7009640247229725</v>
      </c>
      <c r="N38" s="6">
        <f t="shared" si="4"/>
        <v>0.7180473354564757</v>
      </c>
      <c r="O38" s="6">
        <f t="shared" si="5"/>
        <v>0.27448743136777193</v>
      </c>
      <c r="P38" s="6">
        <f t="shared" si="6"/>
        <v>61.117714258126256</v>
      </c>
      <c r="Q38" s="6">
        <f t="shared" si="7"/>
        <v>68.185440655801699</v>
      </c>
      <c r="R38" s="6">
        <v>53.26</v>
      </c>
      <c r="S38" s="6">
        <f t="shared" si="8"/>
        <v>5.326E-3</v>
      </c>
      <c r="T38">
        <f>(J38/AVERAGE(J64:J65)-1)*100</f>
        <v>13.475177304964546</v>
      </c>
      <c r="U38">
        <f>(K38/AVERAGE(K64:K65)-1)*100</f>
        <v>2.5799793601651189</v>
      </c>
      <c r="V38">
        <f>(L38/AVERAGE(L64:L65)-1)*100</f>
        <v>11.304347826086957</v>
      </c>
      <c r="W38">
        <f t="shared" si="9"/>
        <v>-4.2294743609264245</v>
      </c>
      <c r="X38">
        <f t="shared" si="10"/>
        <v>-1.3534317954964559E-2</v>
      </c>
      <c r="Y38">
        <f t="shared" si="11"/>
        <v>-1.8609687188076267E-4</v>
      </c>
      <c r="Z38">
        <f>AVERAGE(J64:J65)*(100-X38)/100</f>
        <v>3.7315563650615724</v>
      </c>
      <c r="AA38">
        <f>AVERAGE(L64:L65)*(100-Y38)/100</f>
        <v>0.95938821027374654</v>
      </c>
      <c r="AB38">
        <f t="shared" si="12"/>
        <v>3.8895165951610253</v>
      </c>
      <c r="AC38">
        <f>AB38/AVERAGE(AD64:AD65)-1</f>
        <v>-7.0943072726838974E-3</v>
      </c>
      <c r="AD38">
        <f t="shared" si="13"/>
        <v>3.9648467258570235</v>
      </c>
      <c r="AE38">
        <f t="shared" si="19"/>
        <v>2.8066861756811776</v>
      </c>
      <c r="AF38" s="6">
        <f t="shared" si="15"/>
        <v>1.5929033664868053</v>
      </c>
      <c r="AG38" s="6">
        <f t="shared" si="16"/>
        <v>4.9876441868254321E-3</v>
      </c>
      <c r="AH38">
        <f>AD38/AVERAGE(AD64:AD65)-1</f>
        <v>1.2135772808476553E-2</v>
      </c>
      <c r="AI38">
        <f>AE38/AVERAGE(AE64:AE65)-1</f>
        <v>-8.157988266839411E-2</v>
      </c>
      <c r="AJ38" s="6">
        <f>AF38/AVERAGE(AF64:AF65)-1</f>
        <v>-0.78487571188395078</v>
      </c>
      <c r="AK38" s="6">
        <f>AG38/AVERAGE(AG64:AG65)-1</f>
        <v>-7.0557643024172778E-2</v>
      </c>
    </row>
    <row r="39" spans="1:37">
      <c r="A39" s="6" t="s">
        <v>350</v>
      </c>
      <c r="B39" s="6" t="s">
        <v>240</v>
      </c>
      <c r="C39">
        <v>261</v>
      </c>
      <c r="D39">
        <v>15.8</v>
      </c>
      <c r="E39">
        <v>5.29</v>
      </c>
      <c r="F39">
        <v>0.66</v>
      </c>
      <c r="G39" s="6">
        <v>2.81</v>
      </c>
      <c r="H39" s="6">
        <v>1.61</v>
      </c>
      <c r="I39" s="6">
        <v>0.73</v>
      </c>
      <c r="J39" s="3">
        <f t="shared" si="0"/>
        <v>4.1808944684189884</v>
      </c>
      <c r="K39" s="3">
        <f t="shared" si="17"/>
        <v>3.1900598942050995</v>
      </c>
      <c r="L39" s="3">
        <f t="shared" si="18"/>
        <v>1.1012087659556691</v>
      </c>
      <c r="M39" s="6">
        <f t="shared" si="3"/>
        <v>2.008281054399812</v>
      </c>
      <c r="N39" s="6">
        <f t="shared" si="4"/>
        <v>0.66824058386411889</v>
      </c>
      <c r="O39" s="6">
        <f t="shared" si="5"/>
        <v>0.27077814175469389</v>
      </c>
      <c r="P39" s="6">
        <f t="shared" si="6"/>
        <v>58.65292558961022</v>
      </c>
      <c r="Q39" s="6">
        <f t="shared" si="7"/>
        <v>64.720192829665194</v>
      </c>
      <c r="R39" s="6">
        <v>70.16</v>
      </c>
      <c r="S39" s="6">
        <f t="shared" si="8"/>
        <v>7.0159999999999997E-3</v>
      </c>
      <c r="T39">
        <f>(J39/AVERAGE(J64:J65)-1)*100</f>
        <v>12.056737588652489</v>
      </c>
      <c r="U39">
        <f>(K39/AVERAGE(K64:K65)-1)*100</f>
        <v>9.184726522187848</v>
      </c>
      <c r="V39">
        <f>(L39/AVERAGE(L64:L65)-1)*100</f>
        <v>14.7826086956522</v>
      </c>
      <c r="W39">
        <f t="shared" si="9"/>
        <v>-15.056928724898112</v>
      </c>
      <c r="X39">
        <f t="shared" si="10"/>
        <v>-4.8182171919673965E-2</v>
      </c>
      <c r="Y39">
        <f t="shared" si="11"/>
        <v>-6.6250486389551693E-4</v>
      </c>
      <c r="Z39">
        <f>AVERAGE(J64:J65)*(100-X39)/100</f>
        <v>3.732849094299465</v>
      </c>
      <c r="AA39">
        <f>AVERAGE(L64:L65)*(100-Y39)/100</f>
        <v>0.95939278086734903</v>
      </c>
      <c r="AB39">
        <f t="shared" si="12"/>
        <v>3.8908455105579844</v>
      </c>
      <c r="AC39" s="3">
        <f>AB39/AVERAGE(AD64:AD65)-1</f>
        <v>-6.7550652022334567E-3</v>
      </c>
      <c r="AD39">
        <f t="shared" si="13"/>
        <v>3.7966411071843003</v>
      </c>
      <c r="AE39">
        <f t="shared" si="19"/>
        <v>2.8968711409018337</v>
      </c>
      <c r="AF39" s="6">
        <f t="shared" si="15"/>
        <v>1.8237060187737903</v>
      </c>
      <c r="AG39" s="6">
        <f t="shared" si="16"/>
        <v>6.3711806670111813E-3</v>
      </c>
      <c r="AH39">
        <f>AD39/AVERAGE(AD64:AD65)-1</f>
        <v>-3.0803320583398408E-2</v>
      </c>
      <c r="AI39" s="3">
        <f>AE39/AVERAGE(AE64:AE65)-1</f>
        <v>-5.2069035657007268E-2</v>
      </c>
      <c r="AJ39" s="3">
        <f>AF39/AVERAGE(AF64:AF65)-1</f>
        <v>-0.75370542414826658</v>
      </c>
      <c r="AK39" s="3">
        <f>AG39/AVERAGE(AG64:AG65)-1</f>
        <v>0.18726295502541479</v>
      </c>
    </row>
    <row r="40" spans="1:37">
      <c r="A40" s="6" t="s">
        <v>351</v>
      </c>
      <c r="B40" s="6" t="s">
        <v>240</v>
      </c>
      <c r="C40">
        <v>268</v>
      </c>
      <c r="D40">
        <v>16.100000000000001</v>
      </c>
      <c r="E40">
        <v>5.09</v>
      </c>
      <c r="F40">
        <v>0.63</v>
      </c>
      <c r="G40" s="6">
        <v>2.75</v>
      </c>
      <c r="H40" s="6">
        <v>1.73</v>
      </c>
      <c r="I40" s="6">
        <v>0.76</v>
      </c>
      <c r="J40" s="3">
        <f t="shared" si="0"/>
        <v>4.2602785406041592</v>
      </c>
      <c r="K40" s="3">
        <f t="shared" si="17"/>
        <v>3.0694527148400668</v>
      </c>
      <c r="L40" s="3">
        <f t="shared" si="18"/>
        <v>1.051153822048593</v>
      </c>
      <c r="M40" s="6">
        <f t="shared" si="3"/>
        <v>1.9653996083983927</v>
      </c>
      <c r="N40" s="6">
        <f t="shared" si="4"/>
        <v>0.7180473354564757</v>
      </c>
      <c r="O40" s="6">
        <f t="shared" si="5"/>
        <v>0.28190601059392789</v>
      </c>
      <c r="P40" s="6">
        <f t="shared" si="6"/>
        <v>58.960639544390943</v>
      </c>
      <c r="Q40" s="6">
        <f t="shared" si="7"/>
        <v>65.46636103540348</v>
      </c>
      <c r="R40" s="6">
        <v>71.900000000000006</v>
      </c>
      <c r="S40" s="6">
        <f t="shared" si="8"/>
        <v>7.1900000000000002E-3</v>
      </c>
      <c r="T40">
        <f>(J40/AVERAGE(J64:J65)-1)*100</f>
        <v>14.184397163120588</v>
      </c>
      <c r="U40">
        <f>(K40/AVERAGE(K64:K65)-1)*100</f>
        <v>5.0567595459236392</v>
      </c>
      <c r="V40">
        <f>(L40/AVERAGE(L64:L65)-1)*100</f>
        <v>9.5652173913043583</v>
      </c>
      <c r="W40">
        <f t="shared" si="9"/>
        <v>-8.2897697474158019</v>
      </c>
      <c r="X40">
        <f t="shared" si="10"/>
        <v>-2.6527263191730568E-2</v>
      </c>
      <c r="Y40">
        <f t="shared" si="11"/>
        <v>-3.6474986888629526E-4</v>
      </c>
      <c r="Z40">
        <f>AVERAGE(J64:J65)*(100-X40)/100</f>
        <v>3.7320411385257817</v>
      </c>
      <c r="AA40">
        <f>AVERAGE(L64:L65)*(100-Y40)/100</f>
        <v>0.95938992424634728</v>
      </c>
      <c r="AB40">
        <f t="shared" si="12"/>
        <v>3.8900149399187218</v>
      </c>
      <c r="AC40" s="3">
        <f>AB40/AVERAGE(AD64:AD65)-1</f>
        <v>-6.967091117474955E-3</v>
      </c>
      <c r="AD40">
        <f t="shared" si="13"/>
        <v>4.0529544308760688</v>
      </c>
      <c r="AE40">
        <f t="shared" si="19"/>
        <v>2.920079488326468</v>
      </c>
      <c r="AF40" s="6">
        <f t="shared" si="15"/>
        <v>1.8697545184852458</v>
      </c>
      <c r="AG40" s="6">
        <f t="shared" si="16"/>
        <v>6.8401026083769684E-3</v>
      </c>
      <c r="AH40">
        <f>AD40/AVERAGE(AD64:AD65)-1</f>
        <v>3.4627678870887246E-2</v>
      </c>
      <c r="AI40" s="3">
        <f>AE40/AVERAGE(AE64:AE65)-1</f>
        <v>-4.4474665702328497E-2</v>
      </c>
      <c r="AJ40" s="3">
        <f>AF40/AVERAGE(AF64:AF65)-1</f>
        <v>-0.74748649654245258</v>
      </c>
      <c r="AK40" s="3">
        <f>AG40/AVERAGE(AG64:AG65)-1</f>
        <v>0.27464607581256573</v>
      </c>
    </row>
    <row r="41" spans="1:37">
      <c r="A41" s="6" t="s">
        <v>352</v>
      </c>
      <c r="B41" s="6" t="s">
        <v>240</v>
      </c>
      <c r="C41">
        <v>276</v>
      </c>
      <c r="D41">
        <v>16.899999999999999</v>
      </c>
      <c r="E41">
        <v>5.72</v>
      </c>
      <c r="F41">
        <v>0.68</v>
      </c>
      <c r="G41" s="6">
        <v>2.46</v>
      </c>
      <c r="H41" s="6">
        <v>1.69</v>
      </c>
      <c r="I41" s="6">
        <v>0.7</v>
      </c>
      <c r="J41" s="3">
        <f t="shared" si="0"/>
        <v>4.4719693997646139</v>
      </c>
      <c r="K41" s="3">
        <f t="shared" si="17"/>
        <v>3.4493653298399178</v>
      </c>
      <c r="L41" s="3">
        <f t="shared" si="18"/>
        <v>1.1345787285603861</v>
      </c>
      <c r="M41" s="6">
        <f t="shared" si="3"/>
        <v>1.7581392860581984</v>
      </c>
      <c r="N41" s="6">
        <f t="shared" si="4"/>
        <v>0.70144508492569002</v>
      </c>
      <c r="O41" s="6">
        <f t="shared" si="5"/>
        <v>0.25965027291545989</v>
      </c>
      <c r="P41" s="6">
        <f t="shared" si="6"/>
        <v>62.186657096801255</v>
      </c>
      <c r="Q41" s="6">
        <f t="shared" si="7"/>
        <v>68.908097021742805</v>
      </c>
      <c r="R41" s="6">
        <v>61.84</v>
      </c>
      <c r="S41" s="6">
        <f t="shared" si="8"/>
        <v>6.1840000000000003E-3</v>
      </c>
      <c r="T41">
        <f>(J41/AVERAGE(J64:J65)-1)*100</f>
        <v>19.8581560283688</v>
      </c>
      <c r="U41">
        <f>(K41/AVERAGE(K64:K65)-1)*100</f>
        <v>18.059855521155832</v>
      </c>
      <c r="V41">
        <f>(L41/AVERAGE(L64:L65)-1)*100</f>
        <v>18.260869565217398</v>
      </c>
      <c r="W41">
        <f t="shared" si="9"/>
        <v>-29.606320526484971</v>
      </c>
      <c r="X41">
        <f t="shared" si="10"/>
        <v>-9.4740225684751919E-2</v>
      </c>
      <c r="Y41">
        <f t="shared" si="11"/>
        <v>-1.3026781031653387E-3</v>
      </c>
      <c r="Z41">
        <f>AVERAGE(J64:J65)*(100-X41)/100</f>
        <v>3.7345861992128819</v>
      </c>
      <c r="AA41">
        <f>AVERAGE(L64:L65)*(100-Y41)/100</f>
        <v>0.95939892260250215</v>
      </c>
      <c r="AB41">
        <f t="shared" si="12"/>
        <v>3.8926312206837808</v>
      </c>
      <c r="AC41">
        <f>AB41/AVERAGE(AD64:AD65)-1</f>
        <v>-6.2992137600079712E-3</v>
      </c>
      <c r="AD41">
        <f t="shared" si="13"/>
        <v>3.9415240980578639</v>
      </c>
      <c r="AE41">
        <f t="shared" si="19"/>
        <v>3.0402168161716343</v>
      </c>
      <c r="AF41" s="6">
        <f t="shared" si="15"/>
        <v>1.5495965522718895</v>
      </c>
      <c r="AG41" s="6">
        <f t="shared" si="16"/>
        <v>5.4504811736128603E-3</v>
      </c>
      <c r="AH41" s="3">
        <f>AD41/AVERAGE(AD64:AD65)-1</f>
        <v>6.1820329684265651E-3</v>
      </c>
      <c r="AI41">
        <f>AE41/AVERAGE(AE64:AE65)-1</f>
        <v>-5.1626329957560335E-3</v>
      </c>
      <c r="AJ41" s="6">
        <f>AF41/AVERAGE(AF64:AF65)-1</f>
        <v>-0.79072437023609254</v>
      </c>
      <c r="AK41" s="6">
        <f>AG41/AVERAGE(AG64:AG65)-1</f>
        <v>1.5691552744762083E-2</v>
      </c>
    </row>
    <row r="42" spans="1:37">
      <c r="A42" s="6" t="s">
        <v>353</v>
      </c>
      <c r="B42" s="6" t="s">
        <v>240</v>
      </c>
      <c r="C42">
        <v>288</v>
      </c>
      <c r="D42">
        <v>16.100000000000001</v>
      </c>
      <c r="E42">
        <v>5.21</v>
      </c>
      <c r="F42">
        <v>0.6</v>
      </c>
      <c r="G42" s="6">
        <v>2.37</v>
      </c>
      <c r="H42" s="6">
        <v>1.73</v>
      </c>
      <c r="I42" s="6">
        <v>0.74</v>
      </c>
      <c r="J42">
        <f t="shared" si="0"/>
        <v>4.2602785406041592</v>
      </c>
      <c r="K42" s="3">
        <f t="shared" si="17"/>
        <v>3.1418170224590862</v>
      </c>
      <c r="L42" s="3">
        <f t="shared" si="18"/>
        <v>1.0010988781415171</v>
      </c>
      <c r="M42" s="6">
        <f t="shared" si="3"/>
        <v>1.6938171170560692</v>
      </c>
      <c r="N42" s="6">
        <f t="shared" si="4"/>
        <v>0.7180473354564757</v>
      </c>
      <c r="O42" s="6">
        <f t="shared" si="5"/>
        <v>0.27448743136777193</v>
      </c>
      <c r="P42" s="6">
        <f t="shared" si="6"/>
        <v>61.328705865625835</v>
      </c>
      <c r="Q42" s="6">
        <f t="shared" si="7"/>
        <v>68.398839346124802</v>
      </c>
      <c r="R42" s="6">
        <v>59.2</v>
      </c>
      <c r="S42" s="6">
        <f t="shared" si="8"/>
        <v>5.9199999999999999E-3</v>
      </c>
      <c r="T42">
        <f>(J42/AVERAGE(J64:J65)-1)*100</f>
        <v>14.184397163120588</v>
      </c>
      <c r="U42">
        <f>(K42/AVERAGE(K64:K65)-1)*100</f>
        <v>7.5335397316821595</v>
      </c>
      <c r="V42">
        <f>(L42/AVERAGE(L64:L65)-1)*100</f>
        <v>4.3478260869565188</v>
      </c>
      <c r="W42">
        <f t="shared" si="9"/>
        <v>-12.350065133905179</v>
      </c>
      <c r="X42">
        <f t="shared" si="10"/>
        <v>-3.9520208428496573E-2</v>
      </c>
      <c r="Y42">
        <f t="shared" si="11"/>
        <v>-5.4340286589182787E-4</v>
      </c>
      <c r="Z42">
        <f>AVERAGE(J64:J65)*(100-X42)/100</f>
        <v>3.7325259119899918</v>
      </c>
      <c r="AA42">
        <f>AVERAGE(L64:L65)*(100-Y42)/100</f>
        <v>0.95939163821894824</v>
      </c>
      <c r="AB42">
        <f t="shared" si="12"/>
        <v>3.8905132828958124</v>
      </c>
      <c r="AC42">
        <f>AB42/AVERAGE(AD64:AD65)-1</f>
        <v>-6.8398754168144116E-3</v>
      </c>
      <c r="AD42">
        <f t="shared" si="13"/>
        <v>4.2556021524198719</v>
      </c>
      <c r="AE42">
        <f t="shared" si="19"/>
        <v>3.1383683380923273</v>
      </c>
      <c r="AF42" s="6">
        <f t="shared" si="15"/>
        <v>1.6919578615456488</v>
      </c>
      <c r="AG42" s="6">
        <f t="shared" si="16"/>
        <v>5.9135017821517711E-3</v>
      </c>
      <c r="AH42" s="3">
        <f>AD42/AVERAGE(AD64:AD65)-1</f>
        <v>8.6359062814431731E-2</v>
      </c>
      <c r="AI42">
        <f>AE42/AVERAGE(AE64:AE65)-1</f>
        <v>2.695507687139731E-2</v>
      </c>
      <c r="AJ42" s="6">
        <f>AF42/AVERAGE(AF64:AF65)-1</f>
        <v>-0.77149823514396121</v>
      </c>
      <c r="AK42" s="6">
        <f>AG42/AVERAGE(AG64:AG65)-1</f>
        <v>0.10197496623795677</v>
      </c>
    </row>
    <row r="43" spans="1:37">
      <c r="A43" s="6" t="s">
        <v>354</v>
      </c>
      <c r="B43" s="6" t="s">
        <v>240</v>
      </c>
      <c r="C43">
        <v>295</v>
      </c>
      <c r="D43">
        <v>16.600000000000001</v>
      </c>
      <c r="E43">
        <v>5.51</v>
      </c>
      <c r="F43">
        <v>0.74</v>
      </c>
      <c r="G43" s="6">
        <v>1.49</v>
      </c>
      <c r="H43" s="6">
        <v>1.39</v>
      </c>
      <c r="I43" s="6">
        <v>0.61</v>
      </c>
      <c r="J43" s="3">
        <f t="shared" si="0"/>
        <v>4.392585327579444</v>
      </c>
      <c r="K43" s="3">
        <f t="shared" si="17"/>
        <v>3.322727791506634</v>
      </c>
      <c r="L43" s="3">
        <f t="shared" si="18"/>
        <v>1.2346886163745379</v>
      </c>
      <c r="M43" s="6">
        <f t="shared" si="3"/>
        <v>1.0648892423685836</v>
      </c>
      <c r="N43" s="6">
        <f t="shared" si="4"/>
        <v>0.57692820594479832</v>
      </c>
      <c r="O43" s="6">
        <f t="shared" si="5"/>
        <v>0.22626666639775792</v>
      </c>
      <c r="P43" s="6">
        <f t="shared" si="6"/>
        <v>70.161591632800423</v>
      </c>
      <c r="Q43" s="6">
        <f t="shared" si="7"/>
        <v>77.283344630297464</v>
      </c>
      <c r="R43" s="6">
        <v>49.83</v>
      </c>
      <c r="S43" s="6">
        <f t="shared" si="8"/>
        <v>4.9829999999999996E-3</v>
      </c>
      <c r="T43">
        <f>(J43/AVERAGE(J64:J65)-1)*100</f>
        <v>17.730496453900724</v>
      </c>
      <c r="U43">
        <f>(K43/AVERAGE(K64:K65)-1)*100</f>
        <v>13.725490196078427</v>
      </c>
      <c r="V43">
        <f>(L43/AVERAGE(L64:L65)-1)*100</f>
        <v>28.695652173913054</v>
      </c>
      <c r="W43">
        <f t="shared" si="9"/>
        <v>-22.50080360012857</v>
      </c>
      <c r="X43">
        <f t="shared" si="10"/>
        <v>-7.2002571520411424E-2</v>
      </c>
      <c r="Y43">
        <f t="shared" si="11"/>
        <v>-9.9003535840565715E-4</v>
      </c>
      <c r="Z43">
        <f>AVERAGE(J64:J65)*(100-X43)/100</f>
        <v>3.7337378456505155</v>
      </c>
      <c r="AA43">
        <f>AVERAGE(L64:L65)*(100-Y43)/100</f>
        <v>0.95939592315045064</v>
      </c>
      <c r="AB43">
        <f t="shared" si="12"/>
        <v>3.8917591325484482</v>
      </c>
      <c r="AC43">
        <f>AB43/AVERAGE(AD64:AD65)-1</f>
        <v>-6.5218381537974768E-3</v>
      </c>
      <c r="AD43">
        <f t="shared" si="13"/>
        <v>3.5576462513095453</v>
      </c>
      <c r="AE43">
        <f t="shared" si="19"/>
        <v>2.6911463728104041</v>
      </c>
      <c r="AF43" s="6">
        <f t="shared" si="15"/>
        <v>0.86247595405508604</v>
      </c>
      <c r="AG43" s="6">
        <f t="shared" si="16"/>
        <v>4.0358353789895366E-3</v>
      </c>
      <c r="AH43">
        <f>AD43/AVERAGE(AD64:AD65)-1</f>
        <v>-9.1813306561042585E-2</v>
      </c>
      <c r="AI43" s="3">
        <f>AE43/AVERAGE(AE64:AE65)-1</f>
        <v>-0.11938748660661958</v>
      </c>
      <c r="AJ43" s="3">
        <f>AF43/AVERAGE(AF64:AF65)-1</f>
        <v>-0.88352116673434899</v>
      </c>
      <c r="AK43" s="3">
        <f>AG43/AVERAGE(AG64:AG65)-1</f>
        <v>-0.24792623400788849</v>
      </c>
    </row>
    <row r="44" spans="1:37">
      <c r="A44" s="6" t="s">
        <v>355</v>
      </c>
      <c r="B44" s="6" t="s">
        <v>240</v>
      </c>
      <c r="C44">
        <v>300</v>
      </c>
      <c r="D44">
        <v>15.9</v>
      </c>
      <c r="E44">
        <v>5.72</v>
      </c>
      <c r="F44">
        <v>0.79</v>
      </c>
      <c r="G44" s="6">
        <v>1.39</v>
      </c>
      <c r="H44" s="6">
        <v>1.27</v>
      </c>
      <c r="I44" s="6">
        <v>0.48</v>
      </c>
      <c r="J44" s="3">
        <f t="shared" si="0"/>
        <v>4.2073558258140453</v>
      </c>
      <c r="K44" s="3">
        <f t="shared" si="17"/>
        <v>3.4493653298399178</v>
      </c>
      <c r="L44" s="3">
        <f t="shared" si="18"/>
        <v>1.318113522886331</v>
      </c>
      <c r="M44" s="6">
        <f t="shared" si="3"/>
        <v>0.99342016569955094</v>
      </c>
      <c r="N44" s="6">
        <f t="shared" si="4"/>
        <v>0.52712145435244162</v>
      </c>
      <c r="O44" s="6">
        <f t="shared" si="5"/>
        <v>0.17804590142774393</v>
      </c>
      <c r="P44" s="6">
        <f t="shared" si="6"/>
        <v>71.239352943369113</v>
      </c>
      <c r="Q44" s="6">
        <f t="shared" si="7"/>
        <v>78.220768591266847</v>
      </c>
      <c r="R44" s="6">
        <v>46.4</v>
      </c>
      <c r="S44" s="6">
        <f t="shared" si="8"/>
        <v>4.64E-3</v>
      </c>
      <c r="T44">
        <f>(J44/AVERAGE(J64:J65)-1)*100</f>
        <v>12.765957446808507</v>
      </c>
      <c r="U44">
        <f>(K44/AVERAGE(K64:K65)-1)*100</f>
        <v>18.059855521155832</v>
      </c>
      <c r="V44">
        <f>(L44/AVERAGE(L64:L65)-1)*100</f>
        <v>37.391304347826114</v>
      </c>
      <c r="W44">
        <f t="shared" si="9"/>
        <v>-29.606320526484971</v>
      </c>
      <c r="X44">
        <f t="shared" si="10"/>
        <v>-9.4740225684751919E-2</v>
      </c>
      <c r="Y44">
        <f t="shared" si="11"/>
        <v>-1.3026781031653387E-3</v>
      </c>
      <c r="Z44">
        <f>AVERAGE(J64:J65)*(100-X44)/100</f>
        <v>3.7345861992128819</v>
      </c>
      <c r="AA44">
        <f>AVERAGE(L64:L65)*(100-Y44)/100</f>
        <v>0.95939892260250215</v>
      </c>
      <c r="AB44">
        <f t="shared" si="12"/>
        <v>3.8926312206837808</v>
      </c>
      <c r="AC44">
        <f>AB44/AVERAGE(AD64:AD65)-1</f>
        <v>-6.2992137600079712E-3</v>
      </c>
      <c r="AD44">
        <f t="shared" si="13"/>
        <v>3.1919525539810971</v>
      </c>
      <c r="AE44">
        <f t="shared" si="19"/>
        <v>2.6168954873376089</v>
      </c>
      <c r="AF44" s="6">
        <f t="shared" si="15"/>
        <v>0.7536681389355715</v>
      </c>
      <c r="AG44" s="6">
        <f t="shared" si="16"/>
        <v>3.5201823814382761E-3</v>
      </c>
      <c r="AH44">
        <f>AD44/AVERAGE(AD64:AD65)-1</f>
        <v>-0.18516664366304925</v>
      </c>
      <c r="AI44" s="3">
        <f>AE44/AVERAGE(AE64:AE65)-1</f>
        <v>-0.1436842916925497</v>
      </c>
      <c r="AJ44" s="3">
        <f>AF44/AVERAGE(AF64:AF65)-1</f>
        <v>-0.89821584581000036</v>
      </c>
      <c r="AK44" s="3">
        <f>AG44/AVERAGE(AG64:AG65)-1</f>
        <v>-0.3440176389825369</v>
      </c>
    </row>
    <row r="45" spans="1:37">
      <c r="A45" s="6" t="s">
        <v>356</v>
      </c>
      <c r="B45" s="6" t="s">
        <v>240</v>
      </c>
      <c r="C45">
        <v>308</v>
      </c>
      <c r="D45">
        <v>12.9</v>
      </c>
      <c r="E45">
        <v>5.31</v>
      </c>
      <c r="F45">
        <v>0.51</v>
      </c>
      <c r="G45" s="6">
        <v>2.4300000000000002</v>
      </c>
      <c r="H45" s="6">
        <v>1.17</v>
      </c>
      <c r="I45" s="6">
        <v>0.34</v>
      </c>
      <c r="J45" s="3">
        <f t="shared" si="0"/>
        <v>3.4135151039623386</v>
      </c>
      <c r="K45" s="3">
        <f t="shared" si="17"/>
        <v>3.2021206121416022</v>
      </c>
      <c r="L45" s="3">
        <f t="shared" si="18"/>
        <v>0.85093404642028958</v>
      </c>
      <c r="M45" s="6">
        <f t="shared" si="3"/>
        <v>1.7366985630574887</v>
      </c>
      <c r="N45" s="6">
        <f t="shared" si="4"/>
        <v>0.48561582802547765</v>
      </c>
      <c r="O45" s="6">
        <f t="shared" si="5"/>
        <v>0.12611584684465196</v>
      </c>
      <c r="P45" s="6">
        <f t="shared" si="6"/>
        <v>59.242406885496123</v>
      </c>
      <c r="Q45" s="6">
        <f t="shared" si="7"/>
        <v>64.694881072016656</v>
      </c>
      <c r="R45" s="6">
        <v>30.04</v>
      </c>
      <c r="S45" s="6">
        <f t="shared" si="8"/>
        <v>3.0039999999999997E-3</v>
      </c>
      <c r="T45">
        <f>(J45/AVERAGE(J64:J65)-1)*100</f>
        <v>-8.5106382978723421</v>
      </c>
      <c r="U45">
        <f>(K45/AVERAGE(K64:K65)-1)*100</f>
        <v>9.5975232198142422</v>
      </c>
      <c r="V45">
        <f>(L45/AVERAGE(L64:L65)-1)*100</f>
        <v>-11.304347826086946</v>
      </c>
      <c r="W45">
        <f t="shared" si="9"/>
        <v>-15.733644622646299</v>
      </c>
      <c r="X45">
        <f t="shared" si="10"/>
        <v>-5.0347662792468162E-2</v>
      </c>
      <c r="Y45">
        <f t="shared" si="11"/>
        <v>-6.9228036339643716E-4</v>
      </c>
      <c r="Z45">
        <f>AVERAGE(J64:J65)*(100-X45)/100</f>
        <v>3.7329298898768326</v>
      </c>
      <c r="AA45">
        <f>AVERAGE(L64:L65)*(100-Y45)/100</f>
        <v>0.95939306652944911</v>
      </c>
      <c r="AB45">
        <f t="shared" si="12"/>
        <v>3.8909285673498748</v>
      </c>
      <c r="AC45">
        <f>AB45/AVERAGE(AD64:AD65)-1</f>
        <v>-6.733862680153857E-3</v>
      </c>
      <c r="AD45" s="3">
        <f t="shared" si="13"/>
        <v>4.0114919814553414</v>
      </c>
      <c r="AE45" s="3">
        <f t="shared" si="19"/>
        <v>3.7630655696669879</v>
      </c>
      <c r="AF45" s="6">
        <f t="shared" si="15"/>
        <v>2.0409320444556593</v>
      </c>
      <c r="AG45" s="6">
        <f t="shared" si="16"/>
        <v>3.5302383453068198E-3</v>
      </c>
      <c r="AH45">
        <f>AD45/AVERAGE(AD64:AD65)-1</f>
        <v>2.4043252488576305E-2</v>
      </c>
      <c r="AI45">
        <f>AE45/AVERAGE(AE64:AE65)-1</f>
        <v>0.23137212559266551</v>
      </c>
      <c r="AJ45" s="6">
        <f>AF45/AVERAGE(AF64:AF65)-1</f>
        <v>-0.72436868274997557</v>
      </c>
      <c r="AK45" s="6">
        <f>AG45/AVERAGE(AG64:AG65)-1</f>
        <v>-0.34214372047320718</v>
      </c>
    </row>
    <row r="46" spans="1:37">
      <c r="A46" s="6" t="s">
        <v>357</v>
      </c>
      <c r="B46" s="6" t="s">
        <v>240</v>
      </c>
      <c r="C46">
        <v>313</v>
      </c>
      <c r="D46">
        <v>10.3</v>
      </c>
      <c r="E46">
        <v>4.6399999999999997</v>
      </c>
      <c r="F46">
        <v>0.41</v>
      </c>
      <c r="G46" s="6">
        <v>3.07</v>
      </c>
      <c r="H46" s="6">
        <v>1.1599999999999999</v>
      </c>
      <c r="I46" s="6">
        <v>0.3</v>
      </c>
      <c r="J46">
        <f t="shared" si="0"/>
        <v>2.7255198116908592</v>
      </c>
      <c r="K46" s="3">
        <f t="shared" si="17"/>
        <v>2.7980865612687444</v>
      </c>
      <c r="L46" s="3">
        <f t="shared" si="18"/>
        <v>0.68408423339670332</v>
      </c>
      <c r="M46" s="6">
        <f t="shared" si="3"/>
        <v>2.1941006537392962</v>
      </c>
      <c r="N46" s="6">
        <f t="shared" si="4"/>
        <v>0.48146526539278128</v>
      </c>
      <c r="O46" s="6">
        <f t="shared" si="5"/>
        <v>0.11127868839233997</v>
      </c>
      <c r="P46" s="6">
        <f t="shared" si="6"/>
        <v>49.443752343188805</v>
      </c>
      <c r="Q46" s="6">
        <f t="shared" si="7"/>
        <v>54.175600193058926</v>
      </c>
      <c r="R46" s="6">
        <v>25.01</v>
      </c>
      <c r="S46" s="6">
        <f t="shared" si="8"/>
        <v>2.5010000000000002E-3</v>
      </c>
      <c r="T46">
        <f>(J46/AVERAGE(J64:J65)-1)*100</f>
        <v>-26.950354609929082</v>
      </c>
      <c r="U46">
        <f>(K46/AVERAGE(K64:K65)-1)*100</f>
        <v>-4.2311661506707949</v>
      </c>
      <c r="V46">
        <f>(L46/AVERAGE(L64:L65)-1)*100</f>
        <v>-28.695652173913043</v>
      </c>
      <c r="W46">
        <f t="shared" si="9"/>
        <v>6.9363379519193362</v>
      </c>
      <c r="X46">
        <f t="shared" si="10"/>
        <v>2.2196281446141879E-2</v>
      </c>
      <c r="Y46">
        <f t="shared" si="11"/>
        <v>3.0519886988445078E-4</v>
      </c>
      <c r="Z46">
        <f>AVERAGE(J64:J65)*(100-X46)/100</f>
        <v>3.7302232380349967</v>
      </c>
      <c r="AA46">
        <f>AVERAGE(L64:L65)*(100-Y46)/100</f>
        <v>0.95938349684909396</v>
      </c>
      <c r="AB46">
        <f t="shared" si="12"/>
        <v>3.888146137896034</v>
      </c>
      <c r="AC46">
        <f>AB46/AVERAGE(AD64:AD65)-1</f>
        <v>-7.4441540432934605E-3</v>
      </c>
      <c r="AD46" s="3">
        <f t="shared" si="13"/>
        <v>3.984187441592911</v>
      </c>
      <c r="AE46" s="3">
        <f t="shared" si="19"/>
        <v>4.0902661173395618</v>
      </c>
      <c r="AF46" s="6">
        <f t="shared" si="15"/>
        <v>3.2073545137049342</v>
      </c>
      <c r="AG46" s="6">
        <f t="shared" si="16"/>
        <v>3.65598252072221E-3</v>
      </c>
      <c r="AH46">
        <f>AD46/AVERAGE(AD64:AD65)-1</f>
        <v>1.7073020480713019E-2</v>
      </c>
      <c r="AI46">
        <f>AE46/AVERAGE(AE64:AE65)-1</f>
        <v>0.33844058518326392</v>
      </c>
      <c r="AJ46" s="6">
        <f>AF46/AVERAGE(AF64:AF65)-1</f>
        <v>-0.56684135961220183</v>
      </c>
      <c r="AK46" s="6">
        <f>AG46/AVERAGE(AG64:AG65)-1</f>
        <v>-0.31871142290018217</v>
      </c>
    </row>
    <row r="47" spans="1:37">
      <c r="A47" s="6" t="s">
        <v>358</v>
      </c>
      <c r="B47" s="6" t="s">
        <v>240</v>
      </c>
      <c r="C47">
        <v>321</v>
      </c>
      <c r="D47">
        <v>13.2</v>
      </c>
      <c r="E47">
        <v>5.24</v>
      </c>
      <c r="F47">
        <v>0.56000000000000005</v>
      </c>
      <c r="G47" s="6">
        <v>2.0699999999999998</v>
      </c>
      <c r="H47" s="6">
        <v>1.19</v>
      </c>
      <c r="I47" s="6">
        <v>0.33</v>
      </c>
      <c r="J47" s="3">
        <f t="shared" si="0"/>
        <v>3.4928991761475086</v>
      </c>
      <c r="K47" s="3">
        <f t="shared" si="17"/>
        <v>3.1599080993638413</v>
      </c>
      <c r="L47" s="3">
        <f t="shared" si="18"/>
        <v>0.93435895293208271</v>
      </c>
      <c r="M47" s="6">
        <f t="shared" si="3"/>
        <v>1.4794098870489718</v>
      </c>
      <c r="N47" s="6">
        <f t="shared" si="4"/>
        <v>0.49391695329087049</v>
      </c>
      <c r="O47" s="6">
        <f t="shared" si="5"/>
        <v>0.12240655723157397</v>
      </c>
      <c r="P47" s="6">
        <f t="shared" si="6"/>
        <v>62.500068309611166</v>
      </c>
      <c r="Q47" s="6">
        <f t="shared" si="7"/>
        <v>68.559257010188887</v>
      </c>
      <c r="R47" s="6">
        <v>45.24</v>
      </c>
      <c r="S47" s="6">
        <f t="shared" si="8"/>
        <v>4.5240000000000002E-3</v>
      </c>
      <c r="T47">
        <f>(J46/AVERAGE(J64:J65)-1)*100</f>
        <v>-26.950354609929082</v>
      </c>
      <c r="U47">
        <f>(K46/AVERAGE(K64:K65)-1)*100</f>
        <v>-4.2311661506707949</v>
      </c>
      <c r="V47">
        <f>(L46/AVERAGE(L64:L65)-1)*100</f>
        <v>-28.695652173913043</v>
      </c>
      <c r="W47">
        <f t="shared" si="9"/>
        <v>6.9363379519193362</v>
      </c>
      <c r="X47">
        <f t="shared" si="10"/>
        <v>2.2196281446141879E-2</v>
      </c>
      <c r="Y47">
        <f t="shared" si="11"/>
        <v>3.0519886988445078E-4</v>
      </c>
      <c r="Z47">
        <f>AVERAGE(J64:J65)*(100-X47)/100</f>
        <v>3.7302232380349967</v>
      </c>
      <c r="AA47">
        <f>AVERAGE(L64:L65)*(100-Y47)/100</f>
        <v>0.95938349684909396</v>
      </c>
      <c r="AB47">
        <f t="shared" si="12"/>
        <v>3.888146137896034</v>
      </c>
      <c r="AC47">
        <f>AB47/AVERAGE(AD64:AD65)-1</f>
        <v>-7.4441540432934605E-3</v>
      </c>
      <c r="AD47" s="3">
        <f t="shared" si="13"/>
        <v>3.7382840558080495</v>
      </c>
      <c r="AE47" s="3">
        <f t="shared" si="19"/>
        <v>3.3818995252818334</v>
      </c>
      <c r="AF47" s="6">
        <f t="shared" si="15"/>
        <v>1.5833421217900057</v>
      </c>
      <c r="AG47" s="6">
        <f t="shared" si="16"/>
        <v>4.841822284469343E-3</v>
      </c>
      <c r="AH47">
        <f>AD47/AVERAGE(AD64:AD65)-1</f>
        <v>-4.5700557066293723E-2</v>
      </c>
      <c r="AI47" s="3">
        <f>AE47/AVERAGE(AE64:AE65)-1</f>
        <v>0.10664476339582984</v>
      </c>
      <c r="AJ47" s="3">
        <f>AF47/AVERAGE(AF64:AF65)-1</f>
        <v>-0.78616697411754055</v>
      </c>
      <c r="AK47" s="3">
        <f>AG47/AVERAGE(AG64:AG65)-1</f>
        <v>-9.7731404332676908E-2</v>
      </c>
    </row>
    <row r="48" spans="1:37">
      <c r="A48" s="6" t="s">
        <v>359</v>
      </c>
      <c r="B48" s="6" t="s">
        <v>240</v>
      </c>
      <c r="C48">
        <v>328</v>
      </c>
      <c r="D48">
        <v>10.1</v>
      </c>
      <c r="E48">
        <v>5.47</v>
      </c>
      <c r="F48">
        <v>0.37</v>
      </c>
      <c r="G48" s="6">
        <v>3.61</v>
      </c>
      <c r="H48" s="6">
        <v>0.9</v>
      </c>
      <c r="I48" s="6">
        <v>0.22</v>
      </c>
      <c r="J48" s="3">
        <f t="shared" si="0"/>
        <v>2.6725970969007453</v>
      </c>
      <c r="K48" s="3">
        <f t="shared" si="17"/>
        <v>3.2986063556336283</v>
      </c>
      <c r="L48" s="3">
        <f t="shared" si="18"/>
        <v>0.61734430818726893</v>
      </c>
      <c r="M48" s="6">
        <f t="shared" si="3"/>
        <v>2.5800336677520712</v>
      </c>
      <c r="N48" s="6">
        <f t="shared" si="4"/>
        <v>0.37355063694267515</v>
      </c>
      <c r="O48" s="6">
        <f t="shared" si="5"/>
        <v>8.1604371487715974E-2</v>
      </c>
      <c r="P48" s="6">
        <f t="shared" si="6"/>
        <v>46.823710684871642</v>
      </c>
      <c r="Q48" s="6">
        <f t="shared" si="7"/>
        <v>50.102723796207528</v>
      </c>
      <c r="R48" s="6">
        <v>30.76</v>
      </c>
      <c r="S48" s="6">
        <f t="shared" si="8"/>
        <v>3.0760000000000002E-3</v>
      </c>
      <c r="T48">
        <f>(J47/AVERAGE(J64:J65)-1)*100</f>
        <v>-6.3829787234042756</v>
      </c>
      <c r="U48">
        <f>(K47/AVERAGE(K64:K65)-1)*100</f>
        <v>8.1527347781217951</v>
      </c>
      <c r="V48">
        <f>(L47/AVERAGE(L64:L65)-1)*100</f>
        <v>-2.608695652173898</v>
      </c>
      <c r="W48">
        <f t="shared" si="9"/>
        <v>-13.365138980527533</v>
      </c>
      <c r="X48">
        <f t="shared" si="10"/>
        <v>-4.2768444737688108E-2</v>
      </c>
      <c r="Y48">
        <f t="shared" si="11"/>
        <v>-5.8806611514321142E-4</v>
      </c>
      <c r="Z48">
        <f>AVERAGE(J64:J65)*(100-X48)/100</f>
        <v>3.7326471053560444</v>
      </c>
      <c r="AA48">
        <f>AVERAGE(L64:L65)*(100-Y48)/100</f>
        <v>0.95939206671209865</v>
      </c>
      <c r="AB48">
        <f t="shared" si="12"/>
        <v>3.8906378683618659</v>
      </c>
      <c r="AC48">
        <f>AB48/AVERAGE(AD64:AD65)-1</f>
        <v>-6.8080715626723798E-3</v>
      </c>
      <c r="AD48">
        <f t="shared" si="13"/>
        <v>4.3291839925573976</v>
      </c>
      <c r="AE48">
        <f t="shared" si="19"/>
        <v>5.3432198400264657</v>
      </c>
      <c r="AF48" s="6">
        <f t="shared" si="15"/>
        <v>4.1792458981729661</v>
      </c>
      <c r="AG48" s="6">
        <f t="shared" si="16"/>
        <v>4.9826328018349655E-3</v>
      </c>
      <c r="AH48">
        <f>AD48/AVERAGE(AD64:AD65)-1</f>
        <v>0.1051428438233093</v>
      </c>
      <c r="AI48" s="3">
        <f>AE48/AVERAGE(AE64:AE65)-1</f>
        <v>0.74843936416035994</v>
      </c>
      <c r="AJ48" s="3">
        <f>AF48/AVERAGE(AF64:AF65)-1</f>
        <v>-0.43558578780000001</v>
      </c>
      <c r="AK48" s="3">
        <f>AG48/AVERAGE(AG64:AG65)-1</f>
        <v>-7.149150945545435E-2</v>
      </c>
    </row>
    <row r="49" spans="1:37" s="15" customFormat="1">
      <c r="A49" s="15" t="s">
        <v>360</v>
      </c>
      <c r="B49" s="15" t="s">
        <v>377</v>
      </c>
      <c r="C49" s="15">
        <v>340</v>
      </c>
      <c r="D49" s="15">
        <v>20.100000000000001</v>
      </c>
      <c r="E49" s="15">
        <v>5.92</v>
      </c>
      <c r="F49" s="15">
        <v>0.87</v>
      </c>
      <c r="G49" s="15">
        <v>0.52</v>
      </c>
      <c r="H49" s="15">
        <v>1.72</v>
      </c>
      <c r="I49" s="15">
        <v>0.69</v>
      </c>
      <c r="J49" s="53">
        <f t="shared" si="0"/>
        <v>5.3187328364064346</v>
      </c>
      <c r="K49" s="53">
        <f t="shared" si="17"/>
        <v>3.5699725092049497</v>
      </c>
      <c r="L49" s="53">
        <f t="shared" si="18"/>
        <v>1.4515933733051998</v>
      </c>
      <c r="M49" s="15">
        <f t="shared" si="3"/>
        <v>0.37163919867896877</v>
      </c>
      <c r="N49" s="15">
        <f t="shared" si="4"/>
        <v>0.71389677282377917</v>
      </c>
      <c r="O49" s="15">
        <f t="shared" si="5"/>
        <v>0.25594098330238191</v>
      </c>
      <c r="P49" s="15">
        <f t="shared" si="6"/>
        <v>79.858337847326283</v>
      </c>
      <c r="Q49" s="15">
        <f t="shared" si="7"/>
        <v>89.445893950744207</v>
      </c>
      <c r="R49" s="15" t="s">
        <v>53</v>
      </c>
      <c r="S49" s="15" t="s">
        <v>53</v>
      </c>
      <c r="T49" s="15">
        <f>(J49/AVERAGE(J64:J65)-1)*100</f>
        <v>42.553191489361723</v>
      </c>
      <c r="U49" s="15">
        <f>(K49/AVERAGE(K64:K65)-1)*100</f>
        <v>22.187822497420019</v>
      </c>
      <c r="V49" s="15">
        <f>(L49/AVERAGE(L64:L65)-1)*100</f>
        <v>51.304347826086946</v>
      </c>
      <c r="W49" s="15">
        <f t="shared" si="9"/>
        <v>-36.373479503967246</v>
      </c>
      <c r="X49" s="15">
        <f t="shared" si="10"/>
        <v>-0.11639513441269519</v>
      </c>
      <c r="Y49" s="15">
        <f t="shared" si="11"/>
        <v>-1.6004330981745588E-3</v>
      </c>
      <c r="Z49" s="15">
        <f>AVERAGE(J64:J65)*(100-X49)/100</f>
        <v>3.7353941549865648</v>
      </c>
      <c r="AA49" s="15">
        <f>AVERAGE(L64:L65)*(100-Y49)/100</f>
        <v>0.95940177922350389</v>
      </c>
      <c r="AB49" s="15">
        <f t="shared" si="12"/>
        <v>3.8934617757430288</v>
      </c>
      <c r="AC49" s="15">
        <f>AB49/AVERAGE(AD64:AD65)-1</f>
        <v>-6.0871918219921328E-3</v>
      </c>
      <c r="AD49" s="15">
        <f t="shared" si="13"/>
        <v>3.6640652501023525</v>
      </c>
      <c r="AE49" s="15">
        <f t="shared" si="19"/>
        <v>2.4593474831566051</v>
      </c>
      <c r="AF49" s="15">
        <f t="shared" si="15"/>
        <v>0.25602155914556596</v>
      </c>
      <c r="AG49" s="15" t="e">
        <f t="shared" si="16"/>
        <v>#VALUE!</v>
      </c>
      <c r="AH49" s="15">
        <f>AD49/AVERAGE(AD64:AD65)-1</f>
        <v>-6.4646940990787161E-2</v>
      </c>
      <c r="AI49" s="15">
        <f>AE49/AVERAGE(AE64:AE65)-1</f>
        <v>-0.19523806273364608</v>
      </c>
      <c r="AJ49" s="15">
        <f>AF49/AVERAGE(AF64:AF65)-1</f>
        <v>-0.96542385632907313</v>
      </c>
      <c r="AK49" s="15" t="e">
        <f>AG49/AVERAGE(AG64:AG65)-1</f>
        <v>#VALUE!</v>
      </c>
    </row>
    <row r="50" spans="1:37" s="15" customFormat="1">
      <c r="A50" s="15" t="s">
        <v>361</v>
      </c>
      <c r="B50" s="15" t="s">
        <v>377</v>
      </c>
      <c r="C50" s="15">
        <v>340</v>
      </c>
      <c r="D50" s="15">
        <v>11.7</v>
      </c>
      <c r="E50" s="15">
        <v>6.3</v>
      </c>
      <c r="F50" s="15">
        <v>0.44</v>
      </c>
      <c r="G50" s="15">
        <v>3.74</v>
      </c>
      <c r="H50" s="15">
        <v>0.95</v>
      </c>
      <c r="I50" s="15">
        <v>0.24</v>
      </c>
      <c r="J50" s="15">
        <f t="shared" si="0"/>
        <v>3.0959788152216556</v>
      </c>
      <c r="K50" s="53">
        <f t="shared" si="17"/>
        <v>3.7991261499985112</v>
      </c>
      <c r="L50" s="53">
        <f t="shared" si="18"/>
        <v>0.7341391773037792</v>
      </c>
      <c r="M50" s="15">
        <f t="shared" si="3"/>
        <v>2.6729434674218138</v>
      </c>
      <c r="N50" s="15">
        <f t="shared" si="4"/>
        <v>0.39430345010615714</v>
      </c>
      <c r="O50" s="15">
        <f t="shared" si="5"/>
        <v>8.9022950713871965E-2</v>
      </c>
      <c r="P50" s="15">
        <f t="shared" si="6"/>
        <v>49.517845050056543</v>
      </c>
      <c r="Q50" s="15">
        <f t="shared" si="7"/>
        <v>52.850934788396266</v>
      </c>
      <c r="R50" s="15" t="s">
        <v>53</v>
      </c>
      <c r="S50" s="15" t="s">
        <v>53</v>
      </c>
      <c r="T50" s="15">
        <f>(J50/AVERAGE(J64:J65)-1)*100</f>
        <v>-17.021276595744684</v>
      </c>
      <c r="U50" s="15">
        <f>(K50/AVERAGE(K64:K65)-1)*100</f>
        <v>30.030959752321994</v>
      </c>
      <c r="V50" s="15">
        <f>(L50/AVERAGE(L64:L65)-1)*100</f>
        <v>-23.478260869565215</v>
      </c>
      <c r="W50" s="15">
        <f t="shared" si="9"/>
        <v>-49.231081561183601</v>
      </c>
      <c r="X50" s="15">
        <f t="shared" si="10"/>
        <v>-0.15753946099578753</v>
      </c>
      <c r="Y50" s="15">
        <f t="shared" si="11"/>
        <v>-2.1661675886920783E-3</v>
      </c>
      <c r="Z50" s="15">
        <f>AVERAGE(J64:J65)*(100-X50)/100</f>
        <v>3.7369292709565616</v>
      </c>
      <c r="AA50" s="15">
        <f>AVERAGE(L64:L65)*(100-Y50)/100</f>
        <v>0.95940720680340674</v>
      </c>
      <c r="AB50" s="15">
        <f t="shared" si="12"/>
        <v>3.895039816729561</v>
      </c>
      <c r="AC50" s="15">
        <f>AB50/AVERAGE(AD64:AD65)-1</f>
        <v>-5.6843536181818699E-3</v>
      </c>
      <c r="AD50" s="15">
        <f t="shared" si="13"/>
        <v>4.2171551538661065</v>
      </c>
      <c r="AE50" s="15">
        <f t="shared" si="19"/>
        <v>5.1749399397962819</v>
      </c>
      <c r="AF50" s="15">
        <f t="shared" si="15"/>
        <v>3.6409219805412691</v>
      </c>
      <c r="AG50" s="15" t="e">
        <f t="shared" si="16"/>
        <v>#VALUE!</v>
      </c>
      <c r="AH50" s="15">
        <f>AD50/AVERAGE(AD64:AD65)-1</f>
        <v>7.6544412896288661E-2</v>
      </c>
      <c r="AI50" s="15">
        <f>AE50/AVERAGE(AE64:AE65)-1</f>
        <v>0.69337383989438228</v>
      </c>
      <c r="AJ50" s="15">
        <f>AF50/AVERAGE(AF64:AF65)-1</f>
        <v>-0.50828734144903043</v>
      </c>
      <c r="AK50" s="15" t="e">
        <f>AG50/AVERAGE(AG64:AG65)-1</f>
        <v>#VALUE!</v>
      </c>
    </row>
    <row r="51" spans="1:37">
      <c r="A51" s="6" t="s">
        <v>362</v>
      </c>
      <c r="B51" s="6" t="s">
        <v>216</v>
      </c>
      <c r="C51">
        <v>356</v>
      </c>
      <c r="D51">
        <v>15.6</v>
      </c>
      <c r="E51">
        <v>6.07</v>
      </c>
      <c r="F51">
        <v>0.7</v>
      </c>
      <c r="G51" s="6">
        <v>1.34</v>
      </c>
      <c r="H51" s="6">
        <v>1.23</v>
      </c>
      <c r="I51" s="6">
        <v>0.31</v>
      </c>
      <c r="J51" s="3">
        <f t="shared" si="0"/>
        <v>4.1279717536288745</v>
      </c>
      <c r="K51" s="3">
        <f t="shared" si="17"/>
        <v>3.6604278937287242</v>
      </c>
      <c r="L51" s="3">
        <f t="shared" si="18"/>
        <v>1.1679486911651034</v>
      </c>
      <c r="M51" s="6">
        <f t="shared" si="3"/>
        <v>0.95768562736503493</v>
      </c>
      <c r="N51" s="6">
        <f t="shared" si="4"/>
        <v>0.51051920382165605</v>
      </c>
      <c r="O51" s="6">
        <f t="shared" si="5"/>
        <v>0.11498797800541796</v>
      </c>
      <c r="P51" s="6">
        <f t="shared" si="6"/>
        <v>72.27898457875807</v>
      </c>
      <c r="Q51" s="6">
        <f t="shared" si="7"/>
        <v>79.374221249017268</v>
      </c>
      <c r="R51" s="6">
        <v>55.4</v>
      </c>
      <c r="S51" s="6">
        <f t="shared" si="8"/>
        <v>5.5399999999999998E-3</v>
      </c>
      <c r="T51">
        <f>(J51/AVERAGE(J64:J65)-1)*100</f>
        <v>10.638297872340431</v>
      </c>
      <c r="U51">
        <f>(K51/AVERAGE(K64:K65)-1)*100</f>
        <v>25.283797729618172</v>
      </c>
      <c r="V51">
        <f>(L51/AVERAGE(L64:L65)-1)*100</f>
        <v>21.739130434782616</v>
      </c>
      <c r="W51">
        <f t="shared" si="9"/>
        <v>-41.448848737078968</v>
      </c>
      <c r="X51">
        <f t="shared" si="10"/>
        <v>-0.13263631595865272</v>
      </c>
      <c r="Y51">
        <f t="shared" si="11"/>
        <v>-1.8237493444314746E-3</v>
      </c>
      <c r="Z51">
        <f>AVERAGE(J64:J65)*(100-X51)/100</f>
        <v>3.7360001218168266</v>
      </c>
      <c r="AA51">
        <f>AVERAGE(L64:L65)*(100-Y51)/100</f>
        <v>0.95940392168925481</v>
      </c>
      <c r="AB51">
        <f t="shared" si="12"/>
        <v>3.8940846887916876</v>
      </c>
      <c r="AC51" s="3">
        <f>AB51/AVERAGE(AD64:AD65)-1</f>
        <v>-5.9281761970538804E-3</v>
      </c>
      <c r="AD51">
        <f t="shared" si="13"/>
        <v>3.534377652763975</v>
      </c>
      <c r="AE51">
        <f t="shared" si="19"/>
        <v>3.1340656669405691</v>
      </c>
      <c r="AF51" s="6">
        <f t="shared" si="15"/>
        <v>0.81997234519752948</v>
      </c>
      <c r="AG51" s="6">
        <f t="shared" si="16"/>
        <v>4.7433590549885336E-3</v>
      </c>
      <c r="AH51">
        <f>AD51/AVERAGE(AD64:AD65)-1</f>
        <v>-9.7753253953586583E-2</v>
      </c>
      <c r="AI51" s="3">
        <f>AE51/AVERAGE(AE64:AE65)-1</f>
        <v>2.5547131879799512E-2</v>
      </c>
      <c r="AJ51" s="3">
        <f>AF51/AVERAGE(AF64:AF65)-1</f>
        <v>-0.8892613508473447</v>
      </c>
      <c r="AK51" s="3">
        <f>AG51/AVERAGE(AG64:AG65)-1</f>
        <v>-0.11607992572997894</v>
      </c>
    </row>
    <row r="52" spans="1:37">
      <c r="A52" s="6" t="s">
        <v>363</v>
      </c>
      <c r="B52" s="6" t="s">
        <v>216</v>
      </c>
      <c r="C52">
        <v>380</v>
      </c>
      <c r="D52">
        <v>15</v>
      </c>
      <c r="E52">
        <v>6.35</v>
      </c>
      <c r="F52">
        <v>0.6</v>
      </c>
      <c r="G52" s="6">
        <v>2.37</v>
      </c>
      <c r="H52" s="6">
        <v>1.74</v>
      </c>
      <c r="I52" s="6">
        <v>0.27</v>
      </c>
      <c r="J52" s="3">
        <f t="shared" si="0"/>
        <v>3.9692036092585328</v>
      </c>
      <c r="K52" s="3">
        <f t="shared" si="17"/>
        <v>3.8292779448397689</v>
      </c>
      <c r="L52" s="3">
        <f t="shared" si="18"/>
        <v>1.0010988781415171</v>
      </c>
      <c r="M52" s="6">
        <f t="shared" si="3"/>
        <v>1.6938171170560692</v>
      </c>
      <c r="N52" s="6">
        <f t="shared" si="4"/>
        <v>0.7221978980891719</v>
      </c>
      <c r="O52" s="6">
        <f t="shared" si="5"/>
        <v>0.10015081955310597</v>
      </c>
      <c r="P52" s="6">
        <f t="shared" si="6"/>
        <v>61.202428690582458</v>
      </c>
      <c r="Q52" s="6">
        <f t="shared" si="7"/>
        <v>68.87186296067344</v>
      </c>
      <c r="R52" s="6">
        <v>44.43</v>
      </c>
      <c r="S52" s="6">
        <f t="shared" si="8"/>
        <v>4.4429999999999999E-3</v>
      </c>
      <c r="T52">
        <f>(J52/AVERAGE(J64:J65)-1)*100</f>
        <v>6.3829787234042534</v>
      </c>
      <c r="U52">
        <f>(K52/AVERAGE(K64:K65)-1)*100</f>
        <v>31.062951496388024</v>
      </c>
      <c r="V52">
        <f>(L52/AVERAGE(L64:L65)-1)*100</f>
        <v>4.3478260869565188</v>
      </c>
      <c r="W52">
        <f t="shared" si="9"/>
        <v>-50.922871305554139</v>
      </c>
      <c r="X52">
        <f t="shared" si="10"/>
        <v>-0.16295318817777324</v>
      </c>
      <c r="Y52">
        <f t="shared" si="11"/>
        <v>-2.2406063374443819E-3</v>
      </c>
      <c r="Z52">
        <f>AVERAGE(J64:J65)*(100-X52)/100</f>
        <v>3.7371312598999817</v>
      </c>
      <c r="AA52">
        <f>AVERAGE(L64:L65)*(100-Y52)/100</f>
        <v>0.95940792095865701</v>
      </c>
      <c r="AB52">
        <f t="shared" si="12"/>
        <v>3.8952474523722667</v>
      </c>
      <c r="AC52" s="3">
        <f>AB52/AVERAGE(AD64:AD65)-1</f>
        <v>-5.6313489306810682E-3</v>
      </c>
      <c r="AD52">
        <f t="shared" si="13"/>
        <v>3.964846725857023</v>
      </c>
      <c r="AE52">
        <f t="shared" si="19"/>
        <v>3.825074653912913</v>
      </c>
      <c r="AF52" s="6">
        <f t="shared" si="15"/>
        <v>1.6919578615456488</v>
      </c>
      <c r="AG52" s="6">
        <f t="shared" si="16"/>
        <v>4.4381230435980266E-3</v>
      </c>
      <c r="AH52">
        <f>AD52/AVERAGE(AD64:AD65)-1</f>
        <v>1.2135772808476553E-2</v>
      </c>
      <c r="AI52" s="3">
        <f>AE52/AVERAGE(AE64:AE65)-1</f>
        <v>0.25166309753039795</v>
      </c>
      <c r="AJ52" s="3">
        <f>AF52/AVERAGE(AF64:AF65)-1</f>
        <v>-0.77149823514396121</v>
      </c>
      <c r="AK52" s="3">
        <f>AG52/AVERAGE(AG64:AG65)-1</f>
        <v>-0.17296034206161459</v>
      </c>
    </row>
    <row r="53" spans="1:37">
      <c r="A53" s="6" t="s">
        <v>364</v>
      </c>
      <c r="B53" s="6" t="s">
        <v>216</v>
      </c>
      <c r="C53">
        <v>382</v>
      </c>
      <c r="D53">
        <v>14</v>
      </c>
      <c r="E53">
        <v>5.48</v>
      </c>
      <c r="F53">
        <v>0.55000000000000004</v>
      </c>
      <c r="G53" s="6">
        <v>2.75</v>
      </c>
      <c r="H53" s="6">
        <v>1.98</v>
      </c>
      <c r="I53" s="6">
        <v>0.37</v>
      </c>
      <c r="J53" s="3">
        <f t="shared" si="0"/>
        <v>3.7045900353079646</v>
      </c>
      <c r="K53" s="3">
        <f t="shared" si="17"/>
        <v>3.3046367146018798</v>
      </c>
      <c r="L53" s="3">
        <f t="shared" si="18"/>
        <v>0.91767397162972419</v>
      </c>
      <c r="M53" s="6">
        <f t="shared" si="3"/>
        <v>1.9653996083983927</v>
      </c>
      <c r="N53" s="6">
        <f t="shared" si="4"/>
        <v>0.82181140127388541</v>
      </c>
      <c r="O53" s="6">
        <f t="shared" si="5"/>
        <v>0.13724371568388596</v>
      </c>
      <c r="P53" s="6">
        <f t="shared" si="6"/>
        <v>55.884221166984872</v>
      </c>
      <c r="Q53" s="6">
        <f t="shared" si="7"/>
        <v>63.79268415858779</v>
      </c>
      <c r="R53" s="6">
        <v>37.89</v>
      </c>
      <c r="S53" s="6">
        <f t="shared" si="8"/>
        <v>3.7890000000000003E-3</v>
      </c>
      <c r="T53">
        <f>(J53/AVERAGE(J64:J65)-1)*100</f>
        <v>-0.70921985815601829</v>
      </c>
      <c r="U53">
        <f>(K53/AVERAGE(K64:K65)-1)*100</f>
        <v>13.106295149638814</v>
      </c>
      <c r="V53">
        <f>(L53/AVERAGE(L64:L65)-1)*100</f>
        <v>-4.3478260869564966</v>
      </c>
      <c r="W53">
        <f t="shared" si="9"/>
        <v>-21.485729753506252</v>
      </c>
      <c r="X53">
        <f t="shared" si="10"/>
        <v>-6.8754335211220013E-2</v>
      </c>
      <c r="Y53">
        <f t="shared" si="11"/>
        <v>-9.4537210915427502E-4</v>
      </c>
      <c r="Z53">
        <f>AVERAGE(J64:J65)*(100-X53)/100</f>
        <v>3.7336166522844634</v>
      </c>
      <c r="AA53">
        <f>AVERAGE(L64:L65)*(100-Y53)/100</f>
        <v>0.95939549465730034</v>
      </c>
      <c r="AB53">
        <f t="shared" si="12"/>
        <v>3.8916345480839736</v>
      </c>
      <c r="AC53">
        <f>AB53/AVERAGE(AD64:AD65)-1</f>
        <v>-6.5536417522590318E-3</v>
      </c>
      <c r="AD53">
        <f t="shared" si="13"/>
        <v>4.0369348481453322</v>
      </c>
      <c r="AE53">
        <f t="shared" si="19"/>
        <v>3.6011010628677615</v>
      </c>
      <c r="AF53" s="6">
        <f t="shared" si="15"/>
        <v>2.1417188120830994</v>
      </c>
      <c r="AG53" s="6">
        <f t="shared" si="16"/>
        <v>4.1289173684102686E-3</v>
      </c>
      <c r="AH53">
        <f>AD53/AVERAGE(AD64:AD65)-1</f>
        <v>3.0538241404994171E-2</v>
      </c>
      <c r="AI53">
        <f>AE53/AVERAGE(AE64:AE65)-1</f>
        <v>0.17837316096777323</v>
      </c>
      <c r="AJ53" s="6">
        <f>AF53/AVERAGE(AF64:AF65)-1</f>
        <v>-0.7107572596759002</v>
      </c>
      <c r="AK53" s="6">
        <f>AG53/AVERAGE(AG64:AG65)-1</f>
        <v>-0.23058050115314177</v>
      </c>
    </row>
    <row r="54" spans="1:37">
      <c r="A54" s="6" t="s">
        <v>365</v>
      </c>
      <c r="B54" s="6" t="s">
        <v>216</v>
      </c>
      <c r="C54">
        <v>387</v>
      </c>
      <c r="D54">
        <v>13.3</v>
      </c>
      <c r="E54">
        <v>5.8</v>
      </c>
      <c r="F54">
        <v>0.49</v>
      </c>
      <c r="G54" s="6">
        <v>3.36</v>
      </c>
      <c r="H54" s="6">
        <v>2.64</v>
      </c>
      <c r="I54" s="6">
        <v>0.26</v>
      </c>
      <c r="J54">
        <f t="shared" si="0"/>
        <v>3.5193605335425659</v>
      </c>
      <c r="K54" s="3">
        <f t="shared" si="17"/>
        <v>3.4976082015859307</v>
      </c>
      <c r="L54" s="3">
        <f t="shared" si="18"/>
        <v>0.81756408381557244</v>
      </c>
      <c r="M54" s="6">
        <f t="shared" si="3"/>
        <v>2.4013609760794905</v>
      </c>
      <c r="N54" s="6">
        <f t="shared" si="4"/>
        <v>1.0957485350318472</v>
      </c>
      <c r="O54" s="6">
        <f t="shared" si="5"/>
        <v>9.644152994002797E-2</v>
      </c>
      <c r="P54" s="6">
        <f t="shared" si="6"/>
        <v>49.478480037810428</v>
      </c>
      <c r="Q54" s="6">
        <f t="shared" si="7"/>
        <v>58.488701575862514</v>
      </c>
      <c r="R54" s="6">
        <v>45.05</v>
      </c>
      <c r="S54" s="6">
        <f t="shared" si="8"/>
        <v>4.5049999999999995E-3</v>
      </c>
      <c r="T54">
        <f>(J54/AVERAGE(J64:J65)-1)*100</f>
        <v>-5.6737588652482245</v>
      </c>
      <c r="U54">
        <f>(K54/AVERAGE(K64:K65)-1)*100</f>
        <v>19.711042311661497</v>
      </c>
      <c r="V54">
        <f>(L54/AVERAGE(L64:L65)-1)*100</f>
        <v>-14.782608695652154</v>
      </c>
      <c r="W54">
        <f t="shared" si="9"/>
        <v>-32.313184117477867</v>
      </c>
      <c r="X54">
        <f t="shared" si="10"/>
        <v>-0.10340218917592918</v>
      </c>
      <c r="Y54">
        <f t="shared" si="11"/>
        <v>-1.4217801011690262E-3</v>
      </c>
      <c r="Z54">
        <f>AVERAGE(J64:J65)*(100-X54)/100</f>
        <v>3.7349093815223546</v>
      </c>
      <c r="AA54">
        <f>AVERAGE(L64:L65)*(100-Y54)/100</f>
        <v>0.95940006525090282</v>
      </c>
      <c r="AB54">
        <f t="shared" si="12"/>
        <v>3.8929634433009959</v>
      </c>
      <c r="AC54">
        <f>AB54/AVERAGE(AD64:AD65)-1</f>
        <v>-6.2144048332904989E-3</v>
      </c>
      <c r="AD54">
        <f t="shared" si="13"/>
        <v>4.3046907309304814</v>
      </c>
      <c r="AE54">
        <f t="shared" si="19"/>
        <v>4.2780844594622964</v>
      </c>
      <c r="AF54" s="6">
        <f t="shared" si="15"/>
        <v>2.9372143708568217</v>
      </c>
      <c r="AG54" s="6">
        <f t="shared" si="16"/>
        <v>5.5102714138017903E-3</v>
      </c>
      <c r="AH54" s="3">
        <f>AD54/AVERAGE(AD64:AD65)-1</f>
        <v>9.8890267620631578E-2</v>
      </c>
      <c r="AI54">
        <f>AE54/AVERAGE(AE64:AE65)-1</f>
        <v>0.39989959164576061</v>
      </c>
      <c r="AJ54" s="6">
        <f>AF54/AVERAGE(AF64:AF65)-1</f>
        <v>-0.60332424184123468</v>
      </c>
      <c r="AK54" s="6">
        <f>AG54/AVERAGE(AG64:AG65)-1</f>
        <v>2.6833402420434416E-2</v>
      </c>
    </row>
    <row r="55" spans="1:37">
      <c r="A55" s="6" t="s">
        <v>366</v>
      </c>
      <c r="B55" s="6" t="s">
        <v>216</v>
      </c>
      <c r="C55">
        <v>396</v>
      </c>
      <c r="D55">
        <v>14.1</v>
      </c>
      <c r="E55">
        <v>5.41</v>
      </c>
      <c r="F55">
        <v>0.56000000000000005</v>
      </c>
      <c r="G55" s="6">
        <v>3.43</v>
      </c>
      <c r="H55" s="6">
        <v>3.99</v>
      </c>
      <c r="I55" s="6">
        <v>0.7</v>
      </c>
      <c r="J55" s="3">
        <f t="shared" si="0"/>
        <v>3.7310513927030211</v>
      </c>
      <c r="K55" s="3">
        <f t="shared" si="17"/>
        <v>3.2624242018241181</v>
      </c>
      <c r="L55" s="3">
        <f t="shared" si="18"/>
        <v>0.93435895293208271</v>
      </c>
      <c r="M55" s="6">
        <f t="shared" si="3"/>
        <v>2.4513893297478133</v>
      </c>
      <c r="N55" s="6">
        <f t="shared" si="4"/>
        <v>1.6560744904458597</v>
      </c>
      <c r="O55" s="6">
        <f t="shared" si="5"/>
        <v>0.25965027291545989</v>
      </c>
      <c r="P55" s="6">
        <f t="shared" si="6"/>
        <v>46.072797589031225</v>
      </c>
      <c r="Q55" s="6">
        <f t="shared" si="7"/>
        <v>57.91677570817788</v>
      </c>
      <c r="R55" s="6">
        <v>44.52</v>
      </c>
      <c r="S55" s="6">
        <f t="shared" si="8"/>
        <v>4.4520000000000002E-3</v>
      </c>
      <c r="T55">
        <f>(J55/AVERAGE(J64:J65)-1)*100</f>
        <v>0</v>
      </c>
      <c r="U55">
        <f>(K55/AVERAGE(K64:K65)-1)*100</f>
        <v>11.661506707946323</v>
      </c>
      <c r="V55">
        <f>(L55/AVERAGE(L64:L65)-1)*100</f>
        <v>-2.608695652173898</v>
      </c>
      <c r="W55">
        <f t="shared" si="9"/>
        <v>-19.117224111387415</v>
      </c>
      <c r="X55">
        <f t="shared" si="10"/>
        <v>-6.117511715643973E-2</v>
      </c>
      <c r="Y55">
        <f t="shared" si="11"/>
        <v>-8.4115786090104624E-4</v>
      </c>
      <c r="Z55">
        <f>AVERAGE(J64:J65)*(100-X55)/100</f>
        <v>3.7333338677636743</v>
      </c>
      <c r="AA55">
        <f>AVERAGE(L64:L65)*(100-Y55)/100</f>
        <v>0.95939449483994987</v>
      </c>
      <c r="AB55">
        <f t="shared" si="12"/>
        <v>3.8913438505674187</v>
      </c>
      <c r="AC55">
        <f>AB55/AVERAGE(AD64:AD65)-1</f>
        <v>-6.6278502591485822E-3</v>
      </c>
      <c r="AD55">
        <f t="shared" si="13"/>
        <v>3.9931670596131443</v>
      </c>
      <c r="AE55">
        <f t="shared" si="19"/>
        <v>3.4916176396516634</v>
      </c>
      <c r="AF55" s="6">
        <f t="shared" si="15"/>
        <v>2.623605544801797</v>
      </c>
      <c r="AG55" s="6">
        <f t="shared" si="16"/>
        <v>4.7647641048756666E-3</v>
      </c>
      <c r="AH55" s="3">
        <f>AD55/AVERAGE(AD64:AD65)-1</f>
        <v>1.9365314042822712E-2</v>
      </c>
      <c r="AI55" s="3">
        <f>AE55/AVERAGE(AE64:AE65)-1</f>
        <v>0.14254736068157237</v>
      </c>
      <c r="AJ55" s="3">
        <f>AF55/AVERAGE(AF64:AF65)-1</f>
        <v>-0.64567764310297782</v>
      </c>
      <c r="AK55" s="3">
        <f>AG55/AVERAGE(AG64:AG65)-1</f>
        <v>-0.11209111673056538</v>
      </c>
    </row>
    <row r="56" spans="1:37">
      <c r="A56" s="6" t="s">
        <v>367</v>
      </c>
      <c r="B56" s="6" t="s">
        <v>216</v>
      </c>
      <c r="C56">
        <v>403</v>
      </c>
      <c r="D56">
        <v>14.6</v>
      </c>
      <c r="E56">
        <v>5.71</v>
      </c>
      <c r="F56">
        <v>0.68</v>
      </c>
      <c r="G56" s="6">
        <v>3.16</v>
      </c>
      <c r="H56" s="6">
        <v>3.66</v>
      </c>
      <c r="I56" s="6">
        <v>1.18</v>
      </c>
      <c r="J56" s="3">
        <f t="shared" si="0"/>
        <v>3.8633581796783054</v>
      </c>
      <c r="K56" s="3">
        <f t="shared" si="17"/>
        <v>3.4433349708716667</v>
      </c>
      <c r="L56" s="3">
        <f t="shared" si="18"/>
        <v>1.1345787285603861</v>
      </c>
      <c r="M56" s="6">
        <f t="shared" si="3"/>
        <v>2.2584228227414256</v>
      </c>
      <c r="N56" s="6">
        <f t="shared" si="4"/>
        <v>1.5191059235668791</v>
      </c>
      <c r="O56" s="6">
        <f t="shared" si="5"/>
        <v>0.43769617434320385</v>
      </c>
      <c r="P56" s="6">
        <f t="shared" si="6"/>
        <v>47.822224908729119</v>
      </c>
      <c r="Q56" s="6">
        <f t="shared" si="7"/>
        <v>58.897349218079775</v>
      </c>
      <c r="R56" s="6">
        <v>41.85</v>
      </c>
      <c r="S56" s="6">
        <f t="shared" si="8"/>
        <v>4.1850000000000004E-3</v>
      </c>
      <c r="T56">
        <f>(J56/AVERAGE(J64:J65)-1)*100</f>
        <v>3.5460992907801359</v>
      </c>
      <c r="U56">
        <f>(K56/AVERAGE(K64:K65)-1)*100</f>
        <v>17.853457172342637</v>
      </c>
      <c r="V56">
        <f>(L56/AVERAGE(L64:L65)-1)*100</f>
        <v>18.260869565217398</v>
      </c>
      <c r="W56">
        <f t="shared" si="9"/>
        <v>-29.267962577610881</v>
      </c>
      <c r="X56">
        <f t="shared" si="10"/>
        <v>-9.3657480248354824E-2</v>
      </c>
      <c r="Y56">
        <f t="shared" si="11"/>
        <v>-1.2877903534148788E-3</v>
      </c>
      <c r="Z56">
        <f>AVERAGE(J64:J65)*(100-X56)/100</f>
        <v>3.7345458014241979</v>
      </c>
      <c r="AA56">
        <f>AVERAGE(L64:L65)*(100-Y56)/100</f>
        <v>0.95939877977145216</v>
      </c>
      <c r="AB56">
        <f t="shared" si="12"/>
        <v>3.892589692800986</v>
      </c>
      <c r="AC56">
        <f>AB56/AVERAGE(AD64:AD65)-1</f>
        <v>-6.3098148900520012E-3</v>
      </c>
      <c r="AD56">
        <f t="shared" si="13"/>
        <v>3.4051036586772079</v>
      </c>
      <c r="AE56">
        <f t="shared" si="19"/>
        <v>3.0349017518076984</v>
      </c>
      <c r="AF56" s="6">
        <f t="shared" si="15"/>
        <v>1.9905386606419395</v>
      </c>
      <c r="AG56" s="6">
        <f t="shared" si="16"/>
        <v>3.688593743785547E-3</v>
      </c>
      <c r="AH56">
        <f>AD56/AVERAGE(AD64:AD65)-1</f>
        <v>-0.13075398335272015</v>
      </c>
      <c r="AI56" s="3">
        <f>AE56/AVERAGE(AE64:AE65)-1</f>
        <v>-6.901859161847268E-3</v>
      </c>
      <c r="AJ56" s="3">
        <f>AF56/AVERAGE(AF64:AF65)-1</f>
        <v>-0.73117439428701314</v>
      </c>
      <c r="AK56" s="3">
        <f>AG56/AVERAGE(AG64:AG65)-1</f>
        <v>-0.31263435507166404</v>
      </c>
    </row>
    <row r="57" spans="1:37">
      <c r="A57" s="6" t="s">
        <v>368</v>
      </c>
      <c r="B57" s="6" t="s">
        <v>216</v>
      </c>
      <c r="C57">
        <v>418</v>
      </c>
      <c r="D57">
        <v>14.3</v>
      </c>
      <c r="E57">
        <v>6.39</v>
      </c>
      <c r="F57">
        <v>0.59</v>
      </c>
      <c r="G57" s="6">
        <v>1.71</v>
      </c>
      <c r="H57" s="6">
        <v>1.53</v>
      </c>
      <c r="I57" s="6">
        <v>0.28999999999999998</v>
      </c>
      <c r="J57" s="3">
        <f t="shared" si="0"/>
        <v>3.783974107493135</v>
      </c>
      <c r="K57" s="3">
        <f t="shared" si="17"/>
        <v>3.8533993807127751</v>
      </c>
      <c r="L57" s="3">
        <f t="shared" si="18"/>
        <v>0.98441389683915848</v>
      </c>
      <c r="M57" s="6">
        <f t="shared" si="3"/>
        <v>1.2221212110404549</v>
      </c>
      <c r="N57" s="6">
        <f t="shared" si="4"/>
        <v>0.63503608280254775</v>
      </c>
      <c r="O57" s="6">
        <f t="shared" si="5"/>
        <v>0.10756939877926196</v>
      </c>
      <c r="P57" s="6">
        <f t="shared" si="6"/>
        <v>65.823117936789743</v>
      </c>
      <c r="Q57" s="6">
        <f t="shared" si="7"/>
        <v>73.99730558560266</v>
      </c>
      <c r="R57" s="6">
        <v>33.67</v>
      </c>
      <c r="S57" s="6">
        <f t="shared" si="8"/>
        <v>3.3670000000000002E-3</v>
      </c>
      <c r="T57">
        <f>(J55/AVERAGE(J64:J65)-1)*100</f>
        <v>0</v>
      </c>
      <c r="U57">
        <f>(K55/AVERAGE(K64:K65)-1)*100</f>
        <v>11.661506707946323</v>
      </c>
      <c r="V57">
        <f>(L55/AVERAGE(L64:L65)-1)*100</f>
        <v>-2.608695652173898</v>
      </c>
      <c r="W57">
        <f t="shared" si="9"/>
        <v>-19.117224111387415</v>
      </c>
      <c r="X57">
        <f t="shared" si="10"/>
        <v>-6.117511715643973E-2</v>
      </c>
      <c r="Y57">
        <f t="shared" si="11"/>
        <v>-8.4115786090104624E-4</v>
      </c>
      <c r="Z57">
        <f>AVERAGE(J64:J65)*(100-X57)/100</f>
        <v>3.7333338677636743</v>
      </c>
      <c r="AA57">
        <f>AVERAGE(L64:L65)*(100-Y57)/100</f>
        <v>0.95939449483994987</v>
      </c>
      <c r="AB57">
        <f t="shared" si="12"/>
        <v>3.8913438505674187</v>
      </c>
      <c r="AC57">
        <f>AB57/AVERAGE(AD64:AD65)-1</f>
        <v>-6.6278502591485822E-3</v>
      </c>
      <c r="AD57">
        <f t="shared" si="13"/>
        <v>3.8438853003224023</v>
      </c>
      <c r="AE57">
        <f t="shared" si="19"/>
        <v>3.9144097752841605</v>
      </c>
      <c r="AF57" s="6">
        <f t="shared" si="15"/>
        <v>1.2414709046312205</v>
      </c>
      <c r="AG57" s="6">
        <f t="shared" si="16"/>
        <v>3.4203092934903252E-3</v>
      </c>
      <c r="AH57">
        <f>AD57/AVERAGE(AD64:AD65)-1</f>
        <v>-1.8742945683985379E-2</v>
      </c>
      <c r="AI57">
        <f>AE57/AVERAGE(AE64:AE65)-1</f>
        <v>0.28089585371187642</v>
      </c>
      <c r="AJ57" s="6">
        <f>AF57/AVERAGE(AF64:AF65)-1</f>
        <v>-0.83233725899857269</v>
      </c>
      <c r="AK57" s="6">
        <f>AG57/AVERAGE(AG64:AG65)-1</f>
        <v>-0.36262888605304622</v>
      </c>
    </row>
    <row r="58" spans="1:37">
      <c r="A58" s="6" t="s">
        <v>369</v>
      </c>
      <c r="B58" s="6" t="s">
        <v>216</v>
      </c>
      <c r="C58">
        <v>435</v>
      </c>
      <c r="D58">
        <v>13.5</v>
      </c>
      <c r="E58">
        <v>7.65</v>
      </c>
      <c r="F58">
        <v>0.68</v>
      </c>
      <c r="G58" s="6">
        <v>2.69</v>
      </c>
      <c r="H58" s="6">
        <v>0.54</v>
      </c>
      <c r="I58" s="6">
        <v>0.13</v>
      </c>
      <c r="J58">
        <f t="shared" si="0"/>
        <v>3.5722832483326799</v>
      </c>
      <c r="K58" s="3">
        <f t="shared" si="17"/>
        <v>4.6132246107124786</v>
      </c>
      <c r="L58" s="3">
        <f t="shared" si="18"/>
        <v>1.1345787285603861</v>
      </c>
      <c r="M58" s="6">
        <f t="shared" si="3"/>
        <v>1.9225181623969729</v>
      </c>
      <c r="N58" s="6">
        <f t="shared" si="4"/>
        <v>0.2241303821656051</v>
      </c>
      <c r="O58" s="6">
        <f t="shared" si="5"/>
        <v>4.8220764970013985E-2</v>
      </c>
      <c r="P58" s="6">
        <f t="shared" si="6"/>
        <v>61.941889216382549</v>
      </c>
      <c r="Q58" s="6">
        <f t="shared" si="7"/>
        <v>64.44649029176523</v>
      </c>
      <c r="R58" s="6">
        <v>33.86</v>
      </c>
      <c r="S58" s="6">
        <f t="shared" si="8"/>
        <v>3.3860000000000001E-3</v>
      </c>
      <c r="T58">
        <f>(J58/AVERAGE(J64:J65)-1)*100</f>
        <v>-4.2553191489361648</v>
      </c>
      <c r="U58">
        <f>(K58/AVERAGE(K64:K65)-1)*100</f>
        <v>57.894736842105289</v>
      </c>
      <c r="V58">
        <f>(L58/AVERAGE(L64:L65)-1)*100</f>
        <v>18.260869565217398</v>
      </c>
      <c r="W58">
        <f t="shared" si="9"/>
        <v>-94.909404659188993</v>
      </c>
      <c r="X58">
        <f t="shared" si="10"/>
        <v>-0.30371009490940482</v>
      </c>
      <c r="Y58">
        <f t="shared" si="11"/>
        <v>-4.1760138050043159E-3</v>
      </c>
      <c r="Z58">
        <f>AVERAGE(J64:J65)*(100-X58)/100</f>
        <v>3.7423829724289179</v>
      </c>
      <c r="AA58">
        <f>AVERAGE(L64:L65)*(100-Y58)/100</f>
        <v>0.95942648899516714</v>
      </c>
      <c r="AB58">
        <f t="shared" si="12"/>
        <v>3.9006458705850564</v>
      </c>
      <c r="AC58">
        <f>AB58/AVERAGE(AD64:AD65)-1</f>
        <v>-4.2532547526358266E-3</v>
      </c>
      <c r="AD58">
        <f t="shared" si="13"/>
        <v>3.1485547528864593</v>
      </c>
      <c r="AE58">
        <f t="shared" si="19"/>
        <v>4.066024238411365</v>
      </c>
      <c r="AF58" s="6">
        <f t="shared" si="15"/>
        <v>1.6944775307363344</v>
      </c>
      <c r="AG58" s="6">
        <f t="shared" si="16"/>
        <v>2.9843676024988914E-3</v>
      </c>
      <c r="AH58">
        <f>AD58/AVERAGE(AD64:AD65)-1</f>
        <v>-0.19624512159326868</v>
      </c>
      <c r="AI58">
        <f>AE58/AVERAGE(AE64:AE65)-1</f>
        <v>0.33050801705987198</v>
      </c>
      <c r="AJ58" s="6">
        <f>AF58/AVERAGE(AF64:AF65)-1</f>
        <v>-0.77115794956710926</v>
      </c>
      <c r="AK58" s="6">
        <f>AG58/AVERAGE(AG64:AG65)-1</f>
        <v>-0.44386617115236671</v>
      </c>
    </row>
    <row r="59" spans="1:37">
      <c r="A59" s="6" t="s">
        <v>370</v>
      </c>
      <c r="B59" s="6" t="s">
        <v>216</v>
      </c>
      <c r="C59">
        <v>452</v>
      </c>
      <c r="D59">
        <v>11.9</v>
      </c>
      <c r="E59">
        <v>6.33</v>
      </c>
      <c r="F59">
        <v>0.53</v>
      </c>
      <c r="G59" s="6">
        <v>4.5199999999999996</v>
      </c>
      <c r="H59" s="6">
        <v>3.15</v>
      </c>
      <c r="I59" s="6">
        <v>0.28000000000000003</v>
      </c>
      <c r="J59" s="3">
        <f t="shared" si="0"/>
        <v>3.1489015300117695</v>
      </c>
      <c r="K59" s="3">
        <f t="shared" si="17"/>
        <v>3.8172172269032663</v>
      </c>
      <c r="L59" s="3">
        <f t="shared" si="18"/>
        <v>0.88430400902500683</v>
      </c>
      <c r="M59" s="6">
        <f t="shared" si="3"/>
        <v>3.2304022654402664</v>
      </c>
      <c r="N59" s="6">
        <f t="shared" si="4"/>
        <v>1.3074272292993629</v>
      </c>
      <c r="O59" s="6">
        <f t="shared" si="5"/>
        <v>0.10386010916618398</v>
      </c>
      <c r="P59" s="6">
        <f t="shared" si="6"/>
        <v>40.419288804703456</v>
      </c>
      <c r="Q59" s="6">
        <f t="shared" si="7"/>
        <v>48.570444559772426</v>
      </c>
      <c r="R59" s="6">
        <v>31.48</v>
      </c>
      <c r="S59" s="6">
        <f t="shared" si="8"/>
        <v>3.1480000000000002E-3</v>
      </c>
      <c r="T59">
        <f>(J59/AVERAGE(J64:J65)-1)*100</f>
        <v>-15.602836879432624</v>
      </c>
      <c r="U59">
        <f>(K59/AVERAGE(K64:K65)-1)*100</f>
        <v>30.65015479876163</v>
      </c>
      <c r="V59">
        <f>(L59/AVERAGE(L64:L65)-1)*100</f>
        <v>-7.8260869565217277</v>
      </c>
      <c r="W59">
        <f t="shared" si="9"/>
        <v>-50.246155407805951</v>
      </c>
      <c r="X59">
        <f t="shared" si="10"/>
        <v>-0.16078769730497905</v>
      </c>
      <c r="Y59">
        <f t="shared" si="11"/>
        <v>-2.2108308379434616E-3</v>
      </c>
      <c r="Z59">
        <f>AVERAGE(J64:J65)*(100-X59)/100</f>
        <v>3.7370504643226137</v>
      </c>
      <c r="AA59">
        <f>AVERAGE(L64:L65)*(100-Y59)/100</f>
        <v>0.95940763529655693</v>
      </c>
      <c r="AB59">
        <f t="shared" si="12"/>
        <v>3.8951643981522781</v>
      </c>
      <c r="AC59">
        <f>AB59/AVERAGE(AD64:AD65)-1</f>
        <v>-5.6525507962121857E-3</v>
      </c>
      <c r="AD59">
        <f t="shared" si="13"/>
        <v>3.5608812103923451</v>
      </c>
      <c r="AE59">
        <f t="shared" si="19"/>
        <v>4.3166345373826314</v>
      </c>
      <c r="AF59" s="6">
        <f t="shared" si="15"/>
        <v>3.6530449172134367</v>
      </c>
      <c r="AG59" s="6">
        <f t="shared" si="16"/>
        <v>3.5598617306630115E-3</v>
      </c>
      <c r="AH59">
        <f>AD59/AVERAGE(AD64:AD65)-1</f>
        <v>-9.0987494609745645E-2</v>
      </c>
      <c r="AI59" s="3">
        <f>AE59/AVERAGE(AE64:AE65)-1</f>
        <v>0.41251417157048031</v>
      </c>
      <c r="AJ59" s="3">
        <f>AF59/AVERAGE(AF64:AF65)-1</f>
        <v>-0.50665011839059226</v>
      </c>
      <c r="AK59" s="3">
        <f>AG59/AVERAGE(AG64:AG65)-1</f>
        <v>-0.33662343312396337</v>
      </c>
    </row>
    <row r="60" spans="1:37">
      <c r="A60" s="6" t="s">
        <v>371</v>
      </c>
      <c r="B60" s="6" t="s">
        <v>216</v>
      </c>
      <c r="C60">
        <v>473</v>
      </c>
      <c r="D60">
        <v>13.7</v>
      </c>
      <c r="E60">
        <v>7.05</v>
      </c>
      <c r="F60">
        <v>0.57999999999999996</v>
      </c>
      <c r="G60" s="6">
        <v>2.1</v>
      </c>
      <c r="H60" s="6">
        <v>1.1100000000000001</v>
      </c>
      <c r="I60" s="6">
        <v>0.3</v>
      </c>
      <c r="J60" s="3">
        <f t="shared" si="0"/>
        <v>3.6252059631227933</v>
      </c>
      <c r="K60" s="3">
        <f t="shared" si="17"/>
        <v>4.2514030726173813</v>
      </c>
      <c r="L60" s="3">
        <f t="shared" si="18"/>
        <v>0.96772891553679996</v>
      </c>
      <c r="M60" s="6">
        <f t="shared" si="3"/>
        <v>1.5008506100496817</v>
      </c>
      <c r="N60" s="6">
        <f t="shared" si="4"/>
        <v>0.46071245222929941</v>
      </c>
      <c r="O60" s="6">
        <f t="shared" si="5"/>
        <v>0.11127868839233997</v>
      </c>
      <c r="P60" s="6">
        <f t="shared" si="6"/>
        <v>63.621895519525332</v>
      </c>
      <c r="Q60" s="6">
        <f t="shared" si="7"/>
        <v>69.218520145675228</v>
      </c>
      <c r="R60" s="6">
        <v>39.75</v>
      </c>
      <c r="S60" s="6">
        <f t="shared" si="8"/>
        <v>3.9750000000000002E-3</v>
      </c>
      <c r="T60">
        <f>(J60/AVERAGE(J64:J65)-1)*100</f>
        <v>-2.8368794326241176</v>
      </c>
      <c r="U60">
        <f>(K60/AVERAGE(K64:K65)-1)*100</f>
        <v>45.51083591331269</v>
      </c>
      <c r="V60">
        <f>(L60/AVERAGE(L64:L65)-1)*100</f>
        <v>0.86956521739132153</v>
      </c>
      <c r="W60">
        <f t="shared" si="9"/>
        <v>-74.607927726742119</v>
      </c>
      <c r="X60">
        <f t="shared" si="10"/>
        <v>-0.23874536872557478</v>
      </c>
      <c r="Y60">
        <f t="shared" si="11"/>
        <v>-3.2827488199766532E-3</v>
      </c>
      <c r="Z60">
        <f>AVERAGE(J64:J65)*(100-X60)/100</f>
        <v>3.7399591051078702</v>
      </c>
      <c r="AA60">
        <f>AVERAGE(L64:L65)*(100-Y60)/100</f>
        <v>0.95941791913216234</v>
      </c>
      <c r="AB60">
        <f t="shared" si="12"/>
        <v>3.8981543189133214</v>
      </c>
      <c r="AC60">
        <f>AB60/AVERAGE(AD64:AD65)-1</f>
        <v>-4.8892915911642465E-3</v>
      </c>
      <c r="AD60" s="3">
        <f t="shared" si="13"/>
        <v>3.7460965616718074</v>
      </c>
      <c r="AE60" s="3">
        <f t="shared" si="19"/>
        <v>4.3931756139157265</v>
      </c>
      <c r="AF60" s="6">
        <f t="shared" si="15"/>
        <v>1.5508998294394858</v>
      </c>
      <c r="AG60" s="6">
        <f t="shared" si="16"/>
        <v>4.1075552628238509E-3</v>
      </c>
      <c r="AH60">
        <f>AD60/AVERAGE(AD64:AD65)-1</f>
        <v>-4.3706200863715461E-2</v>
      </c>
      <c r="AI60" s="3">
        <f>AE60/AVERAGE(AE64:AE65)-1</f>
        <v>0.43756038624859683</v>
      </c>
      <c r="AJ60" s="3">
        <f>AF60/AVERAGE(AF64:AF65)-1</f>
        <v>-0.79054836045496224</v>
      </c>
      <c r="AK60" s="3">
        <f>AG60/AVERAGE(AG64:AG65)-1</f>
        <v>-0.23456130752634941</v>
      </c>
    </row>
    <row r="61" spans="1:37">
      <c r="A61" s="6" t="s">
        <v>372</v>
      </c>
      <c r="B61" s="6" t="s">
        <v>216</v>
      </c>
      <c r="C61">
        <v>477</v>
      </c>
      <c r="D61">
        <v>12.5</v>
      </c>
      <c r="E61">
        <v>7.42</v>
      </c>
      <c r="F61">
        <v>0.47</v>
      </c>
      <c r="G61" s="6">
        <v>2.4900000000000002</v>
      </c>
      <c r="H61" s="6">
        <v>0.46</v>
      </c>
      <c r="I61" s="6">
        <v>0.05</v>
      </c>
      <c r="J61" s="3">
        <f t="shared" si="0"/>
        <v>3.3076696743821108</v>
      </c>
      <c r="K61" s="3">
        <f t="shared" si="17"/>
        <v>4.4745263544426912</v>
      </c>
      <c r="L61" s="3">
        <f t="shared" si="18"/>
        <v>0.78419412121085508</v>
      </c>
      <c r="M61" s="6">
        <f t="shared" si="3"/>
        <v>1.7795800090589082</v>
      </c>
      <c r="N61" s="6">
        <f t="shared" si="4"/>
        <v>0.190925881104034</v>
      </c>
      <c r="O61" s="6">
        <f t="shared" si="5"/>
        <v>1.8546448065389996E-2</v>
      </c>
      <c r="P61" s="6">
        <f t="shared" si="6"/>
        <v>62.447484812440713</v>
      </c>
      <c r="Q61" s="6">
        <f t="shared" si="7"/>
        <v>64.78264288641347</v>
      </c>
      <c r="R61" s="6">
        <v>29.48</v>
      </c>
      <c r="S61" s="6">
        <f t="shared" si="8"/>
        <v>2.9480000000000001E-3</v>
      </c>
      <c r="T61">
        <f>(J61/AVERAGE(J64:J65)-1)*100</f>
        <v>-11.34751773049646</v>
      </c>
      <c r="U61">
        <f>(K61/AVERAGE(K64:K65)-1)*100</f>
        <v>53.14757481940147</v>
      </c>
      <c r="V61">
        <f>(L61/AVERAGE(L64:L65)-1)*100</f>
        <v>-18.260869565217387</v>
      </c>
      <c r="W61">
        <f t="shared" si="9"/>
        <v>-87.127171835084383</v>
      </c>
      <c r="X61">
        <f t="shared" si="10"/>
        <v>-0.27880694987227006</v>
      </c>
      <c r="Y61">
        <f t="shared" si="11"/>
        <v>-3.8335955607437127E-3</v>
      </c>
      <c r="Z61">
        <f>AVERAGE(J64:J65)*(100-X61)/100</f>
        <v>3.7414538232891834</v>
      </c>
      <c r="AA61">
        <f>AVERAGE(L64:L65)*(100-Y61)/100</f>
        <v>0.95942320388101532</v>
      </c>
      <c r="AB61">
        <f t="shared" si="12"/>
        <v>3.8996907810384656</v>
      </c>
      <c r="AC61">
        <f>AB61/AVERAGE(AD64:AD65)-1</f>
        <v>-4.4970675310809227E-3</v>
      </c>
      <c r="AD61" s="3">
        <f t="shared" si="13"/>
        <v>4.2179220487840672</v>
      </c>
      <c r="AE61" s="3">
        <f t="shared" si="19"/>
        <v>5.7058912243994939</v>
      </c>
      <c r="AF61" s="6">
        <f t="shared" si="15"/>
        <v>2.2693105711008164</v>
      </c>
      <c r="AG61" s="6">
        <f t="shared" si="16"/>
        <v>3.7592732720924571E-3</v>
      </c>
      <c r="AH61">
        <f>AD61/AVERAGE(AD64:AD65)-1</f>
        <v>7.6740183838804876E-2</v>
      </c>
      <c r="AI61">
        <f>AE61/AVERAGE(AE64:AE65)-1</f>
        <v>0.86711479651711554</v>
      </c>
      <c r="AJ61" s="6">
        <f>AF61/AVERAGE(AF64:AF65)-1</f>
        <v>-0.69352577727361342</v>
      </c>
      <c r="AK61" s="6">
        <f>AG61/AVERAGE(AG64:AG65)-1</f>
        <v>-0.2994632977710977</v>
      </c>
    </row>
    <row r="62" spans="1:37">
      <c r="A62" s="6" t="s">
        <v>373</v>
      </c>
      <c r="B62" s="6" t="s">
        <v>375</v>
      </c>
      <c r="C62">
        <v>500</v>
      </c>
      <c r="D62">
        <v>14.1</v>
      </c>
      <c r="E62">
        <v>6.6</v>
      </c>
      <c r="F62">
        <v>0.56999999999999995</v>
      </c>
      <c r="G62" s="6">
        <v>3.32</v>
      </c>
      <c r="H62" s="6">
        <v>2.23</v>
      </c>
      <c r="I62" s="6">
        <v>0.99</v>
      </c>
      <c r="J62">
        <f t="shared" si="0"/>
        <v>3.7310513927030211</v>
      </c>
      <c r="K62" s="3">
        <f t="shared" si="17"/>
        <v>3.9800369190460589</v>
      </c>
      <c r="L62" s="3">
        <f t="shared" si="18"/>
        <v>0.95104393423444122</v>
      </c>
      <c r="M62" s="6">
        <f t="shared" si="3"/>
        <v>2.3727733454118773</v>
      </c>
      <c r="N62" s="6">
        <f t="shared" si="4"/>
        <v>0.92557546709129512</v>
      </c>
      <c r="O62" s="6">
        <f t="shared" si="5"/>
        <v>0.36721967169472186</v>
      </c>
      <c r="P62" s="6">
        <f t="shared" si="6"/>
        <v>50.442654277189682</v>
      </c>
      <c r="Q62" s="6">
        <f t="shared" si="7"/>
        <v>57.657638495681255</v>
      </c>
      <c r="R62" s="6">
        <v>41.41</v>
      </c>
      <c r="S62" s="6">
        <f t="shared" si="8"/>
        <v>4.1409999999999997E-3</v>
      </c>
      <c r="T62">
        <f>(J62/AVERAGE(J64:J65)-1)*100</f>
        <v>0</v>
      </c>
      <c r="U62">
        <f>(K62/AVERAGE(K64:K65)-1)*100</f>
        <v>36.222910216718262</v>
      </c>
      <c r="V62">
        <f>(L62/AVERAGE(L64:L65)-1)*100</f>
        <v>-0.86956521739129933</v>
      </c>
      <c r="W62">
        <f t="shared" si="9"/>
        <v>-59.381820027406988</v>
      </c>
      <c r="X62">
        <f t="shared" si="10"/>
        <v>-0.19002182408770238</v>
      </c>
      <c r="Y62">
        <f t="shared" si="11"/>
        <v>-2.6128000812059072E-3</v>
      </c>
      <c r="Z62">
        <f>AVERAGE(J64:J65)*(100-X62)/100</f>
        <v>3.7381412046170852</v>
      </c>
      <c r="AA62">
        <f>AVERAGE(L64:L65)*(100-Y62)/100</f>
        <v>0.95941149173490903</v>
      </c>
      <c r="AB62">
        <f t="shared" si="12"/>
        <v>3.8962856259490746</v>
      </c>
      <c r="AC62">
        <f>AB62/AVERAGE(AD64:AD65)-1</f>
        <v>-5.3663266768272377E-3</v>
      </c>
      <c r="AD62" s="3">
        <f t="shared" si="13"/>
        <v>3.9231114971637915</v>
      </c>
      <c r="AE62" s="3">
        <f t="shared" si="19"/>
        <v>4.1849138360257312</v>
      </c>
      <c r="AF62" s="6">
        <f t="shared" si="15"/>
        <v>2.4949145460055755</v>
      </c>
      <c r="AG62" s="6">
        <f t="shared" si="16"/>
        <v>4.354162674233727E-3</v>
      </c>
      <c r="AH62">
        <f>AD62/AVERAGE(AD64:AD65)-1</f>
        <v>1.4817120420715924E-3</v>
      </c>
      <c r="AI62">
        <f>AE62/AVERAGE(AE64:AE65)-1</f>
        <v>0.36941176024875677</v>
      </c>
      <c r="AJ62" s="6">
        <f>AF62/AVERAGE(AF64:AF65)-1</f>
        <v>-0.66305757969262769</v>
      </c>
      <c r="AK62" s="6">
        <f>AG62/AVERAGE(AG64:AG65)-1</f>
        <v>-0.18860627041405087</v>
      </c>
    </row>
    <row r="63" spans="1:37">
      <c r="A63" s="6" t="s">
        <v>374</v>
      </c>
      <c r="B63" s="6" t="s">
        <v>375</v>
      </c>
      <c r="C63">
        <v>515</v>
      </c>
      <c r="D63">
        <v>15.1</v>
      </c>
      <c r="E63">
        <v>5.55</v>
      </c>
      <c r="F63">
        <v>0.63</v>
      </c>
      <c r="G63" s="6">
        <v>1.71</v>
      </c>
      <c r="H63" s="6">
        <v>2.77</v>
      </c>
      <c r="I63" s="6">
        <v>0.22</v>
      </c>
      <c r="J63" s="3">
        <f t="shared" si="0"/>
        <v>3.9956649666535902</v>
      </c>
      <c r="K63" s="3">
        <f t="shared" si="17"/>
        <v>3.3468492273796411</v>
      </c>
      <c r="L63" s="3">
        <f t="shared" si="18"/>
        <v>1.051153822048593</v>
      </c>
      <c r="M63" s="6">
        <f t="shared" si="3"/>
        <v>1.2221212110404549</v>
      </c>
      <c r="N63" s="6">
        <f t="shared" si="4"/>
        <v>1.1497058492569003</v>
      </c>
      <c r="O63" s="6">
        <f t="shared" si="5"/>
        <v>8.1604371487715974E-2</v>
      </c>
      <c r="P63" s="6">
        <f t="shared" si="6"/>
        <v>61.956973811415637</v>
      </c>
      <c r="Q63" s="6">
        <f t="shared" si="7"/>
        <v>75.39857516767718</v>
      </c>
      <c r="R63" s="6">
        <v>54.62</v>
      </c>
      <c r="S63" s="6">
        <f t="shared" si="8"/>
        <v>5.4619999999999998E-3</v>
      </c>
      <c r="T63">
        <f>(J63/AVERAGE(J64:J65)-1)*100</f>
        <v>7.0921985815602939</v>
      </c>
      <c r="U63">
        <f>(K63/AVERAGE(K64:K65)-1)*100</f>
        <v>14.551083591331281</v>
      </c>
      <c r="V63">
        <f>(L63/AVERAGE(L64:L65)-1)*100</f>
        <v>9.5652173913043583</v>
      </c>
      <c r="W63">
        <f t="shared" si="9"/>
        <v>-23.85423539562505</v>
      </c>
      <c r="X63">
        <f t="shared" si="10"/>
        <v>-7.6333553266000165E-2</v>
      </c>
      <c r="Y63">
        <f t="shared" si="11"/>
        <v>-1.0495863574075022E-3</v>
      </c>
      <c r="Z63">
        <f>AVERAGE(J64:J65)*(100-X63)/100</f>
        <v>3.7338994368052516</v>
      </c>
      <c r="AA63">
        <f>AVERAGE(L64:L65)*(100-Y63)/100</f>
        <v>0.95939649447465103</v>
      </c>
      <c r="AB63">
        <f t="shared" si="12"/>
        <v>3.8919252449946367</v>
      </c>
      <c r="AC63" s="3">
        <f>AB63/AVERAGE(AD64:AD65)-1</f>
        <v>-6.47943340003998E-3</v>
      </c>
      <c r="AD63">
        <f t="shared" si="13"/>
        <v>3.8012181308216539</v>
      </c>
      <c r="AE63">
        <f t="shared" si="19"/>
        <v>3.1839766523009629</v>
      </c>
      <c r="AF63" s="6">
        <f t="shared" si="15"/>
        <v>1.1626473551308254</v>
      </c>
      <c r="AG63" s="6">
        <f t="shared" si="16"/>
        <v>5.1961947770452011E-3</v>
      </c>
      <c r="AH63">
        <f>AD63/AVERAGE(AD64:AD65)-1</f>
        <v>-2.9634909878857418E-2</v>
      </c>
      <c r="AI63" s="3">
        <f>AE63/AVERAGE(AE64:AE65)-1</f>
        <v>4.1879293782333571E-2</v>
      </c>
      <c r="AJ63" s="3">
        <f>AF63/AVERAGE(AF64:AF65)-1</f>
        <v>-0.84298251239548871</v>
      </c>
      <c r="AK63" s="3">
        <f>AG63/AVERAGE(AG64:AG65)-1</f>
        <v>-3.1694455342387573E-2</v>
      </c>
    </row>
    <row r="64" spans="1:37" s="2" customFormat="1">
      <c r="A64" s="2" t="s">
        <v>314</v>
      </c>
      <c r="B64" s="2" t="s">
        <v>42</v>
      </c>
      <c r="C64" s="2" t="s">
        <v>19</v>
      </c>
      <c r="D64" s="2">
        <v>13.9</v>
      </c>
      <c r="E64" s="2">
        <v>5.01</v>
      </c>
      <c r="F64" s="2">
        <v>0.62</v>
      </c>
      <c r="G64" s="2">
        <v>8.93</v>
      </c>
      <c r="H64" s="2">
        <v>0.32</v>
      </c>
      <c r="I64" s="2">
        <v>2.58</v>
      </c>
      <c r="J64" s="2">
        <f t="shared" si="0"/>
        <v>3.6781286779129072</v>
      </c>
      <c r="K64" s="2">
        <f t="shared" si="17"/>
        <v>3.0212098430940539</v>
      </c>
      <c r="L64" s="2">
        <f t="shared" si="18"/>
        <v>1.0344688407462344</v>
      </c>
      <c r="M64" s="2">
        <f t="shared" si="3"/>
        <v>6.3821885465445982</v>
      </c>
      <c r="N64" s="2">
        <f t="shared" si="4"/>
        <v>0.13281800424628451</v>
      </c>
      <c r="O64" s="2">
        <f t="shared" si="5"/>
        <v>0.95699672017412374</v>
      </c>
      <c r="R64" s="2">
        <v>45.96</v>
      </c>
      <c r="S64" s="2">
        <f t="shared" si="8"/>
        <v>4.5960000000000003E-3</v>
      </c>
      <c r="AD64" s="2">
        <f t="shared" si="13"/>
        <v>3.5555722251233948</v>
      </c>
      <c r="AE64" s="2">
        <f t="shared" si="19"/>
        <v>2.9205421411384851</v>
      </c>
      <c r="AF64" s="2">
        <f t="shared" si="15"/>
        <v>6.1695319328716387</v>
      </c>
      <c r="AG64" s="2">
        <f t="shared" si="16"/>
        <v>4.4428597739924053E-3</v>
      </c>
    </row>
    <row r="65" spans="1:34" s="2" customFormat="1">
      <c r="A65" s="2" t="s">
        <v>313</v>
      </c>
      <c r="B65" s="2" t="s">
        <v>42</v>
      </c>
      <c r="C65" s="2" t="s">
        <v>19</v>
      </c>
      <c r="D65" s="2">
        <v>14.3</v>
      </c>
      <c r="E65" s="2">
        <v>4.68</v>
      </c>
      <c r="F65" s="2">
        <v>0.53</v>
      </c>
      <c r="G65" s="2">
        <v>10.69</v>
      </c>
      <c r="H65" s="2">
        <v>0.42</v>
      </c>
      <c r="I65" s="2">
        <v>3.13</v>
      </c>
      <c r="J65" s="2">
        <f t="shared" si="0"/>
        <v>3.783974107493135</v>
      </c>
      <c r="K65" s="2">
        <f t="shared" si="17"/>
        <v>2.8222079971417506</v>
      </c>
      <c r="L65" s="2">
        <f t="shared" si="18"/>
        <v>0.88430400902500683</v>
      </c>
      <c r="M65" s="2">
        <f t="shared" si="3"/>
        <v>7.6400442959195694</v>
      </c>
      <c r="N65" s="2">
        <f t="shared" si="4"/>
        <v>0.17432363057324837</v>
      </c>
      <c r="O65" s="2">
        <f t="shared" si="5"/>
        <v>1.1610076488934136</v>
      </c>
      <c r="R65" s="2">
        <v>55.62</v>
      </c>
      <c r="S65" s="2">
        <f t="shared" si="8"/>
        <v>5.5620000000000001E-3</v>
      </c>
      <c r="AD65" s="2">
        <f t="shared" si="13"/>
        <v>4.2790421267739944</v>
      </c>
      <c r="AE65" s="2">
        <f t="shared" si="19"/>
        <v>3.1914454399606171</v>
      </c>
      <c r="AF65" s="2">
        <f t="shared" si="15"/>
        <v>8.6396128683654076</v>
      </c>
      <c r="AG65" s="2">
        <f t="shared" si="16"/>
        <v>6.2896921683442408E-3</v>
      </c>
    </row>
    <row r="66" spans="1:34">
      <c r="AB66" s="39"/>
      <c r="AC66" s="6"/>
      <c r="AE66" s="39"/>
      <c r="AF66" s="39"/>
      <c r="AG66" s="39" t="s">
        <v>97</v>
      </c>
      <c r="AH66" s="6">
        <f>_xlfn.VAR.P(AH3:AH63)</f>
        <v>2.3386135245223687E-2</v>
      </c>
    </row>
    <row r="67" spans="1:34">
      <c r="AG67" s="39" t="s">
        <v>98</v>
      </c>
      <c r="AH67">
        <f>AVERAGE(AH3:AH63)</f>
        <v>-0.1348340212298593</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5"/>
  <sheetViews>
    <sheetView zoomScale="50" zoomScaleNormal="50" workbookViewId="0">
      <selection activeCell="T21" sqref="T21"/>
    </sheetView>
  </sheetViews>
  <sheetFormatPr defaultRowHeight="14.5"/>
  <cols>
    <col min="1" max="1" width="12.1796875" style="6" customWidth="1"/>
    <col min="2" max="2" width="8.7265625" style="6"/>
    <col min="3" max="3" width="7.26953125" style="6" customWidth="1"/>
    <col min="4" max="19" width="8.7265625" style="6"/>
    <col min="20" max="20" width="13.26953125" style="6" customWidth="1"/>
    <col min="21" max="22" width="12.54296875" style="6" customWidth="1"/>
    <col min="23" max="23" width="17.90625" style="6" customWidth="1"/>
    <col min="24" max="25" width="20" style="6" customWidth="1"/>
    <col min="26" max="27" width="11.90625" style="6" customWidth="1"/>
    <col min="28" max="28" width="13.81640625" style="6" customWidth="1"/>
    <col min="29" max="29" width="18.36328125" style="6" customWidth="1"/>
    <col min="30" max="34" width="8.7265625" style="6"/>
    <col min="35" max="35" width="11" style="6" customWidth="1"/>
    <col min="36" max="36" width="12.36328125" style="6" customWidth="1"/>
    <col min="37" max="37" width="15.26953125" style="6" customWidth="1"/>
    <col min="38" max="16384" width="8.7265625" style="6"/>
  </cols>
  <sheetData>
    <row r="1" spans="1:37">
      <c r="A1" s="81" t="s">
        <v>182</v>
      </c>
      <c r="B1" s="81"/>
      <c r="C1" s="81"/>
      <c r="D1" s="81"/>
      <c r="E1" s="81"/>
      <c r="F1" s="81"/>
      <c r="G1" s="81"/>
      <c r="H1" s="81"/>
      <c r="I1" s="81"/>
      <c r="J1" s="81"/>
      <c r="K1" s="81"/>
      <c r="L1" s="81"/>
      <c r="M1" s="81"/>
      <c r="N1" s="81"/>
      <c r="O1" s="81"/>
      <c r="P1" s="81"/>
      <c r="Q1" s="81"/>
      <c r="R1" s="81"/>
      <c r="S1" s="86"/>
      <c r="T1" s="81"/>
      <c r="U1" s="81"/>
      <c r="V1" s="81"/>
    </row>
    <row r="2" spans="1:37">
      <c r="A2" s="1" t="s">
        <v>196</v>
      </c>
      <c r="B2" s="1" t="s">
        <v>20</v>
      </c>
      <c r="C2" s="1" t="s">
        <v>1</v>
      </c>
      <c r="D2" s="1" t="s">
        <v>2</v>
      </c>
      <c r="E2" s="1" t="s">
        <v>3</v>
      </c>
      <c r="F2" s="1" t="s">
        <v>48</v>
      </c>
      <c r="G2" s="1" t="s">
        <v>49</v>
      </c>
      <c r="H2" s="1" t="s">
        <v>50</v>
      </c>
      <c r="I2" s="1" t="s">
        <v>4</v>
      </c>
      <c r="J2" s="1" t="s">
        <v>5</v>
      </c>
      <c r="K2" s="1" t="s">
        <v>6</v>
      </c>
      <c r="L2" s="1" t="s">
        <v>45</v>
      </c>
      <c r="M2" s="1" t="s">
        <v>46</v>
      </c>
      <c r="N2" s="1" t="s">
        <v>47</v>
      </c>
      <c r="O2" s="1" t="s">
        <v>51</v>
      </c>
      <c r="P2" s="1" t="s">
        <v>52</v>
      </c>
      <c r="Q2" s="1" t="s">
        <v>110</v>
      </c>
      <c r="R2" s="1" t="s">
        <v>120</v>
      </c>
      <c r="S2" s="1" t="s">
        <v>378</v>
      </c>
      <c r="T2" s="1" t="s">
        <v>7</v>
      </c>
      <c r="U2" s="1" t="s">
        <v>8</v>
      </c>
      <c r="V2" s="1" t="s">
        <v>9</v>
      </c>
      <c r="W2" s="1" t="s">
        <v>10</v>
      </c>
      <c r="X2" s="1" t="s">
        <v>11</v>
      </c>
      <c r="Y2" s="1" t="s">
        <v>12</v>
      </c>
      <c r="Z2" s="1" t="s">
        <v>13</v>
      </c>
      <c r="AA2" s="1" t="s">
        <v>14</v>
      </c>
      <c r="AB2" s="1" t="s">
        <v>15</v>
      </c>
      <c r="AC2" s="1" t="s">
        <v>460</v>
      </c>
      <c r="AD2" s="1" t="s">
        <v>16</v>
      </c>
      <c r="AE2" s="1" t="s">
        <v>17</v>
      </c>
      <c r="AF2" s="1" t="s">
        <v>107</v>
      </c>
      <c r="AG2" s="1" t="s">
        <v>134</v>
      </c>
      <c r="AH2" s="1" t="s">
        <v>459</v>
      </c>
      <c r="AI2" s="1" t="s">
        <v>461</v>
      </c>
      <c r="AJ2" s="1" t="s">
        <v>462</v>
      </c>
      <c r="AK2" s="1" t="s">
        <v>465</v>
      </c>
    </row>
    <row r="3" spans="1:37">
      <c r="A3" s="6" t="s">
        <v>216</v>
      </c>
      <c r="B3" s="6">
        <v>0.73</v>
      </c>
      <c r="C3" s="6">
        <v>14.7</v>
      </c>
      <c r="D3" s="6">
        <v>0</v>
      </c>
      <c r="E3" s="6">
        <v>0.25</v>
      </c>
      <c r="F3" s="6">
        <v>0.02</v>
      </c>
      <c r="G3" s="6">
        <v>4.6399999999999997</v>
      </c>
      <c r="H3" s="6">
        <v>0.27</v>
      </c>
      <c r="I3" s="6">
        <f t="shared" ref="I3:I13" si="0">C3*26.98/101.96</f>
        <v>3.8898195370733624</v>
      </c>
      <c r="J3" s="6">
        <f t="shared" ref="J3:J13" si="1">D3*24.305/40.3044</f>
        <v>0</v>
      </c>
      <c r="K3" s="6">
        <f t="shared" ref="K3:K13" si="2">E3*47.867/79.866</f>
        <v>0.14983534920992661</v>
      </c>
      <c r="L3" s="6">
        <f t="shared" ref="L3:L13" si="3">F3*40.078/56.0774</f>
        <v>1.4293815333806491E-2</v>
      </c>
      <c r="M3" s="6">
        <f t="shared" ref="M3:M13" si="4">G3*39.0983/94.2</f>
        <v>1.9258610615711251</v>
      </c>
      <c r="N3" s="6">
        <f t="shared" ref="N3:N13" si="5">H3*22.989769/61.9789</f>
        <v>0.10015081955310597</v>
      </c>
      <c r="O3" s="6">
        <f t="shared" ref="O3:O12" si="6">100*(I3/(I3+L3+M3+N3))</f>
        <v>65.594222447085954</v>
      </c>
      <c r="P3" s="6">
        <f t="shared" ref="P3:P12" si="7">100*(I3/(I3+L3+N3))</f>
        <v>97.141930952300626</v>
      </c>
      <c r="Q3" s="6">
        <v>218</v>
      </c>
      <c r="R3" s="6">
        <f>Q3/10000</f>
        <v>2.18E-2</v>
      </c>
      <c r="S3" s="6">
        <v>113</v>
      </c>
      <c r="T3" s="6">
        <f>(I3/I13-1)*100</f>
        <v>-2.9702970297029618</v>
      </c>
      <c r="U3" s="6">
        <f>(J3/J13-1)*100</f>
        <v>-100</v>
      </c>
      <c r="V3" s="6">
        <f>(K3/K13-1)*100</f>
        <v>0</v>
      </c>
      <c r="W3" s="6">
        <f t="shared" ref="W3:W12" si="8">U3/-0.13</f>
        <v>769.23076923076917</v>
      </c>
      <c r="X3" s="6">
        <f t="shared" ref="X3:X12" si="9">W3*0.0018</f>
        <v>1.3846153846153844</v>
      </c>
      <c r="Y3" s="6">
        <f t="shared" ref="Y3:Y12" si="10">W3*0.00015</f>
        <v>0.11538461538461536</v>
      </c>
      <c r="Z3" s="6">
        <f>I13*(100-X3)/100</f>
        <v>3.9533878594924103</v>
      </c>
      <c r="AA3" s="6">
        <f>K13*(100-Y3)/100</f>
        <v>0.14966246226853053</v>
      </c>
      <c r="AB3" s="6">
        <f t="shared" ref="AB3:AB12" si="11">Z3/AA3</f>
        <v>26.415360268489234</v>
      </c>
      <c r="AC3" s="6">
        <f>AB3/AD13-1</f>
        <v>-1.2706969580284833E-2</v>
      </c>
      <c r="AD3" s="6">
        <f t="shared" ref="AD3:AD13" si="12">I3/K3</f>
        <v>25.960626498247326</v>
      </c>
      <c r="AE3" s="6">
        <f t="shared" ref="AE3:AE13" si="13">J3/K3</f>
        <v>0</v>
      </c>
      <c r="AF3" s="6">
        <f>L3/K3</f>
        <v>9.5396816633571302E-2</v>
      </c>
      <c r="AG3" s="6">
        <f>R3/K3</f>
        <v>0.14549303695656718</v>
      </c>
      <c r="AH3" s="6">
        <f>AD3/AD13-1</f>
        <v>-2.9702970297029618E-2</v>
      </c>
      <c r="AI3" s="6">
        <f t="shared" ref="AI3:AK12" si="14">AE3/1.024036-1</f>
        <v>-1</v>
      </c>
      <c r="AJ3" s="6">
        <f t="shared" si="14"/>
        <v>-0.90684232133091869</v>
      </c>
      <c r="AK3" s="6">
        <f t="shared" si="14"/>
        <v>-0.85792195102851154</v>
      </c>
    </row>
    <row r="4" spans="1:37">
      <c r="A4" s="6" t="s">
        <v>216</v>
      </c>
      <c r="B4" s="6">
        <v>0.84</v>
      </c>
      <c r="C4" s="6">
        <v>15.75</v>
      </c>
      <c r="D4" s="6">
        <v>0.02</v>
      </c>
      <c r="E4" s="6">
        <v>0.24</v>
      </c>
      <c r="F4" s="6">
        <v>7.0000000000000007E-2</v>
      </c>
      <c r="G4" s="6">
        <v>4.09</v>
      </c>
      <c r="H4" s="6">
        <v>0.3</v>
      </c>
      <c r="I4" s="6">
        <f t="shared" si="0"/>
        <v>4.1676637897214599</v>
      </c>
      <c r="J4" s="6">
        <f t="shared" si="1"/>
        <v>1.206071793650321E-2</v>
      </c>
      <c r="K4" s="6">
        <f t="shared" si="2"/>
        <v>0.14384193524152955</v>
      </c>
      <c r="L4" s="6">
        <f t="shared" si="3"/>
        <v>5.0028353668322721E-2</v>
      </c>
      <c r="M4" s="6">
        <f t="shared" si="4"/>
        <v>1.6975801167728237</v>
      </c>
      <c r="N4" s="6">
        <f t="shared" si="5"/>
        <v>0.11127868839233997</v>
      </c>
      <c r="O4" s="6">
        <f t="shared" si="6"/>
        <v>69.155041171945754</v>
      </c>
      <c r="P4" s="6">
        <f t="shared" si="7"/>
        <v>96.273778495424594</v>
      </c>
      <c r="Q4" s="6">
        <v>291</v>
      </c>
      <c r="R4" s="6">
        <f t="shared" ref="R4:R13" si="15">Q4/10000</f>
        <v>2.9100000000000001E-2</v>
      </c>
      <c r="S4" s="6">
        <v>131</v>
      </c>
      <c r="T4" s="6">
        <f>(I4/I13-1)*100</f>
        <v>3.9603960396039639</v>
      </c>
      <c r="U4" s="6">
        <f>(J4/J13-1)*100</f>
        <v>-97.740112994350284</v>
      </c>
      <c r="V4" s="6">
        <f>(K4/K13-1)*100</f>
        <v>-3.9999999999999925</v>
      </c>
      <c r="W4" s="6">
        <f t="shared" si="8"/>
        <v>751.84702303346364</v>
      </c>
      <c r="X4" s="6">
        <f t="shared" si="9"/>
        <v>1.3533246414602345</v>
      </c>
      <c r="Y4" s="6">
        <f t="shared" si="10"/>
        <v>0.11277705345501954</v>
      </c>
      <c r="Z4" s="6">
        <f>I13*(100-X4)/100</f>
        <v>3.9546422727321557</v>
      </c>
      <c r="AA4" s="6">
        <f>K13*(100-Y4)/100</f>
        <v>0.1496663693180536</v>
      </c>
      <c r="AB4" s="6">
        <f t="shared" si="11"/>
        <v>26.423052090802102</v>
      </c>
      <c r="AC4" s="6">
        <f>AB4/AD13-1</f>
        <v>-1.241948220613831E-2</v>
      </c>
      <c r="AD4" s="6">
        <f t="shared" si="12"/>
        <v>28.973913502508179</v>
      </c>
      <c r="AE4" s="6">
        <f t="shared" si="13"/>
        <v>8.3847022193157206E-2</v>
      </c>
      <c r="AF4" s="6">
        <f t="shared" ref="AF4:AF13" si="16">L4/K4</f>
        <v>0.34780089397656205</v>
      </c>
      <c r="AG4" s="6">
        <f t="shared" ref="AG4:AG13" si="17">R4/K4</f>
        <v>0.20230539829109828</v>
      </c>
      <c r="AH4" s="6">
        <f>AD4/AD13-1</f>
        <v>8.2920792079208105E-2</v>
      </c>
      <c r="AI4" s="6">
        <f t="shared" si="14"/>
        <v>-0.91812102094735226</v>
      </c>
      <c r="AJ4" s="6">
        <f t="shared" si="14"/>
        <v>-0.66036262985230787</v>
      </c>
      <c r="AK4" s="6">
        <f t="shared" si="14"/>
        <v>-0.80244307984182361</v>
      </c>
    </row>
    <row r="5" spans="1:37">
      <c r="A5" s="6" t="s">
        <v>216</v>
      </c>
      <c r="B5" s="6">
        <v>0.85</v>
      </c>
      <c r="C5" s="6">
        <v>18.05</v>
      </c>
      <c r="D5" s="6">
        <v>0.02</v>
      </c>
      <c r="E5" s="6">
        <v>0.39</v>
      </c>
      <c r="F5" s="6">
        <v>0.06</v>
      </c>
      <c r="G5" s="6">
        <v>4.3499999999999996</v>
      </c>
      <c r="H5" s="6">
        <v>0.38</v>
      </c>
      <c r="I5" s="6">
        <f t="shared" si="0"/>
        <v>4.776275009807768</v>
      </c>
      <c r="J5" s="6">
        <f t="shared" si="1"/>
        <v>1.206071793650321E-2</v>
      </c>
      <c r="K5" s="6">
        <f t="shared" si="2"/>
        <v>0.23374314476748551</v>
      </c>
      <c r="L5" s="6">
        <f t="shared" si="3"/>
        <v>4.2881446001419465E-2</v>
      </c>
      <c r="M5" s="6">
        <f t="shared" si="4"/>
        <v>1.80549474522293</v>
      </c>
      <c r="N5" s="6">
        <f t="shared" si="5"/>
        <v>0.14095300529696395</v>
      </c>
      <c r="O5" s="6">
        <f t="shared" si="6"/>
        <v>70.596429589239975</v>
      </c>
      <c r="P5" s="6">
        <f t="shared" si="7"/>
        <v>96.293742048640468</v>
      </c>
      <c r="Q5" s="6">
        <v>263</v>
      </c>
      <c r="R5" s="6">
        <f t="shared" si="15"/>
        <v>2.63E-2</v>
      </c>
      <c r="S5" s="6">
        <v>149</v>
      </c>
      <c r="T5" s="6">
        <f>(I5/I13-1)*100</f>
        <v>19.141914191419151</v>
      </c>
      <c r="U5" s="6">
        <f>(J5/J13-1)*100</f>
        <v>-97.740112994350284</v>
      </c>
      <c r="V5" s="6">
        <f>(K5/K13-1)*100</f>
        <v>56.000000000000007</v>
      </c>
      <c r="W5" s="6">
        <f t="shared" si="8"/>
        <v>751.84702303346364</v>
      </c>
      <c r="X5" s="6">
        <f t="shared" si="9"/>
        <v>1.3533246414602345</v>
      </c>
      <c r="Y5" s="6">
        <f t="shared" si="10"/>
        <v>0.11277705345501954</v>
      </c>
      <c r="Z5" s="6">
        <f>I13*(100-X5)/100</f>
        <v>3.9546422727321557</v>
      </c>
      <c r="AA5" s="6">
        <f>K13*(100-Y5)/100</f>
        <v>0.1496663693180536</v>
      </c>
      <c r="AB5" s="6">
        <f t="shared" si="11"/>
        <v>26.423052090802102</v>
      </c>
      <c r="AC5" s="6">
        <f>AB5/AD13-1</f>
        <v>-1.241948220613831E-2</v>
      </c>
      <c r="AD5" s="6">
        <f t="shared" si="12"/>
        <v>20.433861341939831</v>
      </c>
      <c r="AE5" s="6">
        <f t="shared" si="13"/>
        <v>5.1598167503481361E-2</v>
      </c>
      <c r="AF5" s="6">
        <f t="shared" si="16"/>
        <v>0.1834554166030217</v>
      </c>
      <c r="AG5" s="6">
        <f t="shared" si="17"/>
        <v>0.11251666878257224</v>
      </c>
      <c r="AH5" s="6">
        <f>AD5/AD13-1</f>
        <v>-0.23626978082423622</v>
      </c>
      <c r="AI5" s="6">
        <f t="shared" si="14"/>
        <v>-0.94961293596760132</v>
      </c>
      <c r="AJ5" s="6">
        <f t="shared" si="14"/>
        <v>-0.82085061794407455</v>
      </c>
      <c r="AK5" s="6">
        <f t="shared" si="14"/>
        <v>-0.8901243034594758</v>
      </c>
    </row>
    <row r="6" spans="1:37">
      <c r="A6" s="6" t="s">
        <v>216</v>
      </c>
      <c r="B6" s="6">
        <v>1.1299999999999999</v>
      </c>
      <c r="C6" s="6">
        <v>15.7</v>
      </c>
      <c r="D6" s="6">
        <v>0.05</v>
      </c>
      <c r="E6" s="6">
        <v>0.32</v>
      </c>
      <c r="F6" s="6">
        <v>0.2</v>
      </c>
      <c r="G6" s="6">
        <v>5.01</v>
      </c>
      <c r="H6" s="6">
        <v>0.32</v>
      </c>
      <c r="I6" s="6">
        <f t="shared" si="0"/>
        <v>4.1544331110239314</v>
      </c>
      <c r="J6" s="6">
        <f t="shared" si="1"/>
        <v>3.0151794841258031E-2</v>
      </c>
      <c r="K6" s="6">
        <f t="shared" si="2"/>
        <v>0.19178924698870609</v>
      </c>
      <c r="L6" s="6">
        <f t="shared" si="3"/>
        <v>0.14293815333806492</v>
      </c>
      <c r="M6" s="6">
        <f t="shared" si="4"/>
        <v>2.0794318789808917</v>
      </c>
      <c r="N6" s="6">
        <f t="shared" si="5"/>
        <v>0.11869726761849596</v>
      </c>
      <c r="O6" s="6">
        <f t="shared" si="6"/>
        <v>63.958630562368683</v>
      </c>
      <c r="P6" s="6">
        <f t="shared" si="7"/>
        <v>94.075376795857281</v>
      </c>
      <c r="Q6" s="6">
        <v>247</v>
      </c>
      <c r="R6" s="6">
        <f t="shared" si="15"/>
        <v>2.47E-2</v>
      </c>
      <c r="S6" s="6">
        <v>130</v>
      </c>
      <c r="T6" s="6">
        <f>(I6/I13-1)*100</f>
        <v>3.630363036303641</v>
      </c>
      <c r="U6" s="6">
        <f>(J6/J13-1)*100</f>
        <v>-94.350282485875709</v>
      </c>
      <c r="V6" s="6">
        <f>(K6/K13-1)*100</f>
        <v>28.000000000000025</v>
      </c>
      <c r="W6" s="6">
        <f t="shared" si="8"/>
        <v>725.77140373750547</v>
      </c>
      <c r="X6" s="6">
        <f t="shared" si="9"/>
        <v>1.3063885267275097</v>
      </c>
      <c r="Y6" s="6">
        <f t="shared" si="10"/>
        <v>0.10886571056062581</v>
      </c>
      <c r="Z6" s="6">
        <f>I13*(100-X6)/100</f>
        <v>3.9565238925917718</v>
      </c>
      <c r="AA6" s="6">
        <f>K13*(100-Y6)/100</f>
        <v>0.14967222989233822</v>
      </c>
      <c r="AB6" s="6">
        <f t="shared" si="11"/>
        <v>26.434589071317816</v>
      </c>
      <c r="AC6" s="6">
        <f>AB6/AD13-1</f>
        <v>-1.198827928709878E-2</v>
      </c>
      <c r="AD6" s="6">
        <f t="shared" si="12"/>
        <v>21.661449618541827</v>
      </c>
      <c r="AE6" s="6">
        <f t="shared" si="13"/>
        <v>0.15721316661216977</v>
      </c>
      <c r="AF6" s="6">
        <f t="shared" si="16"/>
        <v>0.74528762994977571</v>
      </c>
      <c r="AG6" s="6">
        <f t="shared" si="17"/>
        <v>0.12878719942758057</v>
      </c>
      <c r="AH6" s="6">
        <f>AD6/AD13-1</f>
        <v>-0.19038778877887785</v>
      </c>
      <c r="AI6" s="6">
        <f t="shared" si="14"/>
        <v>-0.84647691427628535</v>
      </c>
      <c r="AJ6" s="6">
        <f t="shared" si="14"/>
        <v>-0.27220563539780263</v>
      </c>
      <c r="AK6" s="6">
        <f t="shared" si="14"/>
        <v>-0.87423567196116092</v>
      </c>
    </row>
    <row r="7" spans="1:37">
      <c r="A7" s="6" t="s">
        <v>216</v>
      </c>
      <c r="B7" s="6">
        <v>1.34</v>
      </c>
      <c r="C7" s="6">
        <v>17.350000000000001</v>
      </c>
      <c r="D7" s="6">
        <v>0.01</v>
      </c>
      <c r="E7" s="6">
        <v>0.35</v>
      </c>
      <c r="F7" s="6">
        <v>0.19</v>
      </c>
      <c r="G7" s="6">
        <v>4.76</v>
      </c>
      <c r="H7" s="6">
        <v>0.38</v>
      </c>
      <c r="I7" s="6">
        <f t="shared" si="0"/>
        <v>4.5910455080423702</v>
      </c>
      <c r="J7" s="6">
        <f t="shared" si="1"/>
        <v>6.0303589682516052E-3</v>
      </c>
      <c r="K7" s="6">
        <f t="shared" si="2"/>
        <v>0.20976948889389724</v>
      </c>
      <c r="L7" s="6">
        <f t="shared" si="3"/>
        <v>0.13579124567116166</v>
      </c>
      <c r="M7" s="6">
        <f t="shared" si="4"/>
        <v>1.9756678131634819</v>
      </c>
      <c r="N7" s="6">
        <f t="shared" si="5"/>
        <v>0.14095300529696395</v>
      </c>
      <c r="O7" s="6">
        <f t="shared" si="6"/>
        <v>67.086636537499871</v>
      </c>
      <c r="P7" s="6">
        <f t="shared" si="7"/>
        <v>94.314786285585555</v>
      </c>
      <c r="Q7" s="6">
        <v>262</v>
      </c>
      <c r="R7" s="6">
        <f t="shared" si="15"/>
        <v>2.6200000000000001E-2</v>
      </c>
      <c r="S7" s="6">
        <v>153</v>
      </c>
      <c r="T7" s="6">
        <f>(I7/I13-1)*100</f>
        <v>14.521452145214543</v>
      </c>
      <c r="U7" s="6">
        <f>(J7/J13-1)*100</f>
        <v>-98.870056497175142</v>
      </c>
      <c r="V7" s="6">
        <f>(K7/K13-1)*100</f>
        <v>39.999999999999993</v>
      </c>
      <c r="W7" s="6">
        <f t="shared" si="8"/>
        <v>760.53889613211641</v>
      </c>
      <c r="X7" s="6">
        <f t="shared" si="9"/>
        <v>1.3689700130378095</v>
      </c>
      <c r="Y7" s="6">
        <f t="shared" si="10"/>
        <v>0.11408083441981745</v>
      </c>
      <c r="Z7" s="6">
        <f>I13*(100-X7)/100</f>
        <v>3.9540150661122828</v>
      </c>
      <c r="AA7" s="6">
        <f>K13*(100-Y7)/100</f>
        <v>0.14966441579329207</v>
      </c>
      <c r="AB7" s="6">
        <f t="shared" si="11"/>
        <v>26.419206229845191</v>
      </c>
      <c r="AC7" s="6">
        <f>AB7/AD13-1</f>
        <v>-1.2563224016968411E-2</v>
      </c>
      <c r="AD7" s="6">
        <f t="shared" si="12"/>
        <v>21.886145274275567</v>
      </c>
      <c r="AE7" s="6">
        <f t="shared" si="13"/>
        <v>2.8747550466225333E-2</v>
      </c>
      <c r="AF7" s="6">
        <f t="shared" si="16"/>
        <v>0.64733554144209093</v>
      </c>
      <c r="AG7" s="6">
        <f t="shared" si="17"/>
        <v>0.12489900289194168</v>
      </c>
      <c r="AH7" s="6">
        <f>AD7/AD13-1</f>
        <v>-0.1819896275341818</v>
      </c>
      <c r="AI7" s="6">
        <f t="shared" si="14"/>
        <v>-0.97192720718194936</v>
      </c>
      <c r="AJ7" s="6">
        <f t="shared" si="14"/>
        <v>-0.36785860903123424</v>
      </c>
      <c r="AK7" s="6">
        <f t="shared" si="14"/>
        <v>-0.87803260540455441</v>
      </c>
    </row>
    <row r="8" spans="1:37">
      <c r="A8" s="6" t="s">
        <v>216</v>
      </c>
      <c r="B8" s="6">
        <v>1.45</v>
      </c>
      <c r="C8" s="6">
        <v>19.649999999999999</v>
      </c>
      <c r="D8" s="6">
        <v>0.08</v>
      </c>
      <c r="E8" s="6">
        <v>0.44</v>
      </c>
      <c r="F8" s="6">
        <v>0.23</v>
      </c>
      <c r="G8" s="6">
        <v>5.47</v>
      </c>
      <c r="H8" s="6">
        <v>0.45</v>
      </c>
      <c r="I8" s="6">
        <f t="shared" si="0"/>
        <v>5.1996567281286774</v>
      </c>
      <c r="J8" s="6">
        <f t="shared" si="1"/>
        <v>4.8242871746012841E-2</v>
      </c>
      <c r="K8" s="6">
        <f t="shared" si="2"/>
        <v>0.26371021460947086</v>
      </c>
      <c r="L8" s="6">
        <f t="shared" si="3"/>
        <v>0.16437887633877463</v>
      </c>
      <c r="M8" s="6">
        <f t="shared" si="4"/>
        <v>2.2703577600849258</v>
      </c>
      <c r="N8" s="6">
        <f t="shared" si="5"/>
        <v>0.16691803258850996</v>
      </c>
      <c r="O8" s="6">
        <f t="shared" si="6"/>
        <v>66.651059846608689</v>
      </c>
      <c r="P8" s="6">
        <f t="shared" si="7"/>
        <v>94.010130428364462</v>
      </c>
      <c r="Q8" s="6">
        <v>279</v>
      </c>
      <c r="R8" s="6">
        <f t="shared" si="15"/>
        <v>2.7900000000000001E-2</v>
      </c>
      <c r="S8" s="6">
        <v>172</v>
      </c>
      <c r="T8" s="6">
        <f>(I8/I13-1)*100</f>
        <v>29.702970297029687</v>
      </c>
      <c r="U8" s="6">
        <f>(J8/J13-1)*100</f>
        <v>-90.960451977401121</v>
      </c>
      <c r="V8" s="6">
        <f>(K8/K13-1)*100</f>
        <v>76.000000000000028</v>
      </c>
      <c r="W8" s="6">
        <f t="shared" si="8"/>
        <v>699.69578444154706</v>
      </c>
      <c r="X8" s="6">
        <f t="shared" si="9"/>
        <v>1.2594524119947847</v>
      </c>
      <c r="Y8" s="6">
        <f t="shared" si="10"/>
        <v>0.10495436766623205</v>
      </c>
      <c r="Z8" s="6">
        <f>I13*(100-X8)/100</f>
        <v>3.9584055124513897</v>
      </c>
      <c r="AA8" s="6">
        <f>K13*(100-Y8)/100</f>
        <v>0.14967809046662284</v>
      </c>
      <c r="AB8" s="6">
        <f t="shared" si="11"/>
        <v>26.446125148383601</v>
      </c>
      <c r="AC8" s="6">
        <f>AB8/AD13-1</f>
        <v>-1.1557110135148263E-2</v>
      </c>
      <c r="AD8" s="6">
        <f t="shared" si="12"/>
        <v>19.717312565343221</v>
      </c>
      <c r="AE8" s="6">
        <f t="shared" si="13"/>
        <v>0.18293895751234299</v>
      </c>
      <c r="AF8" s="6">
        <f t="shared" si="16"/>
        <v>0.62333147232163055</v>
      </c>
      <c r="AG8" s="6">
        <f t="shared" si="17"/>
        <v>0.10579794962177397</v>
      </c>
      <c r="AH8" s="6">
        <f>AD8/AD13-1</f>
        <v>-0.26305130513051322</v>
      </c>
      <c r="AI8" s="6">
        <f t="shared" si="14"/>
        <v>-0.82135495479422305</v>
      </c>
      <c r="AJ8" s="6">
        <f t="shared" si="14"/>
        <v>-0.39129925869634408</v>
      </c>
      <c r="AK8" s="6">
        <f t="shared" si="14"/>
        <v>-0.89668532197913553</v>
      </c>
    </row>
    <row r="9" spans="1:37">
      <c r="A9" s="6" t="s">
        <v>216</v>
      </c>
      <c r="B9" s="6">
        <v>1.65</v>
      </c>
      <c r="C9" s="6">
        <v>18.7</v>
      </c>
      <c r="D9" s="6">
        <v>0.05</v>
      </c>
      <c r="E9" s="6">
        <v>0.38</v>
      </c>
      <c r="F9" s="6">
        <v>0.21</v>
      </c>
      <c r="G9" s="6">
        <v>5.24</v>
      </c>
      <c r="H9" s="6">
        <v>0.42</v>
      </c>
      <c r="I9" s="6">
        <f t="shared" si="0"/>
        <v>4.9482738328756382</v>
      </c>
      <c r="J9" s="6">
        <f t="shared" si="1"/>
        <v>3.0151794841258031E-2</v>
      </c>
      <c r="K9" s="6">
        <f t="shared" si="2"/>
        <v>0.22774973079908847</v>
      </c>
      <c r="L9" s="6">
        <f t="shared" si="3"/>
        <v>0.15008506100496816</v>
      </c>
      <c r="M9" s="6">
        <f t="shared" si="4"/>
        <v>2.1748948195329088</v>
      </c>
      <c r="N9" s="6">
        <f t="shared" si="5"/>
        <v>0.15579016374927593</v>
      </c>
      <c r="O9" s="6">
        <f t="shared" si="6"/>
        <v>66.607142381899905</v>
      </c>
      <c r="P9" s="6">
        <f t="shared" si="7"/>
        <v>94.178406029230104</v>
      </c>
      <c r="Q9" s="6">
        <v>255</v>
      </c>
      <c r="R9" s="6">
        <f t="shared" si="15"/>
        <v>2.5499999999999998E-2</v>
      </c>
      <c r="S9" s="6">
        <v>154</v>
      </c>
      <c r="T9" s="6">
        <f>(I9/I13-1)*100</f>
        <v>23.43234323432344</v>
      </c>
      <c r="U9" s="6">
        <f>(J9/J13-1)*100</f>
        <v>-94.350282485875709</v>
      </c>
      <c r="V9" s="6">
        <f>(K9/K13-1)*100</f>
        <v>52.000000000000021</v>
      </c>
      <c r="W9" s="6">
        <f t="shared" si="8"/>
        <v>725.77140373750547</v>
      </c>
      <c r="X9" s="6">
        <f t="shared" si="9"/>
        <v>1.3063885267275097</v>
      </c>
      <c r="Y9" s="6">
        <f t="shared" si="10"/>
        <v>0.10886571056062581</v>
      </c>
      <c r="Z9" s="6">
        <f>I13*(100-X9)/100</f>
        <v>3.9565238925917718</v>
      </c>
      <c r="AA9" s="6">
        <f>K13*(100-Y9)/100</f>
        <v>0.14967222989233822</v>
      </c>
      <c r="AB9" s="6">
        <f t="shared" si="11"/>
        <v>26.434589071317816</v>
      </c>
      <c r="AC9" s="6">
        <f>AB9/AD13-1</f>
        <v>-1.198827928709878E-2</v>
      </c>
      <c r="AD9" s="6">
        <f t="shared" si="12"/>
        <v>21.726804310652746</v>
      </c>
      <c r="AE9" s="6">
        <f t="shared" si="13"/>
        <v>0.1323900350418272</v>
      </c>
      <c r="AF9" s="6">
        <f t="shared" si="16"/>
        <v>0.65899116753453846</v>
      </c>
      <c r="AG9" s="6">
        <f t="shared" si="17"/>
        <v>0.11196500610793284</v>
      </c>
      <c r="AH9" s="6">
        <f>AD9/AD13-1</f>
        <v>-0.18794511030050376</v>
      </c>
      <c r="AI9" s="6">
        <f t="shared" si="14"/>
        <v>-0.87071740149581922</v>
      </c>
      <c r="AJ9" s="6">
        <f t="shared" si="14"/>
        <v>-0.35647656182542553</v>
      </c>
      <c r="AK9" s="6">
        <f t="shared" si="14"/>
        <v>-0.8906630176010093</v>
      </c>
    </row>
    <row r="10" spans="1:37">
      <c r="A10" s="6" t="s">
        <v>216</v>
      </c>
      <c r="B10" s="6">
        <v>1.83</v>
      </c>
      <c r="C10" s="6">
        <v>17.8</v>
      </c>
      <c r="D10" s="6">
        <v>0.06</v>
      </c>
      <c r="E10" s="6">
        <v>0.38</v>
      </c>
      <c r="F10" s="6">
        <v>0.19</v>
      </c>
      <c r="G10" s="6">
        <v>5.01</v>
      </c>
      <c r="H10" s="6">
        <v>0.38</v>
      </c>
      <c r="I10" s="6">
        <f t="shared" si="0"/>
        <v>4.7101216163201265</v>
      </c>
      <c r="J10" s="6">
        <f t="shared" si="1"/>
        <v>3.6182153809509628E-2</v>
      </c>
      <c r="K10" s="6">
        <f t="shared" si="2"/>
        <v>0.22774973079908847</v>
      </c>
      <c r="L10" s="6">
        <f t="shared" si="3"/>
        <v>0.13579124567116166</v>
      </c>
      <c r="M10" s="6">
        <f t="shared" si="4"/>
        <v>2.0794318789808917</v>
      </c>
      <c r="N10" s="6">
        <f t="shared" si="5"/>
        <v>0.14095300529696395</v>
      </c>
      <c r="O10" s="6">
        <f t="shared" si="6"/>
        <v>66.656144213665087</v>
      </c>
      <c r="P10" s="6">
        <f t="shared" si="7"/>
        <v>94.450537505260527</v>
      </c>
      <c r="Q10" s="6">
        <v>237</v>
      </c>
      <c r="R10" s="6">
        <f t="shared" si="15"/>
        <v>2.3699999999999999E-2</v>
      </c>
      <c r="S10" s="6">
        <v>153</v>
      </c>
      <c r="T10" s="6">
        <f>(I10/I13-1)*100</f>
        <v>17.491749174917516</v>
      </c>
      <c r="U10" s="6">
        <f>(J10/J13-1)*100</f>
        <v>-93.220338983050837</v>
      </c>
      <c r="V10" s="6">
        <f>(K10/K13-1)*100</f>
        <v>52.000000000000021</v>
      </c>
      <c r="W10" s="6">
        <f t="shared" si="8"/>
        <v>717.07953063885259</v>
      </c>
      <c r="X10" s="6">
        <f t="shared" si="9"/>
        <v>1.2907431551499347</v>
      </c>
      <c r="Y10" s="6">
        <f t="shared" si="10"/>
        <v>0.10756192959582787</v>
      </c>
      <c r="Z10" s="6">
        <f>I13*(100-X10)/100</f>
        <v>3.9571510992116448</v>
      </c>
      <c r="AA10" s="6">
        <f>K13*(100-Y10)/100</f>
        <v>0.14967418341709976</v>
      </c>
      <c r="AB10" s="6">
        <f t="shared" si="11"/>
        <v>26.438434530717831</v>
      </c>
      <c r="AC10" s="6">
        <f>AB10/AD13-1</f>
        <v>-1.1844552484745585E-2</v>
      </c>
      <c r="AD10" s="6">
        <f t="shared" si="12"/>
        <v>20.681129236878018</v>
      </c>
      <c r="AE10" s="6">
        <f t="shared" si="13"/>
        <v>0.15886804205019259</v>
      </c>
      <c r="AF10" s="6">
        <f t="shared" si="16"/>
        <v>0.59623010395982057</v>
      </c>
      <c r="AG10" s="6">
        <f t="shared" si="17"/>
        <v>0.10406159391207875</v>
      </c>
      <c r="AH10" s="6">
        <f>AD10/AD13-1</f>
        <v>-0.22702796595449004</v>
      </c>
      <c r="AI10" s="6">
        <f t="shared" si="14"/>
        <v>-0.8448608817949832</v>
      </c>
      <c r="AJ10" s="6">
        <f t="shared" si="14"/>
        <v>-0.41776450831824208</v>
      </c>
      <c r="AK10" s="6">
        <f t="shared" si="14"/>
        <v>-0.89838092224093802</v>
      </c>
    </row>
    <row r="11" spans="1:37">
      <c r="A11" s="6" t="s">
        <v>216</v>
      </c>
      <c r="B11" s="6">
        <v>2.36</v>
      </c>
      <c r="C11" s="6">
        <v>16.95</v>
      </c>
      <c r="D11" s="6">
        <v>0.34</v>
      </c>
      <c r="E11" s="6">
        <v>0.41</v>
      </c>
      <c r="F11" s="6">
        <v>0.22</v>
      </c>
      <c r="G11" s="6">
        <v>4.68</v>
      </c>
      <c r="H11" s="6">
        <v>0.3</v>
      </c>
      <c r="I11" s="6">
        <f t="shared" si="0"/>
        <v>4.4852000784621424</v>
      </c>
      <c r="J11" s="6">
        <f t="shared" si="1"/>
        <v>0.20503220492055457</v>
      </c>
      <c r="K11" s="6">
        <f t="shared" si="2"/>
        <v>0.24572997270427963</v>
      </c>
      <c r="L11" s="6">
        <f t="shared" si="3"/>
        <v>0.15723196867187142</v>
      </c>
      <c r="M11" s="6">
        <f t="shared" si="4"/>
        <v>1.9424633121019106</v>
      </c>
      <c r="N11" s="6">
        <f t="shared" si="5"/>
        <v>0.11127868839233997</v>
      </c>
      <c r="O11" s="6">
        <f t="shared" si="6"/>
        <v>66.981533731949028</v>
      </c>
      <c r="P11" s="6">
        <f t="shared" si="7"/>
        <v>94.351556667983075</v>
      </c>
      <c r="Q11" s="6">
        <v>249</v>
      </c>
      <c r="R11" s="6">
        <f t="shared" si="15"/>
        <v>2.4899999999999999E-2</v>
      </c>
      <c r="S11" s="6">
        <v>143</v>
      </c>
      <c r="T11" s="6">
        <f>(I11/I13-1)*100</f>
        <v>11.881188118811892</v>
      </c>
      <c r="U11" s="6">
        <f>(J11/J13-1)*100</f>
        <v>-61.581920903954803</v>
      </c>
      <c r="V11" s="6">
        <f>(K11/K13-1)*100</f>
        <v>63.999999999999993</v>
      </c>
      <c r="W11" s="6">
        <f t="shared" si="8"/>
        <v>473.70708387657538</v>
      </c>
      <c r="X11" s="6">
        <f t="shared" si="9"/>
        <v>0.85267275097783568</v>
      </c>
      <c r="Y11" s="6">
        <f t="shared" si="10"/>
        <v>7.1056062581486307E-2</v>
      </c>
      <c r="Z11" s="6">
        <f>I13*(100-X11)/100</f>
        <v>3.9747128845680724</v>
      </c>
      <c r="AA11" s="6">
        <f>K13*(100-Y11)/100</f>
        <v>0.14972888211042282</v>
      </c>
      <c r="AB11" s="6">
        <f t="shared" si="11"/>
        <v>26.546066654239635</v>
      </c>
      <c r="AC11" s="6">
        <f>AB11/AD13-1</f>
        <v>-7.8217246935565754E-3</v>
      </c>
      <c r="AD11" s="6">
        <f t="shared" si="12"/>
        <v>18.252555962555675</v>
      </c>
      <c r="AE11" s="6">
        <f t="shared" si="13"/>
        <v>0.83438012328800348</v>
      </c>
      <c r="AF11" s="6">
        <f t="shared" si="16"/>
        <v>0.63985669693249059</v>
      </c>
      <c r="AG11" s="6">
        <f t="shared" si="17"/>
        <v>0.1013307401045682</v>
      </c>
      <c r="AH11" s="6">
        <f>AD11/AD13-1</f>
        <v>-0.31779763342187861</v>
      </c>
      <c r="AI11" s="6">
        <f t="shared" si="14"/>
        <v>-0.18520430601267579</v>
      </c>
      <c r="AJ11" s="6">
        <f t="shared" si="14"/>
        <v>-0.37516191136591814</v>
      </c>
      <c r="AK11" s="6">
        <f t="shared" si="14"/>
        <v>-0.90104767790920615</v>
      </c>
    </row>
    <row r="12" spans="1:37">
      <c r="A12" s="6" t="s">
        <v>216</v>
      </c>
      <c r="B12" s="6">
        <v>6.1</v>
      </c>
      <c r="C12" s="6">
        <v>14.3</v>
      </c>
      <c r="D12" s="6">
        <v>0.01</v>
      </c>
      <c r="E12" s="6">
        <v>0.19</v>
      </c>
      <c r="F12" s="6">
        <v>7.0000000000000007E-2</v>
      </c>
      <c r="G12" s="6">
        <v>3.95</v>
      </c>
      <c r="H12" s="6">
        <v>0.27</v>
      </c>
      <c r="I12" s="6">
        <f t="shared" si="0"/>
        <v>3.783974107493135</v>
      </c>
      <c r="J12" s="6">
        <f t="shared" si="1"/>
        <v>6.0303589682516052E-3</v>
      </c>
      <c r="K12" s="6">
        <f t="shared" si="2"/>
        <v>0.11387486539954424</v>
      </c>
      <c r="L12" s="6">
        <f t="shared" si="3"/>
        <v>5.0028353668322721E-2</v>
      </c>
      <c r="M12" s="6">
        <f t="shared" si="4"/>
        <v>1.6394722399150743</v>
      </c>
      <c r="N12" s="6">
        <f t="shared" si="5"/>
        <v>0.10015081955310597</v>
      </c>
      <c r="O12" s="6">
        <f t="shared" si="6"/>
        <v>67.890713028486161</v>
      </c>
      <c r="P12" s="6">
        <f t="shared" si="7"/>
        <v>96.182681189428592</v>
      </c>
      <c r="Q12" s="6">
        <v>218</v>
      </c>
      <c r="R12" s="6">
        <f t="shared" si="15"/>
        <v>2.18E-2</v>
      </c>
      <c r="S12" s="6">
        <v>104</v>
      </c>
      <c r="T12" s="6">
        <f>(I12/I13-1)*100</f>
        <v>-5.6105610561056007</v>
      </c>
      <c r="U12" s="6">
        <f>(J12/J13-1)*100</f>
        <v>-98.870056497175142</v>
      </c>
      <c r="V12" s="6">
        <f>(K12/K13-1)*100</f>
        <v>-23.999999999999989</v>
      </c>
      <c r="W12" s="6">
        <f t="shared" si="8"/>
        <v>760.53889613211641</v>
      </c>
      <c r="X12" s="6">
        <f t="shared" si="9"/>
        <v>1.3689700130378095</v>
      </c>
      <c r="Y12" s="6">
        <f t="shared" si="10"/>
        <v>0.11408083441981745</v>
      </c>
      <c r="Z12" s="6">
        <f>I13*(100-X12)/100</f>
        <v>3.9540150661122828</v>
      </c>
      <c r="AA12" s="6">
        <f>K13*(100-Y12)/100</f>
        <v>0.14966441579329207</v>
      </c>
      <c r="AB12" s="6">
        <f t="shared" si="11"/>
        <v>26.419206229845191</v>
      </c>
      <c r="AC12" s="6">
        <f>AB12/AD13-1</f>
        <v>-1.2563224016968411E-2</v>
      </c>
      <c r="AD12" s="6">
        <f t="shared" si="12"/>
        <v>33.229230122174791</v>
      </c>
      <c r="AE12" s="6">
        <f t="shared" si="13"/>
        <v>5.2956014016730862E-2</v>
      </c>
      <c r="AF12" s="6">
        <f t="shared" si="16"/>
        <v>0.43932744502302568</v>
      </c>
      <c r="AG12" s="6">
        <f t="shared" si="17"/>
        <v>0.19143820652179888</v>
      </c>
      <c r="AH12" s="6">
        <f>AD12/AD13-1</f>
        <v>0.24196630189334734</v>
      </c>
      <c r="AI12" s="6">
        <f t="shared" si="14"/>
        <v>-0.94828696059832773</v>
      </c>
      <c r="AJ12" s="6">
        <f t="shared" si="14"/>
        <v>-0.57098437455028361</v>
      </c>
      <c r="AK12" s="6">
        <f t="shared" si="14"/>
        <v>-0.81305519872172571</v>
      </c>
    </row>
    <row r="13" spans="1:37" s="2" customFormat="1">
      <c r="A13" s="2" t="s">
        <v>42</v>
      </c>
      <c r="B13" s="2" t="s">
        <v>99</v>
      </c>
      <c r="C13" s="2">
        <v>15.15</v>
      </c>
      <c r="D13" s="2">
        <v>0.88500000000000001</v>
      </c>
      <c r="E13" s="2">
        <v>0.25</v>
      </c>
      <c r="F13" s="2">
        <v>1.5499999999999998</v>
      </c>
      <c r="G13" s="2">
        <v>3.1399999999999997</v>
      </c>
      <c r="H13" s="2">
        <v>4.3800000000000008</v>
      </c>
      <c r="I13" s="2">
        <f t="shared" si="0"/>
        <v>4.0088956453511182</v>
      </c>
      <c r="J13" s="2">
        <f t="shared" si="1"/>
        <v>0.53368676869026699</v>
      </c>
      <c r="K13" s="2">
        <f t="shared" si="2"/>
        <v>0.14983534920992661</v>
      </c>
      <c r="L13" s="2">
        <f t="shared" si="3"/>
        <v>1.1077706883700029</v>
      </c>
      <c r="M13" s="2">
        <f t="shared" si="4"/>
        <v>1.3032766666666666</v>
      </c>
      <c r="N13" s="2">
        <f t="shared" si="5"/>
        <v>1.6246688505281639</v>
      </c>
      <c r="Q13" s="2">
        <f>AVERAGE(265,255)</f>
        <v>260</v>
      </c>
      <c r="R13" s="2">
        <f t="shared" si="15"/>
        <v>2.5999999999999999E-2</v>
      </c>
      <c r="S13" s="2">
        <f>AVERAGE(70,88)</f>
        <v>79</v>
      </c>
      <c r="AD13" s="2">
        <f t="shared" si="12"/>
        <v>26.755339554316119</v>
      </c>
      <c r="AE13" s="2">
        <f t="shared" si="13"/>
        <v>3.5618215027653179</v>
      </c>
      <c r="AF13" s="2">
        <f t="shared" si="16"/>
        <v>7.393253289101775</v>
      </c>
      <c r="AG13" s="2">
        <f t="shared" si="17"/>
        <v>0.17352380554452965</v>
      </c>
    </row>
    <row r="14" spans="1:37">
      <c r="AB14" s="39"/>
      <c r="AE14" s="39"/>
      <c r="AF14" s="39"/>
      <c r="AG14" s="39" t="s">
        <v>97</v>
      </c>
      <c r="AH14" s="6">
        <f>_xlfn.VAR.P(AH3:AH12)</f>
        <v>2.7713060194664303E-2</v>
      </c>
    </row>
    <row r="15" spans="1:37">
      <c r="AG15" s="39" t="s">
        <v>98</v>
      </c>
      <c r="AH15" s="6">
        <f>AVERAGE(AH3:AH12)</f>
        <v>-0.13092850882691559</v>
      </c>
    </row>
  </sheetData>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9"/>
  <sheetViews>
    <sheetView topLeftCell="A5" zoomScale="80" zoomScaleNormal="80" workbookViewId="0">
      <selection activeCell="O28" sqref="O28"/>
    </sheetView>
  </sheetViews>
  <sheetFormatPr defaultRowHeight="14.5"/>
  <cols>
    <col min="1" max="1" width="14.1796875" style="6" customWidth="1"/>
    <col min="2" max="2" width="12.26953125" style="6" customWidth="1"/>
    <col min="3" max="3" width="7.26953125" style="6" customWidth="1"/>
    <col min="4" max="19" width="8.7265625" style="6"/>
    <col min="20" max="23" width="11.6328125" style="6" customWidth="1"/>
    <col min="24" max="24" width="13.26953125" style="6" customWidth="1"/>
    <col min="25" max="26" width="12.54296875" style="6" customWidth="1"/>
    <col min="27" max="27" width="17.90625" style="6" customWidth="1"/>
    <col min="28" max="29" width="20" style="6" customWidth="1"/>
    <col min="30" max="31" width="11.90625" style="6" customWidth="1"/>
    <col min="32" max="32" width="13.81640625" style="6" customWidth="1"/>
    <col min="33" max="33" width="16.6328125" style="6" customWidth="1"/>
    <col min="34" max="41" width="8.7265625" style="6"/>
    <col min="42" max="42" width="11" style="6" customWidth="1"/>
    <col min="43" max="43" width="12.81640625" style="6" customWidth="1"/>
    <col min="44" max="44" width="10.81640625" style="6" customWidth="1"/>
    <col min="45" max="16384" width="8.7265625" style="6"/>
  </cols>
  <sheetData>
    <row r="1" spans="1:47">
      <c r="A1" s="81" t="s">
        <v>183</v>
      </c>
      <c r="B1" s="81"/>
      <c r="C1" s="81"/>
      <c r="D1" s="81"/>
      <c r="E1" s="81"/>
      <c r="F1" s="81"/>
      <c r="G1" s="81"/>
      <c r="H1" s="81"/>
      <c r="I1" s="81"/>
      <c r="J1" s="81"/>
      <c r="K1" s="81"/>
      <c r="L1" s="81"/>
      <c r="M1" s="81"/>
      <c r="N1" s="81"/>
      <c r="O1" s="81"/>
      <c r="P1" s="81"/>
      <c r="Q1" s="81"/>
      <c r="R1" s="81"/>
      <c r="S1" s="86"/>
      <c r="T1" s="81"/>
      <c r="U1" s="81"/>
      <c r="V1" s="81"/>
    </row>
    <row r="2" spans="1:47">
      <c r="A2" s="1" t="s">
        <v>196</v>
      </c>
      <c r="B2" s="1" t="s">
        <v>20</v>
      </c>
      <c r="C2" s="1" t="s">
        <v>1</v>
      </c>
      <c r="D2" s="1" t="s">
        <v>2</v>
      </c>
      <c r="E2" s="1" t="s">
        <v>3</v>
      </c>
      <c r="F2" s="1" t="s">
        <v>48</v>
      </c>
      <c r="G2" s="1" t="s">
        <v>49</v>
      </c>
      <c r="H2" s="1" t="s">
        <v>50</v>
      </c>
      <c r="I2" s="1" t="s">
        <v>4</v>
      </c>
      <c r="J2" s="1" t="s">
        <v>5</v>
      </c>
      <c r="K2" s="1" t="s">
        <v>6</v>
      </c>
      <c r="L2" s="1" t="s">
        <v>45</v>
      </c>
      <c r="M2" s="1" t="s">
        <v>46</v>
      </c>
      <c r="N2" s="1" t="s">
        <v>47</v>
      </c>
      <c r="O2" s="1" t="s">
        <v>51</v>
      </c>
      <c r="P2" s="1" t="s">
        <v>52</v>
      </c>
      <c r="Q2" s="1" t="s">
        <v>110</v>
      </c>
      <c r="R2" s="1" t="s">
        <v>109</v>
      </c>
      <c r="S2" s="1" t="s">
        <v>378</v>
      </c>
      <c r="T2" s="1" t="s">
        <v>133</v>
      </c>
      <c r="U2" s="1" t="s">
        <v>120</v>
      </c>
      <c r="V2" s="1" t="s">
        <v>121</v>
      </c>
      <c r="W2" s="1" t="s">
        <v>122</v>
      </c>
      <c r="X2" s="1" t="s">
        <v>7</v>
      </c>
      <c r="Y2" s="1" t="s">
        <v>8</v>
      </c>
      <c r="Z2" s="1" t="s">
        <v>9</v>
      </c>
      <c r="AA2" s="1" t="s">
        <v>10</v>
      </c>
      <c r="AB2" s="1" t="s">
        <v>11</v>
      </c>
      <c r="AC2" s="1" t="s">
        <v>12</v>
      </c>
      <c r="AD2" s="1" t="s">
        <v>13</v>
      </c>
      <c r="AE2" s="1" t="s">
        <v>14</v>
      </c>
      <c r="AF2" s="1" t="s">
        <v>15</v>
      </c>
      <c r="AG2" s="1" t="s">
        <v>460</v>
      </c>
      <c r="AH2" s="1" t="s">
        <v>16</v>
      </c>
      <c r="AI2" s="1" t="s">
        <v>17</v>
      </c>
      <c r="AJ2" s="1" t="s">
        <v>107</v>
      </c>
      <c r="AK2" s="1" t="s">
        <v>134</v>
      </c>
      <c r="AL2" s="1" t="s">
        <v>136</v>
      </c>
      <c r="AM2" s="1" t="s">
        <v>135</v>
      </c>
      <c r="AN2" s="1" t="s">
        <v>106</v>
      </c>
      <c r="AO2" s="1" t="s">
        <v>459</v>
      </c>
      <c r="AP2" s="1" t="s">
        <v>461</v>
      </c>
      <c r="AQ2" s="1" t="s">
        <v>462</v>
      </c>
      <c r="AR2" s="1" t="s">
        <v>465</v>
      </c>
      <c r="AS2" s="1" t="s">
        <v>464</v>
      </c>
      <c r="AT2" s="1" t="s">
        <v>463</v>
      </c>
      <c r="AU2" s="1" t="s">
        <v>466</v>
      </c>
    </row>
    <row r="3" spans="1:47">
      <c r="A3" s="6" t="s">
        <v>216</v>
      </c>
      <c r="B3" s="6">
        <v>300.88</v>
      </c>
      <c r="C3" s="6">
        <v>15.51</v>
      </c>
      <c r="D3" s="6">
        <v>1.63</v>
      </c>
      <c r="E3" s="6">
        <v>3</v>
      </c>
      <c r="F3" s="6">
        <v>0.53</v>
      </c>
      <c r="G3" s="6">
        <v>8.6999999999999993</v>
      </c>
      <c r="H3" s="6">
        <v>0.1</v>
      </c>
      <c r="I3" s="6">
        <f>C3*26.98/101.96</f>
        <v>4.1041565319733229</v>
      </c>
      <c r="J3" s="6">
        <f>D3*24.305/40.3044</f>
        <v>0.98294851182501153</v>
      </c>
      <c r="K3" s="6">
        <f>E3*79.866/47.867</f>
        <v>5.0054943907075859</v>
      </c>
      <c r="L3" s="6">
        <f>F3*40.078/56.0774</f>
        <v>0.37878610634587201</v>
      </c>
      <c r="M3" s="6">
        <f>G3*39.0983/94.2</f>
        <v>3.6109894904458599</v>
      </c>
      <c r="N3" s="6">
        <f>H3*22.989769/61.9789</f>
        <v>3.7092896130779991E-2</v>
      </c>
      <c r="O3" s="6">
        <f>100*(I3/(I3+L3+M3+N3))</f>
        <v>50.475266272174593</v>
      </c>
      <c r="P3" s="6">
        <f>100*(I3/(I3+L3+N3))</f>
        <v>90.799209446320006</v>
      </c>
      <c r="Q3" s="6">
        <v>205.9</v>
      </c>
      <c r="R3" s="6">
        <v>6.2</v>
      </c>
      <c r="S3" s="6">
        <v>301.39999999999998</v>
      </c>
      <c r="T3" s="6">
        <v>1.9E-2</v>
      </c>
      <c r="U3" s="6">
        <f>Q3/10000</f>
        <v>2.0590000000000001E-2</v>
      </c>
      <c r="V3" s="6">
        <f>R3/10000</f>
        <v>6.2E-4</v>
      </c>
      <c r="W3" s="6">
        <f>T3*51.9961/151.99</f>
        <v>6.499940127639975E-3</v>
      </c>
      <c r="X3" s="6">
        <f>(I3/I10-1)*100</f>
        <v>20.935672514619895</v>
      </c>
      <c r="Y3" s="6">
        <f>(J3/J10-1)*100</f>
        <v>-66.217616580310889</v>
      </c>
      <c r="Z3" s="6">
        <f>(K3/K10-1)*100</f>
        <v>26.849894291754751</v>
      </c>
      <c r="AA3" s="6">
        <f>Y3/-0.61</f>
        <v>108.55346980378835</v>
      </c>
      <c r="AB3" s="6">
        <f>AA3*0.0032</f>
        <v>0.34737110337212274</v>
      </c>
      <c r="AC3" s="6">
        <f>AA3*0.000044</f>
        <v>4.7763526713666873E-3</v>
      </c>
      <c r="AD3" s="6">
        <f>I10*(100-AB3)/100</f>
        <v>3.3818804601675003</v>
      </c>
      <c r="AE3" s="6">
        <f>K10*(100-AC3)/100</f>
        <v>3.9458096032232026</v>
      </c>
      <c r="AF3" s="6">
        <f>AD3/AE3</f>
        <v>0.85708151184105608</v>
      </c>
      <c r="AG3" s="6">
        <f>AF3/AH10-1</f>
        <v>-3.4261111501590058E-3</v>
      </c>
      <c r="AH3" s="6">
        <f>I3/K3</f>
        <v>0.81993030290723223</v>
      </c>
      <c r="AI3" s="6">
        <f>J3/K3</f>
        <v>0.19637391136623772</v>
      </c>
      <c r="AJ3" s="6">
        <f>L3/K3</f>
        <v>7.5674064693602841E-2</v>
      </c>
      <c r="AK3" s="6">
        <f>U3/K3</f>
        <v>4.1134797869765184E-3</v>
      </c>
      <c r="AL3" s="6">
        <f>V3/K3</f>
        <v>1.2386388868020599E-4</v>
      </c>
      <c r="AM3" s="6">
        <f>W3/K3</f>
        <v>1.2985610651580675E-3</v>
      </c>
      <c r="AN3" s="6">
        <f>W3/V3</f>
        <v>10.483774399419314</v>
      </c>
      <c r="AO3" s="6">
        <f t="shared" ref="AO3:AU3" si="0">AH3/AH10-1</f>
        <v>-4.6623781676413234E-2</v>
      </c>
      <c r="AP3" s="6">
        <f t="shared" si="0"/>
        <v>-0.73368221070811745</v>
      </c>
      <c r="AQ3" s="6">
        <f t="shared" si="0"/>
        <v>-0.92138915020382561</v>
      </c>
      <c r="AR3" s="6">
        <f t="shared" si="0"/>
        <v>-0.18942405326674994</v>
      </c>
      <c r="AS3" s="6">
        <f t="shared" si="0"/>
        <v>-0.17854341736694668</v>
      </c>
      <c r="AT3" s="6">
        <f t="shared" si="0"/>
        <v>-1.4444444444445814E-3</v>
      </c>
      <c r="AU3" s="6">
        <f t="shared" si="0"/>
        <v>0.21559139784946213</v>
      </c>
    </row>
    <row r="4" spans="1:47">
      <c r="A4" s="6" t="s">
        <v>216</v>
      </c>
      <c r="B4" s="6">
        <v>301.39999999999998</v>
      </c>
      <c r="C4" s="6">
        <v>14.82</v>
      </c>
      <c r="D4" s="6">
        <v>1.5</v>
      </c>
      <c r="E4" s="6">
        <v>2.12</v>
      </c>
      <c r="F4" s="6">
        <v>0.63</v>
      </c>
      <c r="G4" s="6">
        <v>8.7200000000000006</v>
      </c>
      <c r="H4" s="6">
        <v>0.11</v>
      </c>
      <c r="I4" s="6">
        <f t="shared" ref="I4:I10" si="1">C4*26.98/101.96</f>
        <v>3.9215731659474309</v>
      </c>
      <c r="J4" s="6">
        <f t="shared" ref="J4:J10" si="2">D4*24.305/40.3044</f>
        <v>0.90455384523774063</v>
      </c>
      <c r="K4" s="6">
        <f t="shared" ref="K4:K10" si="3">E4*79.866/47.867</f>
        <v>3.5372160361000273</v>
      </c>
      <c r="L4" s="6">
        <f t="shared" ref="L4:L10" si="4">F4*40.078/56.0774</f>
        <v>0.45025518301490441</v>
      </c>
      <c r="M4" s="6">
        <f t="shared" ref="M4:M10" si="5">G4*39.0983/94.2</f>
        <v>3.619290615711253</v>
      </c>
      <c r="N4" s="6">
        <f t="shared" ref="N4:N10" si="6">H4*22.989769/61.9789</f>
        <v>4.0802185743857987E-2</v>
      </c>
      <c r="O4" s="6">
        <f t="shared" ref="O4:O9" si="7">100*(I4/(I4+L4+M4+N4))</f>
        <v>48.824846416023561</v>
      </c>
      <c r="P4" s="6">
        <f t="shared" ref="P4:P9" si="8">100*(I4/(I4+L4+N4))</f>
        <v>88.871550316834799</v>
      </c>
      <c r="Q4" s="6">
        <v>210.8</v>
      </c>
      <c r="R4" s="6">
        <v>6.3</v>
      </c>
      <c r="S4" s="6">
        <v>295.10000000000002</v>
      </c>
      <c r="T4" s="6">
        <v>1.6E-2</v>
      </c>
      <c r="U4" s="6">
        <f t="shared" ref="U4:U10" si="9">Q4/10000</f>
        <v>2.1080000000000002E-2</v>
      </c>
      <c r="V4" s="6">
        <f t="shared" ref="V4:V10" si="10">R4/10000</f>
        <v>6.3000000000000003E-4</v>
      </c>
      <c r="W4" s="6">
        <f t="shared" ref="W4:W10" si="11">T4*51.9961/151.99</f>
        <v>5.4736337916968213E-3</v>
      </c>
      <c r="X4" s="6">
        <f>(I4/I10-1)*100</f>
        <v>15.555555555555568</v>
      </c>
      <c r="Y4" s="6">
        <f>(J4/J10-1)*100</f>
        <v>-68.911917098445599</v>
      </c>
      <c r="Z4" s="6">
        <f>(K4/K10-1)*100</f>
        <v>-10.359408033826645</v>
      </c>
      <c r="AA4" s="6">
        <f t="shared" ref="AA4:AA9" si="12">Y4/-0.61</f>
        <v>112.97035589909115</v>
      </c>
      <c r="AB4" s="6">
        <f t="shared" ref="AB4:AB9" si="13">AA4*0.0032</f>
        <v>0.36150513887709168</v>
      </c>
      <c r="AC4" s="6">
        <f t="shared" ref="AC4:AC9" si="14">AA4*0.000044</f>
        <v>4.9706956595600106E-3</v>
      </c>
      <c r="AD4" s="6">
        <f>I10*(100-AB4)/100</f>
        <v>3.3814007977739755</v>
      </c>
      <c r="AE4" s="6">
        <f>K10*(100-AC4)/100</f>
        <v>3.9458019344526236</v>
      </c>
      <c r="AF4" s="6">
        <f t="shared" ref="AF4:AF9" si="15">AD4/AE4</f>
        <v>0.85696161488730582</v>
      </c>
      <c r="AG4" s="6">
        <f>AF4/AH10-1</f>
        <v>-3.5655216634058462E-3</v>
      </c>
      <c r="AH4" s="6">
        <f t="shared" ref="AH4:AH10" si="16">I4/K4</f>
        <v>1.1086609146641713</v>
      </c>
      <c r="AI4" s="6">
        <f t="shared" ref="AI4:AI9" si="17">J4/K4</f>
        <v>0.25572479486863919</v>
      </c>
      <c r="AJ4" s="6">
        <f t="shared" ref="AJ4:AJ10" si="18">L4/K4</f>
        <v>0.12729083505776911</v>
      </c>
      <c r="AK4" s="6">
        <f t="shared" ref="AK4:AK10" si="19">U4/K4</f>
        <v>5.9594889836702891E-3</v>
      </c>
      <c r="AL4" s="6">
        <f t="shared" ref="AL4:AL10" si="20">V4/K4</f>
        <v>1.7810616981557315E-4</v>
      </c>
      <c r="AM4" s="6">
        <f t="shared" ref="AM4:AM10" si="21">W4/K4</f>
        <v>1.5474411898606566E-3</v>
      </c>
      <c r="AN4" s="6">
        <f t="shared" ref="AN4:AN10" si="22">W4/V4</f>
        <v>8.6883076058679691</v>
      </c>
      <c r="AO4" s="6">
        <f t="shared" ref="AO4:AU4" si="23">AH4/AH10-1</f>
        <v>0.28909853249475903</v>
      </c>
      <c r="AP4" s="6">
        <f t="shared" si="23"/>
        <v>-0.65319190536709359</v>
      </c>
      <c r="AQ4" s="6">
        <f t="shared" si="23"/>
        <v>-0.86776921848098121</v>
      </c>
      <c r="AR4" s="6">
        <f t="shared" si="23"/>
        <v>0.17433868042305622</v>
      </c>
      <c r="AS4" s="6">
        <f t="shared" si="23"/>
        <v>0.18118756936736991</v>
      </c>
      <c r="AT4" s="6">
        <f t="shared" si="23"/>
        <v>0.18993710691823895</v>
      </c>
      <c r="AU4" s="6">
        <f t="shared" si="23"/>
        <v>7.407407407407085E-3</v>
      </c>
    </row>
    <row r="5" spans="1:47">
      <c r="A5" s="6" t="s">
        <v>216</v>
      </c>
      <c r="B5" s="6">
        <v>301.87</v>
      </c>
      <c r="C5" s="6">
        <v>14.02</v>
      </c>
      <c r="D5" s="6">
        <v>1.38</v>
      </c>
      <c r="E5" s="6">
        <v>2.15</v>
      </c>
      <c r="F5" s="6">
        <v>1.05</v>
      </c>
      <c r="G5" s="6">
        <v>7.84</v>
      </c>
      <c r="H5" s="6">
        <v>0.11</v>
      </c>
      <c r="I5" s="6">
        <f t="shared" si="1"/>
        <v>3.7098823067869753</v>
      </c>
      <c r="J5" s="6">
        <f t="shared" si="2"/>
        <v>0.83218953761872139</v>
      </c>
      <c r="K5" s="6">
        <f t="shared" si="3"/>
        <v>3.5872709800071028</v>
      </c>
      <c r="L5" s="6">
        <f t="shared" si="4"/>
        <v>0.75042530502484084</v>
      </c>
      <c r="M5" s="6">
        <f t="shared" si="5"/>
        <v>3.2540411040339698</v>
      </c>
      <c r="N5" s="6">
        <f t="shared" si="6"/>
        <v>4.0802185743857987E-2</v>
      </c>
      <c r="O5" s="6">
        <f t="shared" si="7"/>
        <v>47.837654661581468</v>
      </c>
      <c r="P5" s="6">
        <f t="shared" si="8"/>
        <v>82.421502110471195</v>
      </c>
      <c r="Q5" s="6">
        <v>183.3</v>
      </c>
      <c r="R5" s="6">
        <v>5.4</v>
      </c>
      <c r="S5" s="6">
        <v>270.60000000000002</v>
      </c>
      <c r="T5" s="6">
        <v>1.7999999999999999E-2</v>
      </c>
      <c r="U5" s="6">
        <f t="shared" si="9"/>
        <v>1.8330000000000003E-2</v>
      </c>
      <c r="V5" s="6">
        <f t="shared" si="10"/>
        <v>5.4000000000000001E-4</v>
      </c>
      <c r="W5" s="6">
        <f t="shared" si="11"/>
        <v>6.1578380156589244E-3</v>
      </c>
      <c r="X5" s="6">
        <f>(I5/I10-1)*100</f>
        <v>9.3177387914230145</v>
      </c>
      <c r="Y5" s="6">
        <f>(J5/J10-1)*100</f>
        <v>-71.39896373056996</v>
      </c>
      <c r="Z5" s="6">
        <f>(K5/K10-1)*100</f>
        <v>-9.0909090909091042</v>
      </c>
      <c r="AA5" s="6">
        <f t="shared" si="12"/>
        <v>117.04748152552453</v>
      </c>
      <c r="AB5" s="6">
        <f t="shared" si="13"/>
        <v>0.37455194088167854</v>
      </c>
      <c r="AC5" s="6">
        <f t="shared" si="14"/>
        <v>5.1500891871230792E-3</v>
      </c>
      <c r="AD5" s="6">
        <f>I10*(100-AB5)/100</f>
        <v>3.380958032487646</v>
      </c>
      <c r="AE5" s="6">
        <f>K10*(100-AC5)/100</f>
        <v>3.945794855587474</v>
      </c>
      <c r="AF5" s="6">
        <f t="shared" si="15"/>
        <v>0.85685094036250098</v>
      </c>
      <c r="AG5" s="6">
        <f>AF5/AH10-1</f>
        <v>-3.6942087719918915E-3</v>
      </c>
      <c r="AH5" s="6">
        <f t="shared" si="16"/>
        <v>1.0341795552840085</v>
      </c>
      <c r="AI5" s="6">
        <f t="shared" si="17"/>
        <v>0.23198401856362511</v>
      </c>
      <c r="AJ5" s="6">
        <f t="shared" si="18"/>
        <v>0.20919113978486092</v>
      </c>
      <c r="AK5" s="6">
        <f t="shared" si="19"/>
        <v>5.1097338623589872E-3</v>
      </c>
      <c r="AL5" s="6">
        <f t="shared" si="20"/>
        <v>1.5053225781090304E-4</v>
      </c>
      <c r="AM5" s="6">
        <f t="shared" si="21"/>
        <v>1.7165801106128681E-3</v>
      </c>
      <c r="AN5" s="6">
        <f t="shared" si="22"/>
        <v>11.403403732701712</v>
      </c>
      <c r="AO5" s="6">
        <f t="shared" ref="AO5:AU5" si="24">AH5/AH10-1</f>
        <v>0.20249512670565317</v>
      </c>
      <c r="AP5" s="6">
        <f t="shared" si="24"/>
        <v>-0.68538860103626942</v>
      </c>
      <c r="AQ5" s="6">
        <f t="shared" si="24"/>
        <v>-0.78269049858889927</v>
      </c>
      <c r="AR5" s="6">
        <f t="shared" si="24"/>
        <v>6.891385767790581E-3</v>
      </c>
      <c r="AS5" s="6">
        <f t="shared" si="24"/>
        <v>-1.680672268907224E-3</v>
      </c>
      <c r="AT5" s="6">
        <f t="shared" si="24"/>
        <v>0.32000000000000006</v>
      </c>
      <c r="AU5" s="6">
        <f t="shared" si="24"/>
        <v>0.32222222222222219</v>
      </c>
    </row>
    <row r="6" spans="1:47">
      <c r="A6" s="6" t="s">
        <v>216</v>
      </c>
      <c r="B6" s="6">
        <v>301.89999999999998</v>
      </c>
      <c r="C6" s="6">
        <v>15.23</v>
      </c>
      <c r="D6" s="6">
        <v>1.81</v>
      </c>
      <c r="E6" s="6">
        <v>2.67</v>
      </c>
      <c r="F6" s="6">
        <v>1.5</v>
      </c>
      <c r="G6" s="6">
        <v>8.17</v>
      </c>
      <c r="H6" s="6">
        <v>0.14000000000000001</v>
      </c>
      <c r="I6" s="6">
        <f t="shared" si="1"/>
        <v>4.0300647312671645</v>
      </c>
      <c r="J6" s="6">
        <f t="shared" si="2"/>
        <v>1.0914949732535404</v>
      </c>
      <c r="K6" s="6">
        <f t="shared" si="3"/>
        <v>4.4548900077297517</v>
      </c>
      <c r="L6" s="6">
        <f t="shared" si="4"/>
        <v>1.0720361500354867</v>
      </c>
      <c r="M6" s="6">
        <f t="shared" si="5"/>
        <v>3.3910096709129509</v>
      </c>
      <c r="N6" s="6">
        <f t="shared" si="6"/>
        <v>5.1930054583091988E-2</v>
      </c>
      <c r="O6" s="6">
        <f t="shared" si="7"/>
        <v>47.162616501327356</v>
      </c>
      <c r="P6" s="6">
        <f t="shared" si="8"/>
        <v>78.192482377379818</v>
      </c>
      <c r="Q6" s="6">
        <v>211.8</v>
      </c>
      <c r="R6" s="6">
        <v>5.7</v>
      </c>
      <c r="S6" s="6">
        <v>283.5</v>
      </c>
      <c r="T6" s="6">
        <v>1.9E-2</v>
      </c>
      <c r="U6" s="6">
        <f t="shared" si="9"/>
        <v>2.1180000000000001E-2</v>
      </c>
      <c r="V6" s="6">
        <f t="shared" si="10"/>
        <v>5.6999999999999998E-4</v>
      </c>
      <c r="W6" s="6">
        <f t="shared" si="11"/>
        <v>6.499940127639975E-3</v>
      </c>
      <c r="X6" s="6">
        <f>(I6/I10-1)*100</f>
        <v>18.752436647173521</v>
      </c>
      <c r="Y6" s="6">
        <f>(J6/J10-1)*100</f>
        <v>-62.487046632124354</v>
      </c>
      <c r="Z6" s="6">
        <f>(K6/K10-1)*100</f>
        <v>12.896405919661724</v>
      </c>
      <c r="AA6" s="6">
        <f t="shared" si="12"/>
        <v>102.43778136413829</v>
      </c>
      <c r="AB6" s="6">
        <f t="shared" si="13"/>
        <v>0.32780090036524256</v>
      </c>
      <c r="AC6" s="6">
        <f t="shared" si="14"/>
        <v>4.5072623800220847E-3</v>
      </c>
      <c r="AD6" s="6">
        <f>I10*(100-AB6)/100</f>
        <v>3.3825446080969952</v>
      </c>
      <c r="AE6" s="6">
        <f>K10*(100-AC6)/100</f>
        <v>3.9458202215209273</v>
      </c>
      <c r="AF6" s="6">
        <f t="shared" si="15"/>
        <v>0.85724752223840139</v>
      </c>
      <c r="AG6" s="6">
        <f>AF6/AH10-1</f>
        <v>-3.2330821033457191E-3</v>
      </c>
      <c r="AH6" s="6">
        <f t="shared" si="16"/>
        <v>0.90463843647644138</v>
      </c>
      <c r="AI6" s="6">
        <f t="shared" si="17"/>
        <v>0.24501053255179583</v>
      </c>
      <c r="AJ6" s="6">
        <f t="shared" si="18"/>
        <v>0.24064256315540439</v>
      </c>
      <c r="AK6" s="6">
        <f t="shared" si="19"/>
        <v>4.7543261367284581E-3</v>
      </c>
      <c r="AL6" s="6">
        <f t="shared" si="20"/>
        <v>1.2794928696578003E-4</v>
      </c>
      <c r="AM6" s="6">
        <f t="shared" si="21"/>
        <v>1.4590573765820983E-3</v>
      </c>
      <c r="AN6" s="6">
        <f t="shared" si="22"/>
        <v>11.403403732701712</v>
      </c>
      <c r="AO6" s="6">
        <f t="shared" ref="AO6:AU6" si="25">AH6/AH10-1</f>
        <v>5.1870833972154973E-2</v>
      </c>
      <c r="AP6" s="6">
        <f t="shared" si="25"/>
        <v>-0.66772234189128876</v>
      </c>
      <c r="AQ6" s="6">
        <f t="shared" si="25"/>
        <v>-0.75001849757417527</v>
      </c>
      <c r="AR6" s="6">
        <f t="shared" si="25"/>
        <v>-6.3142981385627461E-2</v>
      </c>
      <c r="AS6" s="6">
        <f t="shared" si="25"/>
        <v>-0.15144934378245667</v>
      </c>
      <c r="AT6" s="6">
        <f t="shared" si="25"/>
        <v>0.12197253433208477</v>
      </c>
      <c r="AU6" s="6">
        <f t="shared" si="25"/>
        <v>0.32222222222222219</v>
      </c>
    </row>
    <row r="7" spans="1:47">
      <c r="A7" s="6" t="s">
        <v>216</v>
      </c>
      <c r="B7" s="6">
        <v>303.83</v>
      </c>
      <c r="C7" s="6">
        <v>14.03</v>
      </c>
      <c r="D7" s="6">
        <v>3.67</v>
      </c>
      <c r="E7" s="6">
        <v>2.34</v>
      </c>
      <c r="F7" s="6">
        <v>5.61</v>
      </c>
      <c r="G7" s="6">
        <v>1.91</v>
      </c>
      <c r="H7" s="6">
        <v>2.88</v>
      </c>
      <c r="I7" s="6">
        <f t="shared" si="1"/>
        <v>3.7125284425264815</v>
      </c>
      <c r="J7" s="6">
        <f t="shared" si="2"/>
        <v>2.213141741348339</v>
      </c>
      <c r="K7" s="6">
        <f t="shared" si="3"/>
        <v>3.9042856247519167</v>
      </c>
      <c r="L7" s="6">
        <f t="shared" si="4"/>
        <v>4.0094152011327209</v>
      </c>
      <c r="M7" s="6">
        <f t="shared" si="5"/>
        <v>0.79275746284501059</v>
      </c>
      <c r="N7" s="6">
        <f t="shared" si="6"/>
        <v>1.0682754085664636</v>
      </c>
      <c r="O7" s="6">
        <f t="shared" si="7"/>
        <v>38.740869673300047</v>
      </c>
      <c r="P7" s="6">
        <f t="shared" si="8"/>
        <v>42.234765942339934</v>
      </c>
      <c r="Q7" s="6">
        <v>187.7</v>
      </c>
      <c r="R7" s="6">
        <v>5.2</v>
      </c>
      <c r="S7" s="6">
        <v>82.3</v>
      </c>
      <c r="T7" s="6">
        <v>1.7999999999999999E-2</v>
      </c>
      <c r="U7" s="6">
        <f t="shared" si="9"/>
        <v>1.8769999999999998E-2</v>
      </c>
      <c r="V7" s="6">
        <f t="shared" si="10"/>
        <v>5.2000000000000006E-4</v>
      </c>
      <c r="W7" s="6">
        <f t="shared" si="11"/>
        <v>6.1578380156589244E-3</v>
      </c>
      <c r="X7" s="6">
        <f>(I7/I10-1)*100</f>
        <v>9.3957115009746683</v>
      </c>
      <c r="Y7" s="6">
        <f>(J7/J10-1)*100</f>
        <v>-23.937823834196891</v>
      </c>
      <c r="Z7" s="6">
        <f>(K7/K10-1)*100</f>
        <v>-1.0570824524313016</v>
      </c>
      <c r="AA7" s="6">
        <f t="shared" si="12"/>
        <v>39.242334154421137</v>
      </c>
      <c r="AB7" s="6">
        <f t="shared" si="13"/>
        <v>0.12557546929414765</v>
      </c>
      <c r="AC7" s="6">
        <f t="shared" si="14"/>
        <v>1.7266627027945299E-3</v>
      </c>
      <c r="AD7" s="6">
        <f>I10*(100-AB7)/100</f>
        <v>3.389407470035116</v>
      </c>
      <c r="AE7" s="6">
        <f>K10*(100-AC7)/100</f>
        <v>3.9459299439307478</v>
      </c>
      <c r="AF7" s="6">
        <f t="shared" si="15"/>
        <v>0.85896291069444319</v>
      </c>
      <c r="AG7" s="6">
        <f>AF7/AH10-1</f>
        <v>-1.2385094507941785E-3</v>
      </c>
      <c r="AH7" s="6">
        <f t="shared" si="16"/>
        <v>0.95088546262861606</v>
      </c>
      <c r="AI7" s="6">
        <f t="shared" si="17"/>
        <v>0.56684934301879231</v>
      </c>
      <c r="AJ7" s="6">
        <f t="shared" si="18"/>
        <v>1.026926712460358</v>
      </c>
      <c r="AK7" s="6">
        <f t="shared" si="19"/>
        <v>4.8075376148210645E-3</v>
      </c>
      <c r="AL7" s="6">
        <f t="shared" si="20"/>
        <v>1.3318697707549035E-4</v>
      </c>
      <c r="AM7" s="6">
        <f t="shared" si="21"/>
        <v>1.577199674281054E-3</v>
      </c>
      <c r="AN7" s="6">
        <f t="shared" si="22"/>
        <v>11.841996183959468</v>
      </c>
      <c r="AO7" s="6">
        <f t="shared" ref="AO7:AU7" si="26">AH7/AH10-1</f>
        <v>0.10564469102480833</v>
      </c>
      <c r="AP7" s="6">
        <f t="shared" si="26"/>
        <v>-0.23125193746955397</v>
      </c>
      <c r="AQ7" s="6">
        <f t="shared" si="26"/>
        <v>6.6780037146923599E-2</v>
      </c>
      <c r="AR7" s="6">
        <f t="shared" si="26"/>
        <v>-5.2657468762337567E-2</v>
      </c>
      <c r="AS7" s="6">
        <f t="shared" si="26"/>
        <v>-0.11671335200746924</v>
      </c>
      <c r="AT7" s="6">
        <f t="shared" si="26"/>
        <v>0.21282051282051295</v>
      </c>
      <c r="AU7" s="6">
        <f t="shared" si="26"/>
        <v>0.37307692307692264</v>
      </c>
    </row>
    <row r="8" spans="1:47">
      <c r="A8" s="6" t="s">
        <v>216</v>
      </c>
      <c r="B8" s="6">
        <v>305.93</v>
      </c>
      <c r="C8" s="6">
        <v>12.8</v>
      </c>
      <c r="D8" s="6">
        <v>5.13</v>
      </c>
      <c r="E8" s="6">
        <v>2.37</v>
      </c>
      <c r="F8" s="6">
        <v>4.66</v>
      </c>
      <c r="G8" s="6">
        <v>1.38</v>
      </c>
      <c r="H8" s="6">
        <v>3.17</v>
      </c>
      <c r="I8" s="6">
        <f t="shared" si="1"/>
        <v>3.3870537465672821</v>
      </c>
      <c r="J8" s="6">
        <f t="shared" si="2"/>
        <v>3.0935741507130734</v>
      </c>
      <c r="K8" s="6">
        <f t="shared" si="3"/>
        <v>3.954340568658993</v>
      </c>
      <c r="L8" s="6">
        <f t="shared" si="4"/>
        <v>3.3304589727769125</v>
      </c>
      <c r="M8" s="6">
        <f t="shared" si="5"/>
        <v>0.57277764331210179</v>
      </c>
      <c r="N8" s="6">
        <f t="shared" si="6"/>
        <v>1.1758448073457255</v>
      </c>
      <c r="O8" s="6">
        <f t="shared" si="7"/>
        <v>40.007083262367445</v>
      </c>
      <c r="P8" s="6">
        <f t="shared" si="8"/>
        <v>42.910177768010506</v>
      </c>
      <c r="Q8" s="6">
        <v>192</v>
      </c>
      <c r="R8" s="6">
        <v>5.3</v>
      </c>
      <c r="S8" s="6">
        <v>34.299999999999997</v>
      </c>
      <c r="T8" s="6">
        <v>2.1000000000000001E-2</v>
      </c>
      <c r="U8" s="6">
        <f t="shared" si="9"/>
        <v>1.9199999999999998E-2</v>
      </c>
      <c r="V8" s="6">
        <f t="shared" si="10"/>
        <v>5.2999999999999998E-4</v>
      </c>
      <c r="W8" s="6">
        <f t="shared" si="11"/>
        <v>7.184144351602079E-3</v>
      </c>
      <c r="X8" s="6">
        <f>(I8/I10-1)*100</f>
        <v>-0.19493177387911453</v>
      </c>
      <c r="Y8" s="6">
        <f>(J8/J10-1)*100</f>
        <v>6.3212435233160669</v>
      </c>
      <c r="Z8" s="6">
        <f>(K8/K10-1)*100</f>
        <v>0.21141649048626032</v>
      </c>
      <c r="AA8" s="6">
        <f t="shared" si="12"/>
        <v>-10.362694300518143</v>
      </c>
      <c r="AB8" s="6">
        <f t="shared" si="13"/>
        <v>-3.3160621761658057E-2</v>
      </c>
      <c r="AC8" s="6">
        <f t="shared" si="14"/>
        <v>-4.5595854922279828E-4</v>
      </c>
      <c r="AD8" s="6">
        <f>I10*(100-AB8)/100</f>
        <v>3.3947944476854683</v>
      </c>
      <c r="AE8" s="6">
        <f>K10*(100-AC8)/100</f>
        <v>3.9460160701234024</v>
      </c>
      <c r="AF8" s="6">
        <f t="shared" si="15"/>
        <v>0.86030933157839473</v>
      </c>
      <c r="AG8" s="6">
        <f>AF8/AH10-1</f>
        <v>3.27045140934068E-4</v>
      </c>
      <c r="AH8" s="6">
        <f t="shared" si="16"/>
        <v>0.85654072727375352</v>
      </c>
      <c r="AI8" s="6">
        <f t="shared" si="17"/>
        <v>0.78232365093484468</v>
      </c>
      <c r="AJ8" s="6">
        <f t="shared" si="18"/>
        <v>0.84222866365461968</v>
      </c>
      <c r="AK8" s="6">
        <f t="shared" si="19"/>
        <v>4.8554239743976218E-3</v>
      </c>
      <c r="AL8" s="6">
        <f t="shared" si="20"/>
        <v>1.3402993262660103E-4</v>
      </c>
      <c r="AM8" s="6">
        <f t="shared" si="21"/>
        <v>1.8167743083490622E-3</v>
      </c>
      <c r="AN8" s="6">
        <f t="shared" si="22"/>
        <v>13.554989342645433</v>
      </c>
      <c r="AO8" s="6">
        <f t="shared" ref="AO8:AU8" si="27">AH8/AH10-1</f>
        <v>-4.0549098954604235E-3</v>
      </c>
      <c r="AP8" s="6">
        <f t="shared" si="27"/>
        <v>6.096937102380795E-2</v>
      </c>
      <c r="AQ8" s="6">
        <f t="shared" si="27"/>
        <v>-0.12508583699505016</v>
      </c>
      <c r="AR8" s="6">
        <f t="shared" si="27"/>
        <v>-4.3221289843392019E-2</v>
      </c>
      <c r="AS8" s="6">
        <f t="shared" si="27"/>
        <v>-0.11112293018473185</v>
      </c>
      <c r="AT8" s="6">
        <f t="shared" si="27"/>
        <v>0.39704641350210967</v>
      </c>
      <c r="AU8" s="6">
        <f t="shared" si="27"/>
        <v>0.57169811320754715</v>
      </c>
    </row>
    <row r="9" spans="1:47">
      <c r="A9" s="6" t="s">
        <v>216</v>
      </c>
      <c r="B9" s="6">
        <v>308.3</v>
      </c>
      <c r="C9" s="6">
        <v>13.18</v>
      </c>
      <c r="D9" s="6">
        <v>4.74</v>
      </c>
      <c r="E9" s="6">
        <v>2.5099999999999998</v>
      </c>
      <c r="F9" s="6">
        <v>4.01</v>
      </c>
      <c r="G9" s="6">
        <v>2.14</v>
      </c>
      <c r="H9" s="6">
        <v>2.23</v>
      </c>
      <c r="I9" s="6">
        <f t="shared" si="1"/>
        <v>3.4876069046684979</v>
      </c>
      <c r="J9" s="6">
        <f t="shared" si="2"/>
        <v>2.8583901509512608</v>
      </c>
      <c r="K9" s="6">
        <f t="shared" si="3"/>
        <v>4.1879303068920128</v>
      </c>
      <c r="L9" s="6">
        <f t="shared" si="4"/>
        <v>2.8659099744282015</v>
      </c>
      <c r="M9" s="6">
        <f t="shared" si="5"/>
        <v>0.88822040339702768</v>
      </c>
      <c r="N9" s="6">
        <f t="shared" si="6"/>
        <v>0.82717158371639365</v>
      </c>
      <c r="O9" s="6">
        <f t="shared" si="7"/>
        <v>43.222782193927408</v>
      </c>
      <c r="P9" s="6">
        <f t="shared" si="8"/>
        <v>48.569255200666369</v>
      </c>
      <c r="Q9" s="6">
        <v>165.6</v>
      </c>
      <c r="R9" s="6">
        <v>4.9000000000000004</v>
      </c>
      <c r="S9" s="6">
        <v>81.900000000000006</v>
      </c>
      <c r="T9" s="6">
        <v>1.7000000000000001E-2</v>
      </c>
      <c r="U9" s="6">
        <f t="shared" si="9"/>
        <v>1.6559999999999998E-2</v>
      </c>
      <c r="V9" s="6">
        <f t="shared" si="10"/>
        <v>4.8999999999999998E-4</v>
      </c>
      <c r="W9" s="6">
        <f t="shared" si="11"/>
        <v>5.8157359036778737E-3</v>
      </c>
      <c r="X9" s="6">
        <f>(I9/I10-1)*100</f>
        <v>2.7680311890838416</v>
      </c>
      <c r="Y9" s="6">
        <f>(J9/J10-1)*100</f>
        <v>-1.7616580310880869</v>
      </c>
      <c r="Z9" s="6">
        <f>(K9/K10-1)*100</f>
        <v>6.1310782241014605</v>
      </c>
      <c r="AA9" s="6">
        <f t="shared" si="12"/>
        <v>2.8879639853903067</v>
      </c>
      <c r="AB9" s="6">
        <f t="shared" si="13"/>
        <v>9.2414847532489817E-3</v>
      </c>
      <c r="AC9" s="6">
        <f t="shared" si="14"/>
        <v>1.270704153571735E-4</v>
      </c>
      <c r="AD9" s="6">
        <f>I10*(100-AB9)/100</f>
        <v>3.3933554605048948</v>
      </c>
      <c r="AE9" s="6">
        <f>K10*(100-AC9)/100</f>
        <v>3.9459930638116663</v>
      </c>
      <c r="AF9" s="6">
        <f t="shared" si="15"/>
        <v>0.8599496769583912</v>
      </c>
      <c r="AG9" s="6">
        <f>AF9/AH10-1</f>
        <v>-9.1144259196318522E-5</v>
      </c>
      <c r="AH9" s="6">
        <f t="shared" si="16"/>
        <v>0.83277577445092543</v>
      </c>
      <c r="AI9" s="6">
        <f t="shared" si="17"/>
        <v>0.68253049632828222</v>
      </c>
      <c r="AJ9" s="6">
        <f t="shared" si="18"/>
        <v>0.68432609055404225</v>
      </c>
      <c r="AK9" s="6">
        <f t="shared" si="19"/>
        <v>3.9542205305440397E-3</v>
      </c>
      <c r="AL9" s="6">
        <f t="shared" si="20"/>
        <v>1.170029021718949E-4</v>
      </c>
      <c r="AM9" s="6">
        <f t="shared" si="21"/>
        <v>1.388689753052243E-3</v>
      </c>
      <c r="AN9" s="6">
        <f t="shared" si="22"/>
        <v>11.86884878301607</v>
      </c>
      <c r="AO9" s="6">
        <f t="shared" ref="AO9:AU9" si="28">AH9/AH10-1</f>
        <v>-3.1687674254249676E-2</v>
      </c>
      <c r="AP9" s="6">
        <f t="shared" si="28"/>
        <v>-7.4367813719216191E-2</v>
      </c>
      <c r="AQ9" s="6">
        <f t="shared" si="28"/>
        <v>-0.28911634740436165</v>
      </c>
      <c r="AR9" s="6">
        <f t="shared" si="28"/>
        <v>-0.22080666099646351</v>
      </c>
      <c r="AS9" s="6">
        <f t="shared" si="28"/>
        <v>-0.22404499648464937</v>
      </c>
      <c r="AT9" s="6">
        <f t="shared" si="28"/>
        <v>6.7861885790172938E-2</v>
      </c>
      <c r="AU9" s="6">
        <f t="shared" si="28"/>
        <v>0.37619047619047641</v>
      </c>
    </row>
    <row r="10" spans="1:47" s="2" customFormat="1">
      <c r="A10" s="2" t="s">
        <v>42</v>
      </c>
      <c r="B10" s="2" t="s">
        <v>43</v>
      </c>
      <c r="C10" s="2">
        <f>AVERAGE(11.97,  13.68)</f>
        <v>12.824999999999999</v>
      </c>
      <c r="D10" s="2">
        <f>AVERAGE(4.5,5.15)</f>
        <v>4.8250000000000002</v>
      </c>
      <c r="E10" s="2">
        <f>AVERAGE(2.55,2.18)</f>
        <v>2.3650000000000002</v>
      </c>
      <c r="F10" s="2">
        <f>AVERAGE(6.03,4.6)</f>
        <v>5.3149999999999995</v>
      </c>
      <c r="G10" s="2">
        <f>AVERAGE(2.38,1.99)</f>
        <v>2.1850000000000001</v>
      </c>
      <c r="H10" s="2">
        <f>AVERAGE(1.91,2.4)</f>
        <v>2.1549999999999998</v>
      </c>
      <c r="I10" s="2">
        <f t="shared" si="1"/>
        <v>3.3936690859160454</v>
      </c>
      <c r="J10" s="2">
        <f t="shared" si="2"/>
        <v>2.9096482021813994</v>
      </c>
      <c r="K10" s="2">
        <f t="shared" si="3"/>
        <v>3.9459980780078139</v>
      </c>
      <c r="L10" s="2">
        <f t="shared" si="4"/>
        <v>3.7985814249590746</v>
      </c>
      <c r="M10" s="2">
        <f t="shared" si="5"/>
        <v>0.9068979352441614</v>
      </c>
      <c r="N10" s="2">
        <f t="shared" si="6"/>
        <v>0.79935191161830865</v>
      </c>
      <c r="Q10" s="2">
        <f>AVERAGE(220.5,180)</f>
        <v>200.25</v>
      </c>
      <c r="R10" s="2">
        <f>AVERAGE(6.6,5.3)</f>
        <v>5.9499999999999993</v>
      </c>
      <c r="S10" s="2">
        <f>AVERAGE(91.5,79.8)</f>
        <v>85.65</v>
      </c>
      <c r="T10" s="2">
        <f>AVERAGE(0.014, 0.016)</f>
        <v>1.4999999999999999E-2</v>
      </c>
      <c r="U10" s="2">
        <f t="shared" si="9"/>
        <v>2.0025000000000001E-2</v>
      </c>
      <c r="V10" s="2">
        <f t="shared" si="10"/>
        <v>5.9499999999999993E-4</v>
      </c>
      <c r="W10" s="2">
        <f t="shared" si="11"/>
        <v>5.1315316797157706E-3</v>
      </c>
      <c r="AH10" s="2">
        <f t="shared" si="16"/>
        <v>0.86002806357913419</v>
      </c>
      <c r="AI10" s="2">
        <f>J10/K10</f>
        <v>0.73736685742390717</v>
      </c>
      <c r="AJ10" s="2">
        <f t="shared" si="18"/>
        <v>0.96264147875024708</v>
      </c>
      <c r="AK10" s="2">
        <f t="shared" si="19"/>
        <v>5.0747617216554426E-3</v>
      </c>
      <c r="AL10" s="2">
        <f t="shared" si="20"/>
        <v>1.5078567912034895E-4</v>
      </c>
      <c r="AM10" s="2">
        <f t="shared" si="21"/>
        <v>1.3004394777370212E-3</v>
      </c>
      <c r="AN10" s="2">
        <f t="shared" si="22"/>
        <v>8.6244229911189425</v>
      </c>
    </row>
    <row r="11" spans="1:47">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9"/>
      <c r="AH11" s="3"/>
      <c r="AI11" s="39"/>
      <c r="AJ11" s="39"/>
      <c r="AK11" s="39"/>
      <c r="AL11" s="39"/>
      <c r="AM11" s="39"/>
      <c r="AN11" s="39" t="s">
        <v>97</v>
      </c>
      <c r="AO11" s="6">
        <f>_xlfn.VAR.P(AO3:AO9)</f>
        <v>1.3677514853644818E-2</v>
      </c>
      <c r="AP11" s="3"/>
    </row>
    <row r="12" spans="1:47">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67" t="s">
        <v>98</v>
      </c>
      <c r="AO12" s="3">
        <f>AVERAGE(AO3:AO9)</f>
        <v>8.0963259767321744E-2</v>
      </c>
      <c r="AP12" s="3"/>
    </row>
    <row r="13" spans="1:47">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row>
    <row r="14" spans="1:47">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row>
    <row r="15" spans="1:47">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row>
    <row r="16" spans="1:4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row>
    <row r="17" spans="2:42">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row>
    <row r="18" spans="2:42">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row>
    <row r="19" spans="2:42">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row>
  </sheetData>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28"/>
  <sheetViews>
    <sheetView zoomScale="80" zoomScaleNormal="80" workbookViewId="0">
      <selection activeCell="M9" sqref="M9"/>
    </sheetView>
  </sheetViews>
  <sheetFormatPr defaultRowHeight="14.5"/>
  <cols>
    <col min="1" max="1" width="14" style="6" customWidth="1"/>
    <col min="2" max="2" width="13.453125" style="6" customWidth="1"/>
    <col min="3" max="19" width="8.7265625" style="6"/>
    <col min="20" max="20" width="11.81640625" style="6" customWidth="1"/>
    <col min="21" max="21" width="13.26953125" style="6" customWidth="1"/>
    <col min="22" max="22" width="11.81640625" style="6" customWidth="1"/>
    <col min="23" max="23" width="16.54296875" style="6" customWidth="1"/>
    <col min="24" max="24" width="19.54296875" style="6" customWidth="1"/>
    <col min="25" max="25" width="19" style="6" customWidth="1"/>
    <col min="26" max="26" width="11.54296875" style="6" customWidth="1"/>
    <col min="27" max="27" width="11.6328125" style="6" customWidth="1"/>
    <col min="28" max="28" width="14.26953125" style="6" customWidth="1"/>
    <col min="29" max="29" width="17.36328125" style="6" customWidth="1"/>
    <col min="30" max="33" width="8.7265625" style="6"/>
    <col min="34" max="34" width="11.6328125" style="6" bestFit="1" customWidth="1"/>
    <col min="35" max="16384" width="8.7265625" style="6"/>
  </cols>
  <sheetData>
    <row r="1" spans="1:35">
      <c r="A1" s="81" t="s">
        <v>184</v>
      </c>
      <c r="B1" s="81"/>
      <c r="C1" s="81"/>
      <c r="D1" s="81"/>
      <c r="E1" s="81"/>
      <c r="F1" s="81"/>
      <c r="G1" s="81"/>
      <c r="H1" s="81"/>
      <c r="I1" s="81"/>
      <c r="J1" s="81"/>
      <c r="K1" s="81"/>
      <c r="L1" s="81"/>
      <c r="M1" s="81"/>
      <c r="N1" s="81"/>
      <c r="O1" s="81"/>
      <c r="P1" s="81"/>
      <c r="Q1" s="91"/>
      <c r="R1" s="91"/>
      <c r="S1" s="91"/>
      <c r="T1" s="81"/>
      <c r="U1" s="81"/>
      <c r="V1" s="81"/>
      <c r="W1" s="81"/>
    </row>
    <row r="2" spans="1:35">
      <c r="A2" s="1" t="s">
        <v>196</v>
      </c>
      <c r="B2" s="1" t="s">
        <v>20</v>
      </c>
      <c r="C2" s="1" t="s">
        <v>1</v>
      </c>
      <c r="D2" s="1" t="s">
        <v>2</v>
      </c>
      <c r="E2" s="1" t="s">
        <v>3</v>
      </c>
      <c r="F2" s="1" t="s">
        <v>48</v>
      </c>
      <c r="G2" s="1" t="s">
        <v>49</v>
      </c>
      <c r="H2" s="1" t="s">
        <v>50</v>
      </c>
      <c r="I2" s="1" t="s">
        <v>4</v>
      </c>
      <c r="J2" s="1" t="s">
        <v>5</v>
      </c>
      <c r="K2" s="1" t="s">
        <v>6</v>
      </c>
      <c r="L2" s="1" t="s">
        <v>45</v>
      </c>
      <c r="M2" s="1" t="s">
        <v>46</v>
      </c>
      <c r="N2" s="1" t="s">
        <v>47</v>
      </c>
      <c r="O2" s="1" t="s">
        <v>51</v>
      </c>
      <c r="P2" s="1" t="s">
        <v>52</v>
      </c>
      <c r="Q2" s="1" t="s">
        <v>110</v>
      </c>
      <c r="R2" s="1" t="s">
        <v>109</v>
      </c>
      <c r="S2" s="1" t="s">
        <v>378</v>
      </c>
      <c r="T2" s="1" t="s">
        <v>7</v>
      </c>
      <c r="U2" s="1" t="s">
        <v>8</v>
      </c>
      <c r="V2" s="1" t="s">
        <v>9</v>
      </c>
      <c r="W2" s="1" t="s">
        <v>10</v>
      </c>
      <c r="X2" s="1" t="s">
        <v>11</v>
      </c>
      <c r="Y2" s="1" t="s">
        <v>12</v>
      </c>
      <c r="Z2" s="1" t="s">
        <v>13</v>
      </c>
      <c r="AA2" s="1" t="s">
        <v>14</v>
      </c>
      <c r="AB2" s="1" t="s">
        <v>15</v>
      </c>
      <c r="AC2" s="1" t="s">
        <v>460</v>
      </c>
      <c r="AD2" s="1" t="s">
        <v>16</v>
      </c>
      <c r="AE2" s="1" t="s">
        <v>17</v>
      </c>
      <c r="AF2" s="1" t="s">
        <v>107</v>
      </c>
      <c r="AG2" s="1" t="s">
        <v>459</v>
      </c>
      <c r="AH2" s="1" t="s">
        <v>461</v>
      </c>
      <c r="AI2" s="1" t="s">
        <v>462</v>
      </c>
    </row>
    <row r="3" spans="1:35" s="15" customFormat="1">
      <c r="A3" s="15" t="s">
        <v>379</v>
      </c>
      <c r="B3" s="96">
        <v>720.73</v>
      </c>
      <c r="C3" s="97">
        <v>22.76</v>
      </c>
      <c r="D3" s="97">
        <v>0.71</v>
      </c>
      <c r="E3" s="97">
        <v>4.28</v>
      </c>
      <c r="F3" s="97">
        <v>0.23</v>
      </c>
      <c r="G3" s="97">
        <v>7.69</v>
      </c>
      <c r="H3" s="97">
        <v>0.32</v>
      </c>
      <c r="I3" s="15">
        <f t="shared" ref="I3:I8" si="0">C3*26.98/101.96</f>
        <v>6.0226049431149482</v>
      </c>
      <c r="J3" s="15">
        <f t="shared" ref="J3:J8" si="1">D3*24.305/40.3044</f>
        <v>0.4281554867458639</v>
      </c>
      <c r="K3" s="15">
        <f t="shared" ref="K3:K8" si="2">E3*79.866/47.867</f>
        <v>7.1411719974094892</v>
      </c>
      <c r="L3" s="15">
        <f t="shared" ref="L3:L8" si="3">F3*40.078/56.0774</f>
        <v>0.16437887633877463</v>
      </c>
      <c r="M3" s="15">
        <f t="shared" ref="M3:M8" si="4">G3*39.0983/94.2</f>
        <v>3.1917826645435246</v>
      </c>
      <c r="N3" s="15">
        <f t="shared" ref="N3:N8" si="5">H3*22.989769/61.9789</f>
        <v>0.11869726761849596</v>
      </c>
      <c r="O3" s="15">
        <f>100*(I3/(I3+L3+M3+N3))</f>
        <v>63.4127710367977</v>
      </c>
      <c r="P3" s="15">
        <f>100*(I3/(I3+L3+N3))</f>
        <v>95.510776075599054</v>
      </c>
      <c r="Q3" s="15">
        <v>154</v>
      </c>
      <c r="R3" s="15">
        <v>2.2999999999999998</v>
      </c>
      <c r="S3" s="15">
        <v>197</v>
      </c>
      <c r="T3" s="15">
        <f>I3/I8-1</f>
        <v>0.71946612943842858</v>
      </c>
      <c r="U3" s="15">
        <f>J3/J8-1</f>
        <v>-0.86712414223331258</v>
      </c>
      <c r="V3" s="15">
        <f>K3/K8-1</f>
        <v>0.88269794721407613</v>
      </c>
      <c r="W3" s="15">
        <f>U3/-0.61</f>
        <v>1.4215149872677255</v>
      </c>
      <c r="X3" s="15">
        <f>W3*0.0032</f>
        <v>4.5488479592567218E-3</v>
      </c>
      <c r="Y3" s="15">
        <f>W3*0.000044</f>
        <v>6.2546659439779916E-5</v>
      </c>
      <c r="Z3" s="15">
        <f>I8*(100-X3)/100</f>
        <v>3.5024423458342682</v>
      </c>
      <c r="AA3" s="15">
        <f>K8*(100-Y3)/100</f>
        <v>3.7930500436419492</v>
      </c>
      <c r="AB3" s="15">
        <f>Z3/AA3</f>
        <v>0.92338416459998773</v>
      </c>
      <c r="AC3" s="15">
        <f>AB3/AD8-1</f>
        <v>-4.48630410583295E-5</v>
      </c>
      <c r="AD3" s="15">
        <f t="shared" ref="AD3:AD8" si="6">I3/K3</f>
        <v>0.84336365869631635</v>
      </c>
      <c r="AE3" s="15">
        <f t="shared" ref="AE3:AE8" si="7">J3/K3</f>
        <v>5.9955912965151986E-2</v>
      </c>
      <c r="AF3" s="15">
        <f t="shared" ref="AF3:AF8" si="8">L3/K3</f>
        <v>2.3018473213977233E-2</v>
      </c>
      <c r="AG3" s="15">
        <f>AD3/AD8-1</f>
        <v>-8.6701012245320563E-2</v>
      </c>
      <c r="AH3" s="15">
        <f>AE3/AE8-1</f>
        <v>-0.92942263629526412</v>
      </c>
      <c r="AI3" s="15">
        <f>AF3/AF8-1</f>
        <v>-0.98374743560519717</v>
      </c>
    </row>
    <row r="4" spans="1:35">
      <c r="A4" s="6" t="s">
        <v>379</v>
      </c>
      <c r="B4" s="79">
        <v>721.29</v>
      </c>
      <c r="C4" s="43">
        <v>20.309999999999999</v>
      </c>
      <c r="D4" s="43">
        <v>0.86</v>
      </c>
      <c r="E4" s="43">
        <v>3.81</v>
      </c>
      <c r="F4" s="43">
        <v>0.31</v>
      </c>
      <c r="G4" s="43">
        <v>6.62</v>
      </c>
      <c r="H4" s="43">
        <v>0.18</v>
      </c>
      <c r="I4" s="6">
        <f t="shared" si="0"/>
        <v>5.3743016869360538</v>
      </c>
      <c r="J4" s="6">
        <f t="shared" si="1"/>
        <v>0.51861087126963801</v>
      </c>
      <c r="K4" s="6">
        <f t="shared" si="2"/>
        <v>6.3569778761986342</v>
      </c>
      <c r="L4" s="6">
        <f t="shared" si="3"/>
        <v>0.22155413767400062</v>
      </c>
      <c r="M4" s="6">
        <f t="shared" si="4"/>
        <v>2.7476724628450109</v>
      </c>
      <c r="N4" s="6">
        <f t="shared" si="5"/>
        <v>6.6767213035403977E-2</v>
      </c>
      <c r="O4" s="6">
        <f>100*(I4/(I4+L4+M4+N4))</f>
        <v>63.901460853814676</v>
      </c>
      <c r="P4" s="6">
        <f>100*(I4/(I4+L4+N4))</f>
        <v>94.90834285113759</v>
      </c>
      <c r="Q4" s="6">
        <v>226</v>
      </c>
      <c r="R4" s="6">
        <v>2.7</v>
      </c>
      <c r="S4" s="6">
        <v>207</v>
      </c>
      <c r="T4" s="6">
        <f>I4/I8-1</f>
        <v>0.534374213044573</v>
      </c>
      <c r="U4" s="6">
        <f>J4/J8-1</f>
        <v>-0.83905177791640673</v>
      </c>
      <c r="V4" s="6">
        <f>K4/K8-1</f>
        <v>0.6759530791788857</v>
      </c>
      <c r="W4" s="6">
        <f>U4/-0.61</f>
        <v>1.3754947178957488</v>
      </c>
      <c r="X4" s="6">
        <f>W4*0.0032</f>
        <v>4.4015830972663969E-3</v>
      </c>
      <c r="Y4" s="6">
        <f>W4*0.000044</f>
        <v>6.0521767587412948E-5</v>
      </c>
      <c r="Z4" s="6">
        <f>I8*(100-X4)/100</f>
        <v>3.5024475039357892</v>
      </c>
      <c r="AA4" s="6">
        <f>K8*(100-Y4)/100</f>
        <v>3.7930501204471585</v>
      </c>
      <c r="AB4" s="6">
        <f>Z4/AA4</f>
        <v>0.9233855057846927</v>
      </c>
      <c r="AC4" s="6">
        <f>AB4/AD8-1</f>
        <v>-4.3410639569696485E-5</v>
      </c>
      <c r="AD4" s="6">
        <f t="shared" si="6"/>
        <v>0.84541771130872578</v>
      </c>
      <c r="AE4" s="6">
        <f t="shared" si="7"/>
        <v>8.1581355381365364E-2</v>
      </c>
      <c r="AF4" s="6">
        <f t="shared" si="8"/>
        <v>3.4852117152008442E-2</v>
      </c>
      <c r="AG4" s="6">
        <f>AD4/AD8-1</f>
        <v>-8.4476628787052643E-2</v>
      </c>
      <c r="AH4" s="6">
        <f>AE4/AE8-1</f>
        <v>-0.90396615270252789</v>
      </c>
      <c r="AI4" s="6">
        <f>AF4/AF8-1</f>
        <v>-0.97539210037769664</v>
      </c>
    </row>
    <row r="5" spans="1:35">
      <c r="A5" s="6" t="s">
        <v>379</v>
      </c>
      <c r="B5" s="79">
        <v>723.34</v>
      </c>
      <c r="C5" s="43">
        <v>15.47</v>
      </c>
      <c r="D5" s="43">
        <v>1.24</v>
      </c>
      <c r="E5" s="43">
        <v>2.74</v>
      </c>
      <c r="F5" s="43">
        <v>0.23</v>
      </c>
      <c r="G5" s="43">
        <v>6.29</v>
      </c>
      <c r="H5" s="43">
        <v>0.12</v>
      </c>
      <c r="I5" s="6">
        <f t="shared" si="0"/>
        <v>4.0935719890153006</v>
      </c>
      <c r="J5" s="6">
        <f t="shared" si="1"/>
        <v>0.74776451206319894</v>
      </c>
      <c r="K5" s="6">
        <f t="shared" si="2"/>
        <v>4.5716848768462617</v>
      </c>
      <c r="L5" s="6">
        <f t="shared" si="3"/>
        <v>0.16437887633877463</v>
      </c>
      <c r="M5" s="6">
        <f t="shared" si="4"/>
        <v>2.6107038959660298</v>
      </c>
      <c r="N5" s="6">
        <f t="shared" si="5"/>
        <v>4.4511475356935983E-2</v>
      </c>
      <c r="O5" s="6">
        <f>100*(I5/(I5+L5+M5+N5))</f>
        <v>59.214140798427586</v>
      </c>
      <c r="P5" s="6">
        <f>100*(I5/(I5+L5+N5))</f>
        <v>95.144865076002262</v>
      </c>
      <c r="Q5" s="6">
        <v>161</v>
      </c>
      <c r="R5" s="6">
        <v>1.7</v>
      </c>
      <c r="S5" s="6">
        <v>344</v>
      </c>
      <c r="T5" s="6">
        <f>I5/I8-1</f>
        <v>0.16872324351548729</v>
      </c>
      <c r="U5" s="6">
        <f>J5/J8-1</f>
        <v>-0.76793512164691213</v>
      </c>
      <c r="V5" s="6">
        <f>K5/K8-1</f>
        <v>0.20527859237536661</v>
      </c>
      <c r="W5" s="6">
        <f>U5/-0.61</f>
        <v>1.2589100354867413</v>
      </c>
      <c r="X5" s="6">
        <f>W5*0.0032</f>
        <v>4.0285121135575719E-3</v>
      </c>
      <c r="Y5" s="6">
        <f>W5*0.000044</f>
        <v>5.5392041561416615E-5</v>
      </c>
      <c r="Z5" s="6">
        <f>I8*(100-X5)/100</f>
        <v>3.5024605711263086</v>
      </c>
      <c r="AA5" s="6">
        <f>K8*(100-Y5)/100</f>
        <v>3.7930503150203556</v>
      </c>
      <c r="AB5" s="6">
        <f>Z5/AA5</f>
        <v>0.9233889034523689</v>
      </c>
      <c r="AC5" s="6">
        <f>AB5/AD8-1</f>
        <v>-3.9731222728045523E-5</v>
      </c>
      <c r="AD5" s="6">
        <f t="shared" si="6"/>
        <v>0.89541866932858605</v>
      </c>
      <c r="AE5" s="6">
        <f t="shared" si="7"/>
        <v>0.16356431648435008</v>
      </c>
      <c r="AF5" s="6">
        <f t="shared" si="8"/>
        <v>3.5955863268548383E-2</v>
      </c>
      <c r="AG5" s="6">
        <f>AD5/AD8-1</f>
        <v>-3.0329377034595706E-2</v>
      </c>
      <c r="AH5" s="6">
        <f>AE5/AE8-1</f>
        <v>-0.80745955348320442</v>
      </c>
      <c r="AI5" s="6">
        <f>AF5/AF8-1</f>
        <v>-0.97461278262417661</v>
      </c>
    </row>
    <row r="6" spans="1:35">
      <c r="A6" s="6" t="s">
        <v>380</v>
      </c>
      <c r="B6" s="79">
        <v>724.23</v>
      </c>
      <c r="C6" s="43">
        <v>17.010000000000002</v>
      </c>
      <c r="D6" s="43">
        <v>2.83</v>
      </c>
      <c r="E6" s="43">
        <v>3.35</v>
      </c>
      <c r="F6" s="43">
        <v>0.96</v>
      </c>
      <c r="G6" s="43">
        <v>6.14</v>
      </c>
      <c r="H6" s="43">
        <v>0.18</v>
      </c>
      <c r="I6" s="6">
        <f t="shared" si="0"/>
        <v>4.5010768928991771</v>
      </c>
      <c r="J6" s="6">
        <f t="shared" si="1"/>
        <v>1.7065915880152045</v>
      </c>
      <c r="K6" s="6">
        <f t="shared" si="2"/>
        <v>5.5894687362901383</v>
      </c>
      <c r="L6" s="6">
        <f t="shared" si="3"/>
        <v>0.68610313602271145</v>
      </c>
      <c r="M6" s="6">
        <f t="shared" si="4"/>
        <v>2.5484454564755836</v>
      </c>
      <c r="N6" s="6">
        <f t="shared" si="5"/>
        <v>6.6767213035403977E-2</v>
      </c>
      <c r="O6" s="6">
        <f>100*(I6/(I6+L6+M6+N6))</f>
        <v>57.688417731181694</v>
      </c>
      <c r="P6" s="6">
        <f>100*(I6/(I6+L6+N6))</f>
        <v>85.670386199431221</v>
      </c>
      <c r="Q6" s="6">
        <v>144</v>
      </c>
      <c r="R6" s="6">
        <v>1.5</v>
      </c>
      <c r="S6" s="6">
        <v>283</v>
      </c>
      <c r="T6" s="6">
        <f>I6/I8-1</f>
        <v>0.28506673382019643</v>
      </c>
      <c r="U6" s="6">
        <f>J6/J8-1</f>
        <v>-0.47036805988771047</v>
      </c>
      <c r="V6" s="6">
        <f>K6/K8-1</f>
        <v>0.4736070381231674</v>
      </c>
      <c r="W6" s="6">
        <f>U6/-0.61</f>
        <v>0.77109518014378764</v>
      </c>
      <c r="X6" s="6">
        <f>W6*0.0032</f>
        <v>2.4675045764601207E-3</v>
      </c>
      <c r="Y6" s="6">
        <f>W6*0.000044</f>
        <v>3.3928187926326659E-5</v>
      </c>
      <c r="Z6" s="6">
        <f>I8*(100-X6)/100</f>
        <v>3.5025152470024326</v>
      </c>
      <c r="AA6" s="6">
        <f>K8*(100-Y6)/100</f>
        <v>3.793051129155574</v>
      </c>
      <c r="AB6" s="6">
        <f>Z6/AA6</f>
        <v>0.92340312000544489</v>
      </c>
      <c r="AC6" s="6">
        <f>AB6/AD8-1</f>
        <v>-2.433577214189242E-5</v>
      </c>
      <c r="AD6" s="6">
        <f t="shared" si="6"/>
        <v>0.80527812306660251</v>
      </c>
      <c r="AE6" s="6">
        <f t="shared" si="7"/>
        <v>0.30532268244654492</v>
      </c>
      <c r="AF6" s="6">
        <f t="shared" si="8"/>
        <v>0.1227492572895388</v>
      </c>
      <c r="AG6" s="6">
        <f>AD6/AD8-1</f>
        <v>-0.1279447637160458</v>
      </c>
      <c r="AH6" s="6">
        <f>AE6/AE8-1</f>
        <v>-0.64058807646111293</v>
      </c>
      <c r="AI6" s="6">
        <f>AF6/AF8-1</f>
        <v>-0.91333090644339276</v>
      </c>
    </row>
    <row r="7" spans="1:35">
      <c r="A7" s="6" t="s">
        <v>380</v>
      </c>
      <c r="B7" s="79">
        <v>724.55</v>
      </c>
      <c r="C7" s="43">
        <v>18.84</v>
      </c>
      <c r="D7" s="43">
        <v>5.84</v>
      </c>
      <c r="E7" s="43">
        <v>3.23</v>
      </c>
      <c r="F7" s="43">
        <v>3.31</v>
      </c>
      <c r="G7" s="43">
        <v>4.28</v>
      </c>
      <c r="H7" s="43">
        <v>0.02</v>
      </c>
      <c r="I7" s="6">
        <f t="shared" si="0"/>
        <v>4.9853197332287174</v>
      </c>
      <c r="J7" s="6">
        <f t="shared" si="1"/>
        <v>3.5217296374589369</v>
      </c>
      <c r="K7" s="6">
        <f t="shared" si="2"/>
        <v>5.3892489606618339</v>
      </c>
      <c r="L7" s="6">
        <f t="shared" si="3"/>
        <v>2.3656264377449743</v>
      </c>
      <c r="M7" s="6">
        <f t="shared" si="4"/>
        <v>1.7764408067940554</v>
      </c>
      <c r="N7" s="6">
        <f t="shared" si="5"/>
        <v>7.4185792261559974E-3</v>
      </c>
      <c r="O7" s="6">
        <f>100*(I7/(I7+L7+M7+N7))</f>
        <v>54.574995626609649</v>
      </c>
      <c r="P7" s="6">
        <f>100*(I7/(I7+L7+N7))</f>
        <v>67.750375286755386</v>
      </c>
      <c r="Q7" s="6">
        <v>139</v>
      </c>
      <c r="R7" s="6">
        <v>1.5</v>
      </c>
      <c r="S7" s="6">
        <v>50.9</v>
      </c>
      <c r="T7" s="6">
        <f>I7/I8-1</f>
        <v>0.42331906320825974</v>
      </c>
      <c r="U7" s="6">
        <f>J7/J8-1</f>
        <v>9.2950717404865602E-2</v>
      </c>
      <c r="V7" s="6">
        <f>K7/K8-1</f>
        <v>0.42082111436950131</v>
      </c>
      <c r="W7" s="6">
        <f>U7/-0.61</f>
        <v>-0.15237822525387804</v>
      </c>
      <c r="X7" s="6">
        <f>W7*0.0032</f>
        <v>-4.8761032081240976E-4</v>
      </c>
      <c r="Y7" s="6">
        <f>W7*0.000044</f>
        <v>-6.7046419111706333E-6</v>
      </c>
      <c r="Z7" s="6">
        <f>I8*(100-X7)/100</f>
        <v>3.5026187529062889</v>
      </c>
      <c r="AA7" s="6">
        <f>K8*(100-Y7)/100</f>
        <v>3.7930526703801082</v>
      </c>
      <c r="AB7" s="6">
        <f>Z7/AA7</f>
        <v>0.92343003308606453</v>
      </c>
      <c r="AC7" s="6">
        <f>AB7/AD8-1</f>
        <v>4.8090564666036784E-6</v>
      </c>
      <c r="AD7" s="6">
        <f t="shared" si="6"/>
        <v>0.92504906891822059</v>
      </c>
      <c r="AE7" s="6">
        <f t="shared" si="7"/>
        <v>0.65347317653449921</v>
      </c>
      <c r="AF7" s="6">
        <f t="shared" si="8"/>
        <v>0.43895289585108727</v>
      </c>
      <c r="AG7" s="6">
        <f>AD7/AD8-1</f>
        <v>1.7581022786721245E-3</v>
      </c>
      <c r="AH7" s="6">
        <f>AE7/AE8-1</f>
        <v>-0.23076120818357226</v>
      </c>
      <c r="AI7" s="6">
        <f>AF7/AF8-1</f>
        <v>-0.69007022577965715</v>
      </c>
    </row>
    <row r="8" spans="1:35" s="2" customFormat="1">
      <c r="A8" s="2" t="s">
        <v>42</v>
      </c>
      <c r="B8" s="40" t="s">
        <v>154</v>
      </c>
      <c r="C8" s="44">
        <f>AVERAGE(13.78,13.24,12.69)</f>
        <v>13.236666666666666</v>
      </c>
      <c r="D8" s="44">
        <f>AVERAGE(5.7,5.03,5.3)</f>
        <v>5.3433333333333337</v>
      </c>
      <c r="E8" s="44">
        <f>AVERAGE(2.35,2.24,2.23)</f>
        <v>2.2733333333333334</v>
      </c>
      <c r="F8" s="44">
        <f>AVERAGE(5.55,8.53,8.47)</f>
        <v>7.5166666666666657</v>
      </c>
      <c r="G8" s="44">
        <f>AVERAGE(0.52,0.26,0.26)</f>
        <v>0.34666666666666668</v>
      </c>
      <c r="H8" s="44">
        <f>AVERAGE(2.88,2.29,2.24)</f>
        <v>2.4700000000000002</v>
      </c>
      <c r="I8" s="2">
        <f t="shared" si="0"/>
        <v>3.5026016738590302</v>
      </c>
      <c r="J8" s="2">
        <f t="shared" si="1"/>
        <v>3.2222218087024412</v>
      </c>
      <c r="K8" s="2">
        <f t="shared" si="2"/>
        <v>3.7930524160695263</v>
      </c>
      <c r="L8" s="2">
        <f t="shared" si="3"/>
        <v>5.3720922629556052</v>
      </c>
      <c r="M8" s="2">
        <f t="shared" si="4"/>
        <v>0.14388617126680822</v>
      </c>
      <c r="N8" s="2">
        <f t="shared" si="5"/>
        <v>0.91619453443026577</v>
      </c>
      <c r="Q8" s="2">
        <f>AVERAGE(143,139,175,135,180)</f>
        <v>154.4</v>
      </c>
      <c r="R8" s="2">
        <f>AVERAGE(1.5,1.5,1.4,1.4,1.4)</f>
        <v>1.4400000000000002</v>
      </c>
      <c r="S8" s="2">
        <f>AVERAGE(21,17,14.8,20,20)</f>
        <v>18.559999999999999</v>
      </c>
      <c r="AD8" s="2">
        <f t="shared" si="6"/>
        <v>0.92342559228024856</v>
      </c>
      <c r="AE8" s="2">
        <f t="shared" si="7"/>
        <v>0.84950626968698817</v>
      </c>
      <c r="AF8" s="2">
        <f t="shared" si="8"/>
        <v>1.4162979241194686</v>
      </c>
    </row>
    <row r="9" spans="1:35">
      <c r="B9" s="11"/>
      <c r="C9" s="14"/>
      <c r="D9" s="14"/>
      <c r="E9" s="14"/>
      <c r="F9" s="14"/>
      <c r="G9" s="14"/>
      <c r="H9" s="14"/>
      <c r="AF9" s="39" t="s">
        <v>97</v>
      </c>
      <c r="AG9" s="6">
        <f>_xlfn.VAR.P(AG4:AG7)</f>
        <v>2.4774397475886972E-3</v>
      </c>
    </row>
    <row r="10" spans="1:35">
      <c r="B10" s="11"/>
      <c r="C10" s="14"/>
      <c r="D10" s="14"/>
      <c r="E10" s="14"/>
      <c r="F10" s="14"/>
      <c r="G10" s="14"/>
      <c r="H10" s="14"/>
      <c r="AF10" s="39" t="s">
        <v>98</v>
      </c>
      <c r="AG10" s="6">
        <f>AVERAGE(AG4:AG7)</f>
        <v>-6.0248166814755505E-2</v>
      </c>
    </row>
    <row r="11" spans="1:35">
      <c r="B11" s="11"/>
      <c r="C11" s="14"/>
      <c r="D11" s="14"/>
      <c r="E11" s="14"/>
      <c r="F11" s="14"/>
      <c r="G11" s="14"/>
      <c r="H11" s="14"/>
    </row>
    <row r="12" spans="1:35">
      <c r="B12" s="11"/>
      <c r="C12" s="14"/>
      <c r="D12" s="14"/>
      <c r="E12" s="14"/>
      <c r="F12" s="14"/>
      <c r="G12" s="14"/>
      <c r="H12" s="14"/>
    </row>
    <row r="13" spans="1:35">
      <c r="B13" s="11"/>
      <c r="C13" s="14"/>
      <c r="D13" s="14"/>
      <c r="E13" s="14"/>
      <c r="F13" s="14"/>
      <c r="G13" s="14"/>
      <c r="H13" s="14"/>
    </row>
    <row r="14" spans="1:35">
      <c r="B14" s="11"/>
      <c r="C14" s="14"/>
      <c r="D14" s="14"/>
      <c r="E14" s="14"/>
      <c r="F14" s="14"/>
      <c r="G14" s="14"/>
      <c r="H14" s="14"/>
    </row>
    <row r="15" spans="1:35">
      <c r="B15" s="11"/>
      <c r="C15" s="14"/>
      <c r="D15" s="14"/>
      <c r="E15" s="14"/>
      <c r="F15" s="14"/>
      <c r="G15" s="14"/>
      <c r="H15" s="14"/>
    </row>
    <row r="16" spans="1:35">
      <c r="B16" s="11"/>
      <c r="C16" s="14"/>
      <c r="D16" s="14"/>
      <c r="E16" s="14"/>
      <c r="F16" s="14"/>
      <c r="G16" s="14"/>
      <c r="H16" s="14"/>
    </row>
    <row r="17" spans="2:8">
      <c r="B17" s="11"/>
      <c r="C17" s="14"/>
      <c r="D17" s="14"/>
      <c r="E17" s="14"/>
      <c r="F17" s="14"/>
      <c r="G17" s="14"/>
      <c r="H17" s="14"/>
    </row>
    <row r="18" spans="2:8">
      <c r="B18" s="11"/>
      <c r="C18" s="14"/>
      <c r="D18" s="14"/>
      <c r="E18" s="14"/>
      <c r="F18" s="14"/>
      <c r="G18" s="14"/>
      <c r="H18" s="14"/>
    </row>
    <row r="19" spans="2:8">
      <c r="B19" s="11"/>
      <c r="C19" s="14"/>
      <c r="D19" s="14"/>
      <c r="E19" s="14"/>
      <c r="F19" s="14"/>
      <c r="G19" s="14"/>
      <c r="H19" s="14"/>
    </row>
    <row r="20" spans="2:8">
      <c r="B20" s="11"/>
      <c r="C20" s="14"/>
      <c r="D20" s="14"/>
      <c r="E20" s="14"/>
      <c r="F20" s="14"/>
      <c r="G20" s="14"/>
      <c r="H20" s="14"/>
    </row>
    <row r="21" spans="2:8">
      <c r="B21" s="11"/>
      <c r="C21" s="14"/>
      <c r="D21" s="14"/>
      <c r="E21" s="14"/>
      <c r="F21" s="14"/>
      <c r="G21" s="14"/>
      <c r="H21" s="14"/>
    </row>
    <row r="22" spans="2:8">
      <c r="B22" s="11"/>
      <c r="C22" s="14"/>
      <c r="D22" s="14"/>
      <c r="E22" s="14"/>
      <c r="F22" s="14"/>
      <c r="G22" s="14"/>
      <c r="H22" s="14"/>
    </row>
    <row r="23" spans="2:8">
      <c r="B23" s="11"/>
      <c r="C23" s="14"/>
      <c r="D23" s="14"/>
      <c r="E23" s="14"/>
      <c r="F23" s="14"/>
      <c r="G23" s="14"/>
      <c r="H23" s="14"/>
    </row>
    <row r="24" spans="2:8">
      <c r="B24" s="11"/>
      <c r="C24" s="14"/>
      <c r="D24" s="14"/>
      <c r="E24" s="14"/>
      <c r="F24" s="14"/>
      <c r="G24" s="14"/>
      <c r="H24" s="14"/>
    </row>
    <row r="25" spans="2:8">
      <c r="B25" s="11"/>
      <c r="C25" s="14"/>
      <c r="D25" s="14"/>
      <c r="E25" s="14"/>
      <c r="F25" s="14"/>
      <c r="G25" s="14"/>
      <c r="H25" s="14"/>
    </row>
    <row r="26" spans="2:8">
      <c r="B26" s="11"/>
      <c r="C26" s="14"/>
      <c r="D26" s="14"/>
      <c r="E26" s="14"/>
      <c r="F26" s="14"/>
      <c r="G26" s="14"/>
      <c r="H26" s="14"/>
    </row>
    <row r="27" spans="2:8">
      <c r="B27" s="11"/>
      <c r="C27" s="14"/>
      <c r="D27" s="14"/>
      <c r="E27" s="14"/>
      <c r="F27" s="14"/>
      <c r="G27" s="14"/>
      <c r="H27" s="14"/>
    </row>
    <row r="28" spans="2:8">
      <c r="B28" s="11"/>
      <c r="C28" s="14"/>
      <c r="D28" s="14"/>
      <c r="E28" s="14"/>
      <c r="F28" s="14"/>
      <c r="G28" s="14"/>
      <c r="H28" s="14"/>
    </row>
  </sheetData>
  <pageMargins left="0.7" right="0.7" top="0.75" bottom="0.75" header="0.3" footer="0.3"/>
  <pageSetup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30"/>
  <sheetViews>
    <sheetView topLeftCell="A5" zoomScale="80" zoomScaleNormal="80" workbookViewId="0">
      <selection activeCell="G25" sqref="G25"/>
    </sheetView>
  </sheetViews>
  <sheetFormatPr defaultRowHeight="14.5"/>
  <cols>
    <col min="1" max="2" width="11.81640625" style="6" customWidth="1"/>
    <col min="3" max="3" width="10.26953125" customWidth="1"/>
    <col min="7" max="9" width="8.7265625" style="6"/>
    <col min="13" max="17" width="8.7265625" style="6"/>
    <col min="18" max="18" width="11.81640625" customWidth="1"/>
    <col min="19" max="19" width="13.26953125" customWidth="1"/>
    <col min="20" max="20" width="11.81640625" customWidth="1"/>
    <col min="21" max="21" width="16.54296875" customWidth="1"/>
    <col min="22" max="22" width="19.54296875" customWidth="1"/>
    <col min="23" max="23" width="19" customWidth="1"/>
    <col min="24" max="24" width="11.54296875" customWidth="1"/>
    <col min="25" max="25" width="11.6328125" customWidth="1"/>
    <col min="26" max="26" width="14.26953125" customWidth="1"/>
    <col min="27" max="27" width="17.36328125" customWidth="1"/>
    <col min="30" max="30" width="8.7265625" style="6"/>
    <col min="32" max="32" width="11.6328125" bestFit="1" customWidth="1"/>
  </cols>
  <sheetData>
    <row r="1" spans="1:33" s="6" customFormat="1">
      <c r="A1" s="81" t="s">
        <v>185</v>
      </c>
      <c r="B1" s="91"/>
      <c r="C1" s="81"/>
      <c r="D1" s="81"/>
      <c r="E1" s="81"/>
      <c r="F1" s="81"/>
      <c r="G1" s="81"/>
      <c r="H1" s="81"/>
      <c r="I1" s="81"/>
      <c r="J1" s="81"/>
      <c r="K1" s="81"/>
      <c r="L1" s="81"/>
      <c r="M1" s="81"/>
      <c r="N1" s="81"/>
    </row>
    <row r="2" spans="1:33">
      <c r="A2" s="1" t="s">
        <v>197</v>
      </c>
      <c r="B2" s="1" t="s">
        <v>196</v>
      </c>
      <c r="C2" s="1" t="s">
        <v>20</v>
      </c>
      <c r="D2" s="1" t="s">
        <v>1</v>
      </c>
      <c r="E2" s="1" t="s">
        <v>2</v>
      </c>
      <c r="F2" s="1" t="s">
        <v>3</v>
      </c>
      <c r="G2" s="1" t="s">
        <v>48</v>
      </c>
      <c r="H2" s="1" t="s">
        <v>49</v>
      </c>
      <c r="I2" s="1" t="s">
        <v>50</v>
      </c>
      <c r="J2" s="1" t="s">
        <v>4</v>
      </c>
      <c r="K2" s="1" t="s">
        <v>5</v>
      </c>
      <c r="L2" s="1" t="s">
        <v>6</v>
      </c>
      <c r="M2" s="1" t="s">
        <v>45</v>
      </c>
      <c r="N2" s="1" t="s">
        <v>46</v>
      </c>
      <c r="O2" s="1" t="s">
        <v>47</v>
      </c>
      <c r="P2" s="1" t="s">
        <v>51</v>
      </c>
      <c r="Q2" s="1" t="s">
        <v>52</v>
      </c>
      <c r="R2" s="1" t="s">
        <v>7</v>
      </c>
      <c r="S2" s="1" t="s">
        <v>8</v>
      </c>
      <c r="T2" s="1" t="s">
        <v>9</v>
      </c>
      <c r="U2" s="1" t="s">
        <v>10</v>
      </c>
      <c r="V2" s="1" t="s">
        <v>11</v>
      </c>
      <c r="W2" s="1" t="s">
        <v>12</v>
      </c>
      <c r="X2" s="1" t="s">
        <v>13</v>
      </c>
      <c r="Y2" s="1" t="s">
        <v>14</v>
      </c>
      <c r="Z2" s="1" t="s">
        <v>15</v>
      </c>
      <c r="AA2" s="1" t="s">
        <v>460</v>
      </c>
      <c r="AB2" s="1" t="s">
        <v>16</v>
      </c>
      <c r="AC2" s="1" t="s">
        <v>17</v>
      </c>
      <c r="AD2" s="1" t="s">
        <v>107</v>
      </c>
      <c r="AE2" s="1" t="s">
        <v>459</v>
      </c>
      <c r="AF2" s="1" t="s">
        <v>461</v>
      </c>
      <c r="AG2" s="1" t="s">
        <v>462</v>
      </c>
    </row>
    <row r="3" spans="1:33" s="6" customFormat="1">
      <c r="A3" s="6" t="s">
        <v>381</v>
      </c>
      <c r="B3" s="6" t="s">
        <v>216</v>
      </c>
      <c r="C3" s="45">
        <v>0.03</v>
      </c>
      <c r="D3" s="43">
        <v>14.2</v>
      </c>
      <c r="E3" s="43">
        <v>6.2</v>
      </c>
      <c r="F3" s="43">
        <v>1.3</v>
      </c>
      <c r="G3" s="43">
        <v>4.3</v>
      </c>
      <c r="H3" s="43">
        <v>2.4</v>
      </c>
      <c r="I3" s="43">
        <v>1.2</v>
      </c>
      <c r="J3" s="6">
        <f t="shared" ref="J3:J10" si="0">D3*26.98/101.96</f>
        <v>3.7575127500980776</v>
      </c>
      <c r="K3" s="6">
        <f t="shared" ref="K3:K10" si="1">E3*24.305/40.3044</f>
        <v>3.7388225603159952</v>
      </c>
      <c r="L3" s="6">
        <f t="shared" ref="L3:L10" si="2">F3*79.866/47.867</f>
        <v>2.1690475693066205</v>
      </c>
      <c r="M3" s="6">
        <f t="shared" ref="M3:M8" si="3">G3*40.078/56.0774</f>
        <v>3.0731702967683949</v>
      </c>
      <c r="N3" s="6">
        <f t="shared" ref="N3:N9" si="4">H3*39.0983/94.2</f>
        <v>0.9961350318471337</v>
      </c>
      <c r="O3" s="6">
        <f t="shared" ref="O3:O9" si="5">I3*22.989769/61.9789</f>
        <v>0.44511475356935987</v>
      </c>
      <c r="P3" s="6">
        <f t="shared" ref="P3:P9" si="6">100*(J3/(J3+M3+N3+O3))</f>
        <v>45.42484599770431</v>
      </c>
      <c r="Q3" s="6">
        <f t="shared" ref="Q3:Q9" si="7">100*(J3/(J3+M3+O3))</f>
        <v>51.643996344607004</v>
      </c>
      <c r="R3" s="6">
        <f>J3/J10-1</f>
        <v>-0.13414634146341464</v>
      </c>
      <c r="S3" s="6">
        <f>K3/K10-1</f>
        <v>-0.25301204819277112</v>
      </c>
      <c r="T3" s="6">
        <f>L3/L10-1</f>
        <v>0.62499999999999978</v>
      </c>
      <c r="U3" s="6">
        <f t="shared" ref="U3:U9" si="8">S3/-0.61</f>
        <v>0.4147738494963461</v>
      </c>
      <c r="V3" s="6">
        <f t="shared" ref="V3:V9" si="9">U3*0.0032</f>
        <v>1.3272763183883075E-3</v>
      </c>
      <c r="W3" s="6">
        <f t="shared" ref="W3:W9" si="10">U3*0.000044</f>
        <v>1.825004937783923E-5</v>
      </c>
      <c r="X3" s="6">
        <f>J10*(100-V3)/100</f>
        <v>4.3396050134751718</v>
      </c>
      <c r="Y3" s="6">
        <f>L10*(100-W3)/100</f>
        <v>1.3347982605873034</v>
      </c>
      <c r="Z3" s="6">
        <f t="shared" ref="Z3:Z9" si="11">X3/Y3</f>
        <v>3.2511317564691544</v>
      </c>
      <c r="AA3" s="6">
        <f>Z3/AB10-1</f>
        <v>-1.3090265079007679E-5</v>
      </c>
      <c r="AB3" s="6">
        <f t="shared" ref="AB3:AB10" si="12">J3/L3</f>
        <v>1.7323330309898375</v>
      </c>
      <c r="AC3" s="6">
        <f t="shared" ref="AC3:AC10" si="13">K3/L3</f>
        <v>1.7237162583350742</v>
      </c>
      <c r="AD3" s="6">
        <f t="shared" ref="AD3:AD10" si="14">M3/L3</f>
        <v>1.4168293679934347</v>
      </c>
      <c r="AE3" s="6">
        <f>AB3/AB10-1</f>
        <v>-0.46716697936210128</v>
      </c>
      <c r="AF3" s="6">
        <f>AC3/AC10-1</f>
        <v>-0.54031510658016679</v>
      </c>
      <c r="AG3" s="6">
        <f>AD3/AD10-1</f>
        <v>-0.76788124156545212</v>
      </c>
    </row>
    <row r="4" spans="1:33" s="6" customFormat="1">
      <c r="A4" s="6" t="s">
        <v>382</v>
      </c>
      <c r="B4" s="6" t="s">
        <v>216</v>
      </c>
      <c r="C4" s="45">
        <v>0.1</v>
      </c>
      <c r="D4" s="43">
        <v>16.8</v>
      </c>
      <c r="E4" s="43">
        <v>6</v>
      </c>
      <c r="F4" s="43">
        <v>1.2</v>
      </c>
      <c r="G4" s="43">
        <v>6</v>
      </c>
      <c r="H4" s="43">
        <v>0.1</v>
      </c>
      <c r="I4" s="43">
        <v>3.2</v>
      </c>
      <c r="J4" s="6">
        <f t="shared" si="0"/>
        <v>4.445508042369557</v>
      </c>
      <c r="K4" s="6">
        <f t="shared" si="1"/>
        <v>3.6182153809509625</v>
      </c>
      <c r="L4" s="6">
        <f t="shared" si="2"/>
        <v>2.0021977562830342</v>
      </c>
      <c r="M4" s="6">
        <f t="shared" si="3"/>
        <v>4.2881446001419468</v>
      </c>
      <c r="N4" s="6">
        <f t="shared" si="4"/>
        <v>4.1505626326963911E-2</v>
      </c>
      <c r="O4" s="6">
        <f t="shared" si="5"/>
        <v>1.1869726761849597</v>
      </c>
      <c r="P4" s="6">
        <f t="shared" si="6"/>
        <v>44.624067550430119</v>
      </c>
      <c r="Q4" s="6">
        <f t="shared" si="7"/>
        <v>44.810764438321527</v>
      </c>
      <c r="R4" s="6">
        <f>J4/J10-1</f>
        <v>2.4390243902439046E-2</v>
      </c>
      <c r="S4" s="6">
        <f>K4/K10-1</f>
        <v>-0.27710843373493999</v>
      </c>
      <c r="T4" s="6">
        <f>L4/L10-1</f>
        <v>0.49999999999999978</v>
      </c>
      <c r="U4" s="6">
        <f t="shared" si="8"/>
        <v>0.4542761208769508</v>
      </c>
      <c r="V4" s="6">
        <f t="shared" si="9"/>
        <v>1.4536835868062426E-3</v>
      </c>
      <c r="W4" s="6">
        <f t="shared" si="10"/>
        <v>1.9988149318585836E-5</v>
      </c>
      <c r="X4" s="6">
        <f>J10*(100-V4)/100</f>
        <v>4.3395995278262047</v>
      </c>
      <c r="Y4" s="6">
        <f>L10*(100-W4)/100</f>
        <v>1.3347982373871716</v>
      </c>
      <c r="Z4" s="6">
        <f t="shared" si="11"/>
        <v>3.2511277032556198</v>
      </c>
      <c r="AA4" s="6">
        <f>Z4/AB10-1</f>
        <v>-1.433695724051276E-5</v>
      </c>
      <c r="AB4" s="6">
        <f t="shared" si="12"/>
        <v>2.2203141664799331</v>
      </c>
      <c r="AC4" s="6">
        <f t="shared" si="13"/>
        <v>1.807121883738384</v>
      </c>
      <c r="AD4" s="6">
        <f t="shared" si="14"/>
        <v>2.1417188120830994</v>
      </c>
      <c r="AE4" s="6">
        <f>AB4/AB10-1</f>
        <v>-0.31707317073170715</v>
      </c>
      <c r="AF4" s="6">
        <f>AC4/AC10-1</f>
        <v>-0.51807228915662651</v>
      </c>
      <c r="AG4" s="6">
        <f>AD4/AD10-1</f>
        <v>-0.64912280701754388</v>
      </c>
    </row>
    <row r="5" spans="1:33" s="6" customFormat="1">
      <c r="A5" s="6" t="s">
        <v>386</v>
      </c>
      <c r="B5" s="6" t="s">
        <v>216</v>
      </c>
      <c r="C5" s="45">
        <v>0.22</v>
      </c>
      <c r="D5" s="43">
        <v>15.1</v>
      </c>
      <c r="E5" s="43">
        <v>5</v>
      </c>
      <c r="F5" s="43">
        <v>0.9</v>
      </c>
      <c r="G5" s="43">
        <v>8</v>
      </c>
      <c r="H5" s="43">
        <v>1.9</v>
      </c>
      <c r="I5" s="43">
        <v>1.4</v>
      </c>
      <c r="J5" s="6">
        <f t="shared" si="0"/>
        <v>3.9956649666535902</v>
      </c>
      <c r="K5" s="6">
        <f t="shared" si="1"/>
        <v>3.0151794841258028</v>
      </c>
      <c r="L5" s="6">
        <f t="shared" si="2"/>
        <v>1.5016483172122759</v>
      </c>
      <c r="M5" s="6">
        <f t="shared" si="3"/>
        <v>5.717526133522596</v>
      </c>
      <c r="N5" s="6">
        <f t="shared" si="4"/>
        <v>0.78860690021231428</v>
      </c>
      <c r="O5" s="6">
        <f t="shared" si="5"/>
        <v>0.51930054583091978</v>
      </c>
      <c r="P5" s="6">
        <f t="shared" si="6"/>
        <v>36.254688676422617</v>
      </c>
      <c r="Q5" s="6">
        <f t="shared" si="7"/>
        <v>39.048797740409277</v>
      </c>
      <c r="R5" s="6">
        <f>J5/J10-1</f>
        <v>-7.9268292682926678E-2</v>
      </c>
      <c r="S5" s="6">
        <f>K5/K10-1</f>
        <v>-0.39759036144578319</v>
      </c>
      <c r="T5" s="6">
        <f>L5/L10-1</f>
        <v>0.125</v>
      </c>
      <c r="U5" s="6">
        <f t="shared" si="8"/>
        <v>0.65178747777997248</v>
      </c>
      <c r="V5" s="6">
        <f t="shared" si="9"/>
        <v>2.0857199288959122E-3</v>
      </c>
      <c r="W5" s="6">
        <f t="shared" si="10"/>
        <v>2.8678649022318787E-5</v>
      </c>
      <c r="X5" s="6">
        <f>J10*(100-V5)/100</f>
        <v>4.3395720995813676</v>
      </c>
      <c r="Y5" s="6">
        <f>L10*(100-W5)/100</f>
        <v>1.3347981213865114</v>
      </c>
      <c r="Z5" s="6">
        <f t="shared" si="11"/>
        <v>3.2511074371858344</v>
      </c>
      <c r="AA5" s="6">
        <f>Z5/AB10-1</f>
        <v>-2.0570418697962722E-5</v>
      </c>
      <c r="AB5" s="6">
        <f t="shared" si="12"/>
        <v>2.6608526915751574</v>
      </c>
      <c r="AC5" s="6">
        <f t="shared" si="13"/>
        <v>2.00791320415376</v>
      </c>
      <c r="AD5" s="6">
        <f t="shared" si="14"/>
        <v>3.8075001103699537</v>
      </c>
      <c r="AE5" s="6">
        <f>AB5/AB10-1</f>
        <v>-0.18157181571815717</v>
      </c>
      <c r="AF5" s="6">
        <f>AC5/AC10-1</f>
        <v>-0.46452476572958512</v>
      </c>
      <c r="AG5" s="6">
        <f>AD5/AD10-1</f>
        <v>-0.37621832358674479</v>
      </c>
    </row>
    <row r="6" spans="1:33" s="6" customFormat="1">
      <c r="A6" s="6" t="s">
        <v>385</v>
      </c>
      <c r="B6" s="6" t="s">
        <v>216</v>
      </c>
      <c r="C6" s="45">
        <v>0.32</v>
      </c>
      <c r="D6" s="43">
        <v>13.8</v>
      </c>
      <c r="E6" s="43">
        <v>5.8</v>
      </c>
      <c r="F6" s="43">
        <v>1.2</v>
      </c>
      <c r="G6" s="43">
        <v>6.9</v>
      </c>
      <c r="H6" s="43">
        <v>2</v>
      </c>
      <c r="I6" s="43">
        <v>0.8</v>
      </c>
      <c r="J6" s="6">
        <f t="shared" si="0"/>
        <v>3.6516673205178507</v>
      </c>
      <c r="K6" s="6">
        <f t="shared" si="1"/>
        <v>3.4976082015859307</v>
      </c>
      <c r="L6" s="6">
        <f t="shared" si="2"/>
        <v>2.0021977562830342</v>
      </c>
      <c r="M6" s="6">
        <f t="shared" si="3"/>
        <v>4.9313662901632389</v>
      </c>
      <c r="N6" s="6">
        <f t="shared" si="4"/>
        <v>0.83011252653927814</v>
      </c>
      <c r="O6" s="6">
        <f t="shared" si="5"/>
        <v>0.29674316904623993</v>
      </c>
      <c r="P6" s="6">
        <f t="shared" si="6"/>
        <v>37.607713181252464</v>
      </c>
      <c r="Q6" s="6">
        <f t="shared" si="7"/>
        <v>41.123413471999257</v>
      </c>
      <c r="R6" s="6">
        <f>J6/J10-1</f>
        <v>-0.15853658536585358</v>
      </c>
      <c r="S6" s="6">
        <f>K6/K10-1</f>
        <v>-0.30120481927710852</v>
      </c>
      <c r="T6" s="6">
        <f>L6/L10-1</f>
        <v>0.49999999999999978</v>
      </c>
      <c r="U6" s="6">
        <f t="shared" si="8"/>
        <v>0.49377839225755493</v>
      </c>
      <c r="V6" s="6">
        <f t="shared" si="9"/>
        <v>1.5800908552241759E-3</v>
      </c>
      <c r="W6" s="6">
        <f t="shared" si="10"/>
        <v>2.1726249259332418E-5</v>
      </c>
      <c r="X6" s="6">
        <f>J10*(100-V6)/100</f>
        <v>4.3395940421772368</v>
      </c>
      <c r="Y6" s="6">
        <f>L10*(100-W6)/100</f>
        <v>1.3347982141870396</v>
      </c>
      <c r="Z6" s="6">
        <f t="shared" si="11"/>
        <v>3.251123650041944</v>
      </c>
      <c r="AA6" s="6">
        <f>Z6/AB10-1</f>
        <v>-1.5583649445538583E-5</v>
      </c>
      <c r="AB6" s="6">
        <f t="shared" si="12"/>
        <v>1.8238294938942308</v>
      </c>
      <c r="AC6" s="6">
        <f t="shared" si="13"/>
        <v>1.7468844876137712</v>
      </c>
      <c r="AD6" s="6">
        <f t="shared" si="14"/>
        <v>2.4629766338955643</v>
      </c>
      <c r="AE6" s="6">
        <f>AB6/AB10-1</f>
        <v>-0.43902439024390227</v>
      </c>
      <c r="AF6" s="6">
        <f>AC6/AC10-1</f>
        <v>-0.53413654618473894</v>
      </c>
      <c r="AG6" s="6">
        <f>AD6/AD10-1</f>
        <v>-0.59649122807017552</v>
      </c>
    </row>
    <row r="7" spans="1:33" s="6" customFormat="1">
      <c r="A7" s="6" t="s">
        <v>384</v>
      </c>
      <c r="B7" s="6" t="s">
        <v>216</v>
      </c>
      <c r="C7" s="45">
        <v>0.56999999999999995</v>
      </c>
      <c r="D7" s="43">
        <v>13.7</v>
      </c>
      <c r="E7" s="43">
        <v>5.3</v>
      </c>
      <c r="F7" s="43">
        <v>1.3</v>
      </c>
      <c r="G7" s="43">
        <v>8.1999999999999993</v>
      </c>
      <c r="H7" s="43">
        <v>1.8</v>
      </c>
      <c r="I7" s="43">
        <v>0.9</v>
      </c>
      <c r="J7" s="6">
        <f t="shared" si="0"/>
        <v>3.6252059631227933</v>
      </c>
      <c r="K7" s="6">
        <f t="shared" si="1"/>
        <v>3.1960902531733506</v>
      </c>
      <c r="L7" s="6">
        <f t="shared" si="2"/>
        <v>2.1690475693066205</v>
      </c>
      <c r="M7" s="6">
        <f t="shared" si="3"/>
        <v>5.86046428686066</v>
      </c>
      <c r="N7" s="6">
        <f t="shared" si="4"/>
        <v>0.7471012738853503</v>
      </c>
      <c r="O7" s="6">
        <f t="shared" si="5"/>
        <v>0.33383606517701991</v>
      </c>
      <c r="P7" s="6">
        <f t="shared" si="6"/>
        <v>34.308134683462335</v>
      </c>
      <c r="Q7" s="6">
        <f t="shared" si="7"/>
        <v>36.918413683647081</v>
      </c>
      <c r="R7" s="6">
        <f>J7/J10-1</f>
        <v>-0.16463414634146345</v>
      </c>
      <c r="S7" s="6">
        <f>K7/K10-1</f>
        <v>-0.36144578313253017</v>
      </c>
      <c r="T7" s="6">
        <f>L7/L10-1</f>
        <v>0.62499999999999978</v>
      </c>
      <c r="U7" s="6">
        <f t="shared" si="8"/>
        <v>0.59253407070906583</v>
      </c>
      <c r="V7" s="6">
        <f t="shared" si="9"/>
        <v>1.8961090262690108E-3</v>
      </c>
      <c r="W7" s="6">
        <f t="shared" si="10"/>
        <v>2.6071499111198895E-5</v>
      </c>
      <c r="X7" s="6">
        <f>J10*(100-V7)/100</f>
        <v>4.3395803280548186</v>
      </c>
      <c r="Y7" s="6">
        <f>L10*(100-W7)/100</f>
        <v>1.3347981561867095</v>
      </c>
      <c r="Z7" s="6">
        <f t="shared" si="11"/>
        <v>3.2511135170071399</v>
      </c>
      <c r="AA7" s="6">
        <f>Z7/AB10-1</f>
        <v>-1.8700380146952078E-5</v>
      </c>
      <c r="AB7" s="6">
        <f t="shared" si="12"/>
        <v>1.6713353890535758</v>
      </c>
      <c r="AC7" s="6">
        <f t="shared" si="13"/>
        <v>1.4734993821251439</v>
      </c>
      <c r="AD7" s="6">
        <f t="shared" si="14"/>
        <v>2.7018606552432942</v>
      </c>
      <c r="AE7" s="6">
        <f>AB7/AB10-1</f>
        <v>-0.4859287054409005</v>
      </c>
      <c r="AF7" s="6">
        <f>AC7/AC10-1</f>
        <v>-0.60704355885078787</v>
      </c>
      <c r="AG7" s="6">
        <f>AD7/AD10-1</f>
        <v>-0.55735492577597845</v>
      </c>
    </row>
    <row r="8" spans="1:33" s="6" customFormat="1">
      <c r="A8" s="6" t="s">
        <v>387</v>
      </c>
      <c r="B8" s="6" t="s">
        <v>216</v>
      </c>
      <c r="C8" s="45">
        <v>0.7</v>
      </c>
      <c r="D8" s="43">
        <v>12.3</v>
      </c>
      <c r="E8" s="43">
        <v>6.7</v>
      </c>
      <c r="F8" s="43">
        <v>1.3</v>
      </c>
      <c r="G8" s="43">
        <v>11.9</v>
      </c>
      <c r="H8" s="43">
        <v>1.7</v>
      </c>
      <c r="I8" s="43">
        <v>0.7</v>
      </c>
      <c r="J8" s="6">
        <f t="shared" si="0"/>
        <v>3.2547469595919973</v>
      </c>
      <c r="K8" s="6">
        <f t="shared" si="1"/>
        <v>4.0403405087285753</v>
      </c>
      <c r="L8" s="6">
        <f t="shared" si="2"/>
        <v>2.1690475693066205</v>
      </c>
      <c r="M8" s="6">
        <f t="shared" si="3"/>
        <v>8.5048201236148628</v>
      </c>
      <c r="N8" s="6">
        <f t="shared" si="4"/>
        <v>0.70559564755838644</v>
      </c>
      <c r="O8" s="6">
        <f t="shared" si="5"/>
        <v>0.25965027291545989</v>
      </c>
      <c r="P8" s="6">
        <f t="shared" si="6"/>
        <v>25.577955123195505</v>
      </c>
      <c r="Q8" s="6">
        <f t="shared" si="7"/>
        <v>27.079524923759717</v>
      </c>
      <c r="R8" s="6">
        <f>J8/J10-1</f>
        <v>-0.24999999999999989</v>
      </c>
      <c r="S8" s="6">
        <f>K8/K10-1</f>
        <v>-0.19277108433734946</v>
      </c>
      <c r="T8" s="6">
        <f>L8/L10-1</f>
        <v>0.62499999999999978</v>
      </c>
      <c r="U8" s="6">
        <f t="shared" si="8"/>
        <v>0.31601817104483521</v>
      </c>
      <c r="V8" s="6">
        <f t="shared" si="9"/>
        <v>1.0112581473434726E-3</v>
      </c>
      <c r="W8" s="6">
        <f t="shared" si="10"/>
        <v>1.3904799525972749E-5</v>
      </c>
      <c r="X8" s="6">
        <f>J10*(100-V8)/100</f>
        <v>4.3396187275975899</v>
      </c>
      <c r="Y8" s="6">
        <f>L10*(100-W8)/100</f>
        <v>1.3347983185876333</v>
      </c>
      <c r="Z8" s="6">
        <f t="shared" si="11"/>
        <v>3.251141889502374</v>
      </c>
      <c r="AA8" s="6">
        <f>Z8/AB10-1</f>
        <v>-9.9735348648710698E-6</v>
      </c>
      <c r="AB8" s="6">
        <f t="shared" si="12"/>
        <v>1.5005419916320426</v>
      </c>
      <c r="AC8" s="6">
        <f t="shared" si="13"/>
        <v>1.8627256340072575</v>
      </c>
      <c r="AD8" s="6">
        <f t="shared" si="14"/>
        <v>3.920992902121367</v>
      </c>
      <c r="AE8" s="6">
        <f>AB8/AB10-1</f>
        <v>-0.53846153846153832</v>
      </c>
      <c r="AF8" s="6">
        <f>AC8/AC10-1</f>
        <v>-0.50324374420759965</v>
      </c>
      <c r="AG8" s="6">
        <f>AD8/AD10-1</f>
        <v>-0.35762483130904188</v>
      </c>
    </row>
    <row r="9" spans="1:33" s="6" customFormat="1">
      <c r="A9" s="6" t="s">
        <v>388</v>
      </c>
      <c r="B9" s="6" t="s">
        <v>216</v>
      </c>
      <c r="C9" s="45">
        <v>1.25</v>
      </c>
      <c r="D9" s="43">
        <v>14</v>
      </c>
      <c r="E9" s="43">
        <v>4.8</v>
      </c>
      <c r="F9" s="43">
        <v>0.8</v>
      </c>
      <c r="G9" s="43">
        <v>17</v>
      </c>
      <c r="H9" s="43">
        <v>0.8</v>
      </c>
      <c r="I9" s="43">
        <v>1.9</v>
      </c>
      <c r="J9" s="6">
        <f t="shared" si="0"/>
        <v>3.7045900353079646</v>
      </c>
      <c r="K9" s="6">
        <f t="shared" si="1"/>
        <v>2.8945723047607701</v>
      </c>
      <c r="L9" s="6">
        <f t="shared" si="2"/>
        <v>1.3347985041886896</v>
      </c>
      <c r="M9" s="6">
        <f>G9*40.078/56.0774</f>
        <v>12.149743033735517</v>
      </c>
      <c r="N9" s="6">
        <f t="shared" si="4"/>
        <v>0.33204501061571129</v>
      </c>
      <c r="O9" s="6">
        <f t="shared" si="5"/>
        <v>0.70476502648481976</v>
      </c>
      <c r="P9" s="6">
        <f t="shared" si="6"/>
        <v>21.932145219706594</v>
      </c>
      <c r="Q9" s="6">
        <f t="shared" si="7"/>
        <v>22.37193121229453</v>
      </c>
      <c r="R9" s="6">
        <f>J9/J10-1</f>
        <v>-0.14634146341463394</v>
      </c>
      <c r="S9" s="6">
        <f>K9/K10-1</f>
        <v>-0.42168674698795194</v>
      </c>
      <c r="T9" s="6">
        <f>L9/L10-1</f>
        <v>0</v>
      </c>
      <c r="U9" s="6">
        <f t="shared" si="8"/>
        <v>0.69128974916057695</v>
      </c>
      <c r="V9" s="6">
        <f t="shared" si="9"/>
        <v>2.2121271973138462E-3</v>
      </c>
      <c r="W9" s="6">
        <f t="shared" si="10"/>
        <v>3.0416748963065386E-5</v>
      </c>
      <c r="X9" s="6">
        <f>J10*(100-V9)/100</f>
        <v>4.3395666139324005</v>
      </c>
      <c r="Y9" s="6">
        <f>L10*(100-W9)/100</f>
        <v>1.3347980981863796</v>
      </c>
      <c r="Z9" s="6">
        <f t="shared" si="11"/>
        <v>3.2511033839714543</v>
      </c>
      <c r="AA9" s="6">
        <f>Z9/AB10-1</f>
        <v>-2.1817111119593058E-5</v>
      </c>
      <c r="AB9" s="6">
        <f t="shared" si="12"/>
        <v>2.7753927080999161</v>
      </c>
      <c r="AC9" s="6">
        <f t="shared" si="13"/>
        <v>2.1685462604860604</v>
      </c>
      <c r="AD9" s="6">
        <f t="shared" si="14"/>
        <v>9.1023049513531724</v>
      </c>
      <c r="AE9" s="6">
        <f>AB9/AB10-1</f>
        <v>-0.14634146341463405</v>
      </c>
      <c r="AF9" s="6">
        <f>AC9/AC10-1</f>
        <v>-0.42168674698795194</v>
      </c>
      <c r="AG9" s="6">
        <f>AD9/AD10-1</f>
        <v>0.49122807017543835</v>
      </c>
    </row>
    <row r="10" spans="1:33" s="2" customFormat="1">
      <c r="A10" s="2" t="s">
        <v>383</v>
      </c>
      <c r="B10" s="2" t="s">
        <v>42</v>
      </c>
      <c r="C10" s="46">
        <v>2.8</v>
      </c>
      <c r="D10" s="44">
        <v>16.399999999999999</v>
      </c>
      <c r="E10" s="44">
        <v>8.3000000000000007</v>
      </c>
      <c r="F10" s="44">
        <v>0.8</v>
      </c>
      <c r="G10" s="44">
        <v>11.4</v>
      </c>
      <c r="H10" s="44">
        <v>0.3</v>
      </c>
      <c r="I10" s="44">
        <v>2</v>
      </c>
      <c r="J10" s="2">
        <f t="shared" si="0"/>
        <v>4.3396626127893292</v>
      </c>
      <c r="K10" s="2">
        <f t="shared" si="1"/>
        <v>5.0051979436488327</v>
      </c>
      <c r="L10" s="2">
        <f t="shared" si="2"/>
        <v>1.3347985041886896</v>
      </c>
      <c r="M10" s="2">
        <f>G10*40.078/56.0774</f>
        <v>8.1474747402697005</v>
      </c>
      <c r="N10" s="2">
        <f>H10*39.0983/94.2</f>
        <v>0.12451687898089171</v>
      </c>
      <c r="O10" s="2">
        <f>I10*22.989769/61.9789</f>
        <v>0.7418579226155998</v>
      </c>
      <c r="AB10" s="2">
        <f t="shared" si="12"/>
        <v>3.2511743152027583</v>
      </c>
      <c r="AC10" s="2">
        <f t="shared" si="13"/>
        <v>3.7497779087571472</v>
      </c>
      <c r="AD10" s="2">
        <f t="shared" si="14"/>
        <v>6.1038986144368339</v>
      </c>
    </row>
    <row r="11" spans="1:33">
      <c r="C11" s="11"/>
      <c r="D11" s="12"/>
      <c r="E11" s="13"/>
      <c r="F11" s="14"/>
      <c r="G11" s="14"/>
      <c r="H11" s="14"/>
      <c r="I11" s="14"/>
      <c r="J11" s="6"/>
      <c r="K11" s="6"/>
      <c r="L11" s="6"/>
      <c r="AD11" s="39" t="s">
        <v>97</v>
      </c>
      <c r="AE11">
        <f>_xlfn.VAR.P(AE3:AE9)</f>
        <v>2.0617765641332147E-2</v>
      </c>
    </row>
    <row r="12" spans="1:33">
      <c r="C12" s="11"/>
      <c r="D12" s="12"/>
      <c r="E12" s="13"/>
      <c r="F12" s="14"/>
      <c r="G12" s="14"/>
      <c r="H12" s="14"/>
      <c r="I12" s="14"/>
      <c r="J12" s="6"/>
      <c r="K12" s="6"/>
      <c r="L12" s="6"/>
      <c r="AD12" s="39" t="s">
        <v>98</v>
      </c>
      <c r="AE12">
        <f>AVERAGE(AE3:AE9)</f>
        <v>-0.36793829476756301</v>
      </c>
    </row>
    <row r="13" spans="1:33">
      <c r="C13" s="11"/>
      <c r="D13" s="12"/>
      <c r="E13" s="13"/>
      <c r="F13" s="14"/>
      <c r="G13" s="14"/>
      <c r="H13" s="14"/>
      <c r="I13" s="14"/>
      <c r="J13" s="6"/>
      <c r="K13" s="6"/>
      <c r="L13" s="6"/>
    </row>
    <row r="14" spans="1:33">
      <c r="C14" s="11"/>
      <c r="D14" s="12"/>
      <c r="E14" s="13"/>
      <c r="F14" s="14"/>
      <c r="G14" s="14"/>
      <c r="H14" s="14"/>
      <c r="I14" s="14"/>
      <c r="J14" s="6"/>
      <c r="K14" s="6"/>
      <c r="L14" s="6"/>
    </row>
    <row r="15" spans="1:33">
      <c r="C15" s="11"/>
      <c r="D15" s="12"/>
      <c r="E15" s="13"/>
      <c r="F15" s="14"/>
      <c r="G15" s="14"/>
      <c r="H15" s="14"/>
      <c r="I15" s="14"/>
      <c r="J15" s="6"/>
      <c r="K15" s="6"/>
      <c r="L15" s="6"/>
    </row>
    <row r="16" spans="1:33">
      <c r="C16" s="11"/>
      <c r="D16" s="12"/>
      <c r="E16" s="13"/>
      <c r="F16" s="14"/>
      <c r="G16" s="14"/>
      <c r="H16" s="14"/>
      <c r="I16" s="14"/>
      <c r="J16" s="6"/>
      <c r="K16" s="6"/>
      <c r="L16" s="6"/>
    </row>
    <row r="17" spans="3:12">
      <c r="C17" s="11"/>
      <c r="D17" s="12"/>
      <c r="E17" s="13"/>
      <c r="F17" s="14"/>
      <c r="G17" s="14"/>
      <c r="H17" s="14"/>
      <c r="I17" s="14"/>
      <c r="J17" s="6"/>
      <c r="K17" s="6"/>
      <c r="L17" s="6"/>
    </row>
    <row r="18" spans="3:12">
      <c r="C18" s="11"/>
      <c r="D18" s="12"/>
      <c r="E18" s="13"/>
      <c r="F18" s="14"/>
      <c r="G18" s="14"/>
      <c r="H18" s="14"/>
      <c r="I18" s="14"/>
      <c r="J18" s="6"/>
      <c r="K18" s="6"/>
      <c r="L18" s="6"/>
    </row>
    <row r="19" spans="3:12">
      <c r="C19" s="11"/>
      <c r="D19" s="12"/>
      <c r="E19" s="13"/>
      <c r="F19" s="14"/>
      <c r="G19" s="14"/>
      <c r="H19" s="14"/>
      <c r="I19" s="14"/>
      <c r="J19" s="6"/>
      <c r="K19" s="6"/>
      <c r="L19" s="6"/>
    </row>
    <row r="20" spans="3:12">
      <c r="C20" s="11"/>
      <c r="D20" s="12"/>
      <c r="E20" s="13"/>
      <c r="F20" s="14"/>
      <c r="G20" s="14"/>
      <c r="H20" s="14"/>
      <c r="I20" s="14"/>
      <c r="J20" s="6"/>
      <c r="K20" s="6"/>
      <c r="L20" s="6"/>
    </row>
    <row r="21" spans="3:12">
      <c r="C21" s="11"/>
      <c r="D21" s="12"/>
      <c r="E21" s="13"/>
      <c r="F21" s="14"/>
      <c r="G21" s="14"/>
      <c r="H21" s="14"/>
      <c r="I21" s="14"/>
      <c r="J21" s="6"/>
      <c r="K21" s="6"/>
      <c r="L21" s="6"/>
    </row>
    <row r="22" spans="3:12">
      <c r="C22" s="11"/>
      <c r="D22" s="12"/>
      <c r="E22" s="13"/>
      <c r="F22" s="14"/>
      <c r="G22" s="14"/>
      <c r="H22" s="14"/>
      <c r="I22" s="14"/>
      <c r="J22" s="6"/>
      <c r="K22" s="6"/>
      <c r="L22" s="6"/>
    </row>
    <row r="23" spans="3:12">
      <c r="C23" s="11"/>
      <c r="D23" s="12"/>
      <c r="E23" s="13"/>
      <c r="F23" s="14"/>
      <c r="G23" s="14"/>
      <c r="H23" s="14"/>
      <c r="I23" s="14"/>
      <c r="J23" s="6"/>
      <c r="K23" s="6"/>
      <c r="L23" s="6"/>
    </row>
    <row r="24" spans="3:12">
      <c r="C24" s="11"/>
      <c r="D24" s="12"/>
      <c r="E24" s="13"/>
      <c r="F24" s="14"/>
      <c r="G24" s="14"/>
      <c r="H24" s="14"/>
      <c r="I24" s="14"/>
      <c r="J24" s="6"/>
      <c r="K24" s="6"/>
      <c r="L24" s="6"/>
    </row>
    <row r="25" spans="3:12">
      <c r="C25" s="11"/>
      <c r="D25" s="12"/>
      <c r="E25" s="13"/>
      <c r="F25" s="14"/>
      <c r="G25" s="14"/>
      <c r="H25" s="14"/>
      <c r="I25" s="14"/>
      <c r="J25" s="6"/>
      <c r="K25" s="6"/>
      <c r="L25" s="6"/>
    </row>
    <row r="26" spans="3:12">
      <c r="C26" s="11"/>
      <c r="D26" s="12"/>
      <c r="E26" s="13"/>
      <c r="F26" s="14"/>
      <c r="G26" s="14"/>
      <c r="H26" s="14"/>
      <c r="I26" s="14"/>
      <c r="J26" s="6"/>
      <c r="K26" s="6"/>
      <c r="L26" s="6"/>
    </row>
    <row r="27" spans="3:12">
      <c r="C27" s="11"/>
      <c r="D27" s="12"/>
      <c r="E27" s="13"/>
      <c r="F27" s="14"/>
      <c r="G27" s="14"/>
      <c r="H27" s="14"/>
      <c r="I27" s="14"/>
      <c r="J27" s="6"/>
      <c r="K27" s="6"/>
      <c r="L27" s="6"/>
    </row>
    <row r="28" spans="3:12">
      <c r="C28" s="11"/>
      <c r="D28" s="12"/>
      <c r="E28" s="13"/>
      <c r="F28" s="14"/>
      <c r="G28" s="14"/>
      <c r="H28" s="14"/>
      <c r="I28" s="14"/>
      <c r="J28" s="6"/>
      <c r="K28" s="6"/>
      <c r="L28" s="6"/>
    </row>
    <row r="29" spans="3:12">
      <c r="C29" s="11"/>
      <c r="D29" s="12"/>
      <c r="E29" s="13"/>
      <c r="F29" s="14"/>
      <c r="G29" s="14"/>
      <c r="H29" s="14"/>
      <c r="I29" s="14"/>
      <c r="J29" s="6"/>
      <c r="K29" s="6"/>
      <c r="L29" s="6"/>
    </row>
    <row r="30" spans="3:12">
      <c r="C30" s="11"/>
      <c r="D30" s="12"/>
      <c r="E30" s="13"/>
      <c r="F30" s="14"/>
      <c r="G30" s="14"/>
      <c r="H30" s="14"/>
      <c r="I30" s="14"/>
      <c r="J30" s="6"/>
      <c r="K30" s="6"/>
      <c r="L30" s="6"/>
    </row>
  </sheetData>
  <pageMargins left="0.7" right="0.7" top="0.75" bottom="0.75" header="0.3" footer="0.3"/>
  <pageSetup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68"/>
  <sheetViews>
    <sheetView topLeftCell="A2" workbookViewId="0">
      <selection activeCell="G45" sqref="G45"/>
    </sheetView>
  </sheetViews>
  <sheetFormatPr defaultRowHeight="14.5"/>
  <cols>
    <col min="1" max="1" width="12.1796875" style="6" customWidth="1"/>
    <col min="2" max="2" width="10.26953125" style="6" customWidth="1"/>
    <col min="3" max="14" width="8.7265625" style="6"/>
    <col min="15" max="18" width="8.7265625" style="5"/>
    <col min="19" max="19" width="11.81640625" style="6" customWidth="1"/>
    <col min="20" max="20" width="13.26953125" style="6" customWidth="1"/>
    <col min="21" max="21" width="11.81640625" style="6" customWidth="1"/>
    <col min="22" max="22" width="16.54296875" style="6" customWidth="1"/>
    <col min="23" max="23" width="19.54296875" style="6" customWidth="1"/>
    <col min="24" max="24" width="19" style="6" customWidth="1"/>
    <col min="25" max="25" width="11.54296875" style="6" customWidth="1"/>
    <col min="26" max="26" width="11.6328125" style="6" customWidth="1"/>
    <col min="27" max="27" width="14.26953125" style="6" customWidth="1"/>
    <col min="28" max="28" width="17.36328125" style="6" customWidth="1"/>
    <col min="29" max="33" width="8.7265625" style="6"/>
    <col min="34" max="34" width="10.90625" style="6" customWidth="1"/>
    <col min="35" max="16384" width="8.7265625" style="6"/>
  </cols>
  <sheetData>
    <row r="1" spans="1:36">
      <c r="A1" s="81" t="s">
        <v>186</v>
      </c>
      <c r="B1" s="81"/>
      <c r="C1" s="81"/>
      <c r="D1" s="81"/>
      <c r="E1" s="81"/>
      <c r="F1" s="81"/>
      <c r="G1" s="81"/>
      <c r="H1" s="81"/>
      <c r="I1" s="81"/>
      <c r="J1" s="81"/>
      <c r="K1" s="81"/>
      <c r="L1" s="81"/>
      <c r="M1" s="81"/>
      <c r="N1" s="81"/>
      <c r="O1" s="81"/>
    </row>
    <row r="2" spans="1:36">
      <c r="A2" s="1" t="s">
        <v>196</v>
      </c>
      <c r="B2" s="1" t="s">
        <v>20</v>
      </c>
      <c r="C2" s="1" t="s">
        <v>1</v>
      </c>
      <c r="D2" s="1" t="s">
        <v>2</v>
      </c>
      <c r="E2" s="1" t="s">
        <v>3</v>
      </c>
      <c r="F2" s="1" t="s">
        <v>48</v>
      </c>
      <c r="G2" s="1" t="s">
        <v>49</v>
      </c>
      <c r="H2" s="1" t="s">
        <v>50</v>
      </c>
      <c r="I2" s="1" t="s">
        <v>4</v>
      </c>
      <c r="J2" s="1" t="s">
        <v>5</v>
      </c>
      <c r="K2" s="1" t="s">
        <v>6</v>
      </c>
      <c r="L2" s="1" t="s">
        <v>45</v>
      </c>
      <c r="M2" s="1" t="s">
        <v>46</v>
      </c>
      <c r="N2" s="1" t="s">
        <v>47</v>
      </c>
      <c r="O2" s="19" t="s">
        <v>51</v>
      </c>
      <c r="P2" s="19" t="s">
        <v>52</v>
      </c>
      <c r="Q2" s="19" t="s">
        <v>110</v>
      </c>
      <c r="R2" s="19" t="s">
        <v>120</v>
      </c>
      <c r="S2" s="1" t="s">
        <v>7</v>
      </c>
      <c r="T2" s="1" t="s">
        <v>8</v>
      </c>
      <c r="U2" s="1" t="s">
        <v>9</v>
      </c>
      <c r="V2" s="1" t="s">
        <v>10</v>
      </c>
      <c r="W2" s="1" t="s">
        <v>11</v>
      </c>
      <c r="X2" s="1" t="s">
        <v>12</v>
      </c>
      <c r="Y2" s="1" t="s">
        <v>13</v>
      </c>
      <c r="Z2" s="1" t="s">
        <v>14</v>
      </c>
      <c r="AA2" s="1" t="s">
        <v>15</v>
      </c>
      <c r="AB2" s="1" t="s">
        <v>460</v>
      </c>
      <c r="AC2" s="1" t="s">
        <v>16</v>
      </c>
      <c r="AD2" s="1" t="s">
        <v>17</v>
      </c>
      <c r="AE2" s="1" t="s">
        <v>107</v>
      </c>
      <c r="AF2" s="1" t="s">
        <v>134</v>
      </c>
      <c r="AG2" s="1" t="s">
        <v>459</v>
      </c>
      <c r="AH2" s="1" t="s">
        <v>461</v>
      </c>
      <c r="AI2" s="1" t="s">
        <v>462</v>
      </c>
      <c r="AJ2" s="1" t="s">
        <v>465</v>
      </c>
    </row>
    <row r="3" spans="1:36">
      <c r="A3" s="6" t="s">
        <v>216</v>
      </c>
      <c r="B3" s="17">
        <v>223.3</v>
      </c>
      <c r="C3" s="14">
        <v>23.25</v>
      </c>
      <c r="D3" s="14">
        <v>0.56999999999999995</v>
      </c>
      <c r="E3" s="14">
        <v>3.89</v>
      </c>
      <c r="F3" s="48">
        <v>0.66</v>
      </c>
      <c r="G3" s="50">
        <v>0.59</v>
      </c>
      <c r="H3" s="50">
        <v>0</v>
      </c>
      <c r="I3" s="6">
        <f t="shared" ref="I3:I36" si="0">C3*26.98/101.96</f>
        <v>6.1522655943507258</v>
      </c>
      <c r="J3" s="6">
        <f t="shared" ref="J3:J36" si="1">D3*24.305/40.3044</f>
        <v>0.34373046119034145</v>
      </c>
      <c r="K3" s="6">
        <f t="shared" ref="K3:K36" si="2">E3*47.867/79.866</f>
        <v>2.3314380337064584</v>
      </c>
      <c r="L3" s="6">
        <f>F3*40.078/56.0774</f>
        <v>0.47169590601561423</v>
      </c>
      <c r="M3" s="6">
        <f>G3*39.0983/94.2</f>
        <v>0.24488319532908703</v>
      </c>
      <c r="N3" s="6">
        <f>H3*22.989769/61.9789</f>
        <v>0</v>
      </c>
      <c r="O3" s="20">
        <f>100*(I3/(I3+L3+M3+N3))</f>
        <v>89.567691029704505</v>
      </c>
      <c r="P3" s="20">
        <f>100*(I3/(I3+L3+N3))</f>
        <v>92.878945537507633</v>
      </c>
      <c r="Q3" s="56">
        <v>339</v>
      </c>
      <c r="R3" s="56">
        <f>Q3/10000</f>
        <v>3.39E-2</v>
      </c>
      <c r="S3" s="6">
        <f>I3/I36-1</f>
        <v>0.66772933769028464</v>
      </c>
      <c r="T3" s="6">
        <f>J3/J36-1</f>
        <v>-0.87129954841946811</v>
      </c>
      <c r="U3" s="6">
        <f>K3/K36-1</f>
        <v>0.4722455845248108</v>
      </c>
      <c r="V3" s="6">
        <f>T3/-0.61</f>
        <v>1.428359915441751</v>
      </c>
      <c r="W3" s="6">
        <f>V3*0.0032</f>
        <v>4.5707517294136038E-3</v>
      </c>
      <c r="X3" s="6">
        <f>V3*0.000044</f>
        <v>6.2847836279437047E-5</v>
      </c>
      <c r="Y3" s="6">
        <f>I36*(100-W3)/100</f>
        <v>3.6888386205910608</v>
      </c>
      <c r="Z3" s="6">
        <f>K36*(100-X3)/100</f>
        <v>1.5835921621735451</v>
      </c>
      <c r="AA3" s="6">
        <f>Y3/Z3</f>
        <v>2.3294120220499064</v>
      </c>
      <c r="AB3" s="6">
        <f>AA3/AC36-1</f>
        <v>-4.5079067262476791E-5</v>
      </c>
      <c r="AC3" s="6">
        <f>I3/K3</f>
        <v>2.6388286994572261</v>
      </c>
      <c r="AD3" s="6">
        <f>J3/K3</f>
        <v>0.14743281023166971</v>
      </c>
      <c r="AE3" s="6">
        <f>L3/K3</f>
        <v>0.20231972679356378</v>
      </c>
      <c r="AF3" s="6">
        <f>R3/K3</f>
        <v>1.4540382163237973E-2</v>
      </c>
      <c r="AG3" s="6">
        <f>AC3/AC36-1</f>
        <v>0.1327793102049406</v>
      </c>
      <c r="AH3" s="6">
        <f>AD3/AD36-1</f>
        <v>-0.91258221255112693</v>
      </c>
      <c r="AI3" s="6">
        <f>AE3/AE36-1</f>
        <v>-0.92591282298464173</v>
      </c>
      <c r="AJ3" s="6">
        <f>AF3/AF36-1</f>
        <v>-0.15655495604081726</v>
      </c>
    </row>
    <row r="4" spans="1:36">
      <c r="A4" s="6" t="s">
        <v>216</v>
      </c>
      <c r="B4" s="17">
        <v>223.5</v>
      </c>
      <c r="C4" s="14">
        <v>23.54</v>
      </c>
      <c r="D4" s="14">
        <v>0.73</v>
      </c>
      <c r="E4" s="14">
        <v>4.03</v>
      </c>
      <c r="F4" s="48">
        <v>0.59</v>
      </c>
      <c r="G4" s="50">
        <v>1.97</v>
      </c>
      <c r="H4" s="50">
        <v>0.04</v>
      </c>
      <c r="I4" s="6">
        <f t="shared" si="0"/>
        <v>6.2290035307963914</v>
      </c>
      <c r="J4" s="6">
        <f t="shared" si="1"/>
        <v>0.44021620468236711</v>
      </c>
      <c r="K4" s="6">
        <f t="shared" si="2"/>
        <v>2.4153458292640173</v>
      </c>
      <c r="L4" s="6">
        <f t="shared" ref="L4:L36" si="3">F4*40.078/56.0774</f>
        <v>0.42166755234729142</v>
      </c>
      <c r="M4" s="6">
        <f t="shared" ref="M4:M36" si="4">G4*39.0983/94.2</f>
        <v>0.81766083864118899</v>
      </c>
      <c r="N4" s="6">
        <f t="shared" ref="N4:N36" si="5">H4*22.989769/61.9789</f>
        <v>1.4837158452311995E-2</v>
      </c>
      <c r="O4" s="20">
        <f t="shared" ref="O4:O35" si="6">100*(I4/(I4+L4+M4+N4))</f>
        <v>83.240181586261315</v>
      </c>
      <c r="P4" s="20">
        <f t="shared" ref="P4:P35" si="7">100*(I4/(I4+L4+N4))</f>
        <v>93.451291409774228</v>
      </c>
      <c r="Q4" s="56">
        <v>386</v>
      </c>
      <c r="R4" s="56">
        <f t="shared" ref="R4:R36" si="8">Q4/10000</f>
        <v>3.8600000000000002E-2</v>
      </c>
      <c r="S4" s="6">
        <f>I4/I36-1</f>
        <v>0.68853112297760455</v>
      </c>
      <c r="T4" s="6">
        <f>J4/J36-1</f>
        <v>-0.83517310587054694</v>
      </c>
      <c r="U4" s="6">
        <f>K4/K36-1</f>
        <v>0.52523128679562658</v>
      </c>
      <c r="V4" s="6">
        <f t="shared" ref="V4:V35" si="9">T4/-0.61</f>
        <v>1.3691362391320443</v>
      </c>
      <c r="W4" s="6">
        <f t="shared" ref="W4:W35" si="10">V4*0.0032</f>
        <v>4.3812359652225423E-3</v>
      </c>
      <c r="X4" s="6">
        <f t="shared" ref="X4:X35" si="11">V4*0.000044</f>
        <v>6.0241994521809945E-5</v>
      </c>
      <c r="Y4" s="6">
        <f>I36*(100-W4)/100</f>
        <v>3.6888456118413155</v>
      </c>
      <c r="Z4" s="6">
        <f>K36*(100-X4)/100</f>
        <v>1.5835922034394769</v>
      </c>
      <c r="AA4" s="6">
        <f t="shared" ref="AA4:AA35" si="12">Y4/Z4</f>
        <v>2.3294163761537483</v>
      </c>
      <c r="AB4" s="6">
        <f>AA4/AC36-1</f>
        <v>-4.3209965737478484E-5</v>
      </c>
      <c r="AC4" s="6">
        <f t="shared" ref="AC4:AC36" si="13">I4/K4</f>
        <v>2.5789282244085263</v>
      </c>
      <c r="AD4" s="6">
        <f t="shared" ref="AD4:AD36" si="14">J4/K4</f>
        <v>0.18225804327842604</v>
      </c>
      <c r="AE4" s="6">
        <f t="shared" ref="AE4:AE36" si="15">L4/K4</f>
        <v>0.17457854160610126</v>
      </c>
      <c r="AF4" s="6">
        <f t="shared" ref="AF4:AF36" si="16">R4/K4</f>
        <v>1.5981148344194607E-2</v>
      </c>
      <c r="AG4" s="6">
        <f>AC4/AC36-1</f>
        <v>0.10706562184746171</v>
      </c>
      <c r="AH4" s="6">
        <f>AD4/AD36-1</f>
        <v>-0.89193318052389314</v>
      </c>
      <c r="AI4" s="6">
        <f>AE4/AE36-1</f>
        <v>-0.93607132868337894</v>
      </c>
      <c r="AJ4" s="6">
        <f>AF4/AF36-1</f>
        <v>-7.2980323600670971E-2</v>
      </c>
    </row>
    <row r="5" spans="1:36">
      <c r="A5" s="6" t="s">
        <v>216</v>
      </c>
      <c r="B5" s="17">
        <v>223.7</v>
      </c>
      <c r="C5" s="14">
        <v>24.81</v>
      </c>
      <c r="D5" s="14">
        <v>0.77</v>
      </c>
      <c r="E5" s="14">
        <v>3.26</v>
      </c>
      <c r="F5" s="48">
        <v>0.35</v>
      </c>
      <c r="G5" s="50">
        <v>2.59</v>
      </c>
      <c r="H5" s="50">
        <v>0.04</v>
      </c>
      <c r="I5" s="6">
        <f t="shared" si="0"/>
        <v>6.565062769713613</v>
      </c>
      <c r="J5" s="6">
        <f t="shared" si="1"/>
        <v>0.46433764055537363</v>
      </c>
      <c r="K5" s="6">
        <f t="shared" si="2"/>
        <v>1.9538529536974429</v>
      </c>
      <c r="L5" s="6">
        <f t="shared" si="3"/>
        <v>0.25014176834161356</v>
      </c>
      <c r="M5" s="6">
        <f t="shared" si="4"/>
        <v>1.074995721868365</v>
      </c>
      <c r="N5" s="6">
        <f t="shared" si="5"/>
        <v>1.4837158452311995E-2</v>
      </c>
      <c r="O5" s="20">
        <f t="shared" si="6"/>
        <v>83.04910428953302</v>
      </c>
      <c r="P5" s="20">
        <f t="shared" si="7"/>
        <v>96.120390788691395</v>
      </c>
      <c r="Q5" s="56">
        <v>327</v>
      </c>
      <c r="R5" s="56">
        <f t="shared" si="8"/>
        <v>3.27E-2</v>
      </c>
      <c r="S5" s="6">
        <f>I5/I36-1</f>
        <v>0.77962859647724558</v>
      </c>
      <c r="T5" s="6">
        <f>J5/J36-1</f>
        <v>-0.82614149523331659</v>
      </c>
      <c r="U5" s="6">
        <f>K5/K36-1</f>
        <v>0.23380992430613934</v>
      </c>
      <c r="V5" s="6">
        <f t="shared" si="9"/>
        <v>1.3543303200546173</v>
      </c>
      <c r="W5" s="6">
        <f t="shared" si="10"/>
        <v>4.3338570241747759E-3</v>
      </c>
      <c r="X5" s="6">
        <f t="shared" si="11"/>
        <v>5.9590534082403158E-5</v>
      </c>
      <c r="Y5" s="6">
        <f>I36*(100-W5)/100</f>
        <v>3.6888473596538791</v>
      </c>
      <c r="Z5" s="6">
        <f>K36*(100-X5)/100</f>
        <v>1.5835922137559602</v>
      </c>
      <c r="AA5" s="6">
        <f t="shared" si="12"/>
        <v>2.3294174646796728</v>
      </c>
      <c r="AB5" s="6">
        <f>AA5/AC36-1</f>
        <v>-4.2742690371633252E-5</v>
      </c>
      <c r="AC5" s="6">
        <f t="shared" si="13"/>
        <v>3.3600598024994581</v>
      </c>
      <c r="AD5" s="6">
        <f t="shared" si="14"/>
        <v>0.23765229603213886</v>
      </c>
      <c r="AE5" s="6">
        <f t="shared" si="15"/>
        <v>0.12802486894842774</v>
      </c>
      <c r="AF5" s="6">
        <f t="shared" si="16"/>
        <v>1.6736162226598985E-2</v>
      </c>
      <c r="AG5" s="6">
        <f>AC5/AC36-1</f>
        <v>0.44238473156881075</v>
      </c>
      <c r="AH5" s="6">
        <f>AD5/AD36-1</f>
        <v>-0.85908809668194508</v>
      </c>
      <c r="AI5" s="6">
        <f>AE5/AE36-1</f>
        <v>-0.95311875278564306</v>
      </c>
      <c r="AJ5" s="6">
        <f>AF5/AF36-1</f>
        <v>-2.9184176423440067E-2</v>
      </c>
    </row>
    <row r="6" spans="1:36">
      <c r="A6" s="6" t="s">
        <v>216</v>
      </c>
      <c r="B6" s="17">
        <v>223.8</v>
      </c>
      <c r="C6" s="14">
        <v>22.1</v>
      </c>
      <c r="D6" s="14">
        <v>0.8</v>
      </c>
      <c r="E6" s="14">
        <v>4.38</v>
      </c>
      <c r="F6" s="48">
        <v>1.02</v>
      </c>
      <c r="G6" s="50">
        <v>2</v>
      </c>
      <c r="H6" s="50">
        <v>0.04</v>
      </c>
      <c r="I6" s="6">
        <f t="shared" si="0"/>
        <v>5.8479599843075727</v>
      </c>
      <c r="J6" s="6">
        <f t="shared" si="1"/>
        <v>0.4824287174601285</v>
      </c>
      <c r="K6" s="6">
        <f t="shared" si="2"/>
        <v>2.6251153181579143</v>
      </c>
      <c r="L6" s="6">
        <f t="shared" si="3"/>
        <v>0.72898458202413108</v>
      </c>
      <c r="M6" s="6">
        <f t="shared" si="4"/>
        <v>0.83011252653927814</v>
      </c>
      <c r="N6" s="6">
        <f t="shared" si="5"/>
        <v>1.4837158452311995E-2</v>
      </c>
      <c r="O6" s="20">
        <f t="shared" si="6"/>
        <v>78.793361725207888</v>
      </c>
      <c r="P6" s="20">
        <f t="shared" si="7"/>
        <v>88.715922772749053</v>
      </c>
      <c r="Q6" s="56">
        <v>437</v>
      </c>
      <c r="R6" s="56">
        <f t="shared" si="8"/>
        <v>4.3700000000000003E-2</v>
      </c>
      <c r="S6" s="6">
        <f>I6/I36-1</f>
        <v>0.58523949948194831</v>
      </c>
      <c r="T6" s="6">
        <f>J6/J36-1</f>
        <v>-0.81936778725539383</v>
      </c>
      <c r="U6" s="6">
        <f>K6/K36-1</f>
        <v>0.65769554247266604</v>
      </c>
      <c r="V6" s="6">
        <f t="shared" si="9"/>
        <v>1.3432258807465474</v>
      </c>
      <c r="W6" s="6">
        <f t="shared" si="10"/>
        <v>4.2983228183889515E-3</v>
      </c>
      <c r="X6" s="6">
        <f t="shared" si="11"/>
        <v>5.9101938752848082E-5</v>
      </c>
      <c r="Y6" s="6">
        <f>I36*(100-W6)/100</f>
        <v>3.6888486705133015</v>
      </c>
      <c r="Z6" s="6">
        <f>K36*(100-X6)/100</f>
        <v>1.583592221493322</v>
      </c>
      <c r="AA6" s="6">
        <f t="shared" si="12"/>
        <v>2.3294182810741075</v>
      </c>
      <c r="AB6" s="6">
        <f>AA6/AC36-1</f>
        <v>-4.2392233850940819E-5</v>
      </c>
      <c r="AC6" s="6">
        <f t="shared" si="13"/>
        <v>2.2276964154135448</v>
      </c>
      <c r="AD6" s="6">
        <f t="shared" si="14"/>
        <v>0.18377429521787886</v>
      </c>
      <c r="AE6" s="6">
        <f t="shared" si="15"/>
        <v>0.27769621280320411</v>
      </c>
      <c r="AF6" s="6">
        <f t="shared" si="16"/>
        <v>1.6646887737741364E-2</v>
      </c>
      <c r="AG6" s="6">
        <f>AC6/AC36-1</f>
        <v>-4.370889655807364E-2</v>
      </c>
      <c r="AH6" s="6">
        <f>AD6/AD36-1</f>
        <v>-0.89103414462032637</v>
      </c>
      <c r="AI6" s="6">
        <f>AE6/AE36-1</f>
        <v>-0.8983108132829879</v>
      </c>
      <c r="AJ6" s="6">
        <f>AF6/AF36-1</f>
        <v>-3.436272842665522E-2</v>
      </c>
    </row>
    <row r="7" spans="1:36">
      <c r="A7" s="6" t="s">
        <v>216</v>
      </c>
      <c r="B7" s="17">
        <v>224</v>
      </c>
      <c r="C7" s="14">
        <v>23.29</v>
      </c>
      <c r="D7" s="14">
        <v>0.86</v>
      </c>
      <c r="E7" s="14">
        <v>4.1900000000000004</v>
      </c>
      <c r="F7" s="48">
        <v>0.2</v>
      </c>
      <c r="G7" s="50">
        <v>3.3</v>
      </c>
      <c r="H7" s="50">
        <v>0.05</v>
      </c>
      <c r="I7" s="6">
        <f t="shared" si="0"/>
        <v>6.162850137308749</v>
      </c>
      <c r="J7" s="6">
        <f t="shared" si="1"/>
        <v>0.51861087126963801</v>
      </c>
      <c r="K7" s="6">
        <f t="shared" si="2"/>
        <v>2.5112404527583703</v>
      </c>
      <c r="L7" s="6">
        <f t="shared" si="3"/>
        <v>0.14293815333806492</v>
      </c>
      <c r="M7" s="6">
        <f t="shared" si="4"/>
        <v>1.3696856687898089</v>
      </c>
      <c r="N7" s="6">
        <f t="shared" si="5"/>
        <v>1.8546448065389996E-2</v>
      </c>
      <c r="O7" s="20">
        <f t="shared" si="6"/>
        <v>80.099217455931054</v>
      </c>
      <c r="P7" s="20">
        <f t="shared" si="7"/>
        <v>97.44661520815805</v>
      </c>
      <c r="Q7" s="56">
        <v>378</v>
      </c>
      <c r="R7" s="56">
        <f t="shared" si="8"/>
        <v>3.78E-2</v>
      </c>
      <c r="S7" s="6">
        <f>I7/I36-1</f>
        <v>0.67059854945405295</v>
      </c>
      <c r="T7" s="6">
        <f>J7/J36-1</f>
        <v>-0.80582037129954842</v>
      </c>
      <c r="U7" s="6">
        <f>K7/K36-1</f>
        <v>0.58578637510513043</v>
      </c>
      <c r="V7" s="6">
        <f t="shared" si="9"/>
        <v>1.3210170021304073</v>
      </c>
      <c r="W7" s="6">
        <f t="shared" si="10"/>
        <v>4.2272544068173035E-3</v>
      </c>
      <c r="X7" s="6">
        <f t="shared" si="11"/>
        <v>5.8124748093737918E-5</v>
      </c>
      <c r="Y7" s="6">
        <f>I36*(100-W7)/100</f>
        <v>3.6888512922321475</v>
      </c>
      <c r="Z7" s="6">
        <f>K36*(100-X7)/100</f>
        <v>1.5835922369680466</v>
      </c>
      <c r="AA7" s="6">
        <f t="shared" si="12"/>
        <v>2.3294199138629526</v>
      </c>
      <c r="AB7" s="6">
        <f>AA7/AC36-1</f>
        <v>-4.1691320820103073E-5</v>
      </c>
      <c r="AC7" s="6">
        <f t="shared" si="13"/>
        <v>2.4541059501249336</v>
      </c>
      <c r="AD7" s="6">
        <f t="shared" si="14"/>
        <v>0.20651581599842059</v>
      </c>
      <c r="AE7" s="6">
        <f t="shared" si="15"/>
        <v>5.6919341666808648E-2</v>
      </c>
      <c r="AF7" s="6">
        <f t="shared" si="16"/>
        <v>1.505232203410873E-2</v>
      </c>
      <c r="AG7" s="6">
        <f>AC7/AC36-1</f>
        <v>5.3482723575109636E-2</v>
      </c>
      <c r="AH7" s="6">
        <f>AD7/AD36-1</f>
        <v>-0.8775499450942259</v>
      </c>
      <c r="AI7" s="6">
        <f>AE7/AE36-1</f>
        <v>-0.9791567861004018</v>
      </c>
      <c r="AJ7" s="6">
        <f>AF7/AF36-1</f>
        <v>-0.12685882136956117</v>
      </c>
    </row>
    <row r="8" spans="1:36">
      <c r="A8" s="6" t="s">
        <v>216</v>
      </c>
      <c r="B8" s="17">
        <v>224.4</v>
      </c>
      <c r="C8" s="14">
        <v>21.43</v>
      </c>
      <c r="D8" s="14">
        <v>0.96</v>
      </c>
      <c r="E8" s="14">
        <v>4.66</v>
      </c>
      <c r="F8" s="48">
        <v>1.51</v>
      </c>
      <c r="G8" s="50">
        <v>3.81</v>
      </c>
      <c r="H8" s="50">
        <v>7.0000000000000007E-2</v>
      </c>
      <c r="I8" s="6">
        <f t="shared" si="0"/>
        <v>5.6706688897606909</v>
      </c>
      <c r="J8" s="6">
        <f t="shared" si="1"/>
        <v>0.57891446095215404</v>
      </c>
      <c r="K8" s="6">
        <f t="shared" si="2"/>
        <v>2.7929309092730321</v>
      </c>
      <c r="L8" s="6">
        <f t="shared" si="3"/>
        <v>1.07918305770239</v>
      </c>
      <c r="M8" s="6">
        <f t="shared" si="4"/>
        <v>1.5813643630573249</v>
      </c>
      <c r="N8" s="6">
        <f t="shared" si="5"/>
        <v>2.5965027291545994E-2</v>
      </c>
      <c r="O8" s="20">
        <f t="shared" si="6"/>
        <v>67.853845220562917</v>
      </c>
      <c r="P8" s="20">
        <f t="shared" si="7"/>
        <v>83.689817934700685</v>
      </c>
      <c r="Q8" s="56">
        <v>327</v>
      </c>
      <c r="R8" s="56">
        <f t="shared" si="8"/>
        <v>3.27E-2</v>
      </c>
      <c r="S8" s="6">
        <f>I8/I36-1</f>
        <v>0.53718020243883036</v>
      </c>
      <c r="T8" s="6">
        <f>J8/J36-1</f>
        <v>-0.78324134470647266</v>
      </c>
      <c r="U8" s="6">
        <f>K8/K36-1</f>
        <v>0.7636669470142976</v>
      </c>
      <c r="V8" s="6">
        <f t="shared" si="9"/>
        <v>1.2840022044368404</v>
      </c>
      <c r="W8" s="6">
        <f t="shared" si="10"/>
        <v>4.10880705419789E-3</v>
      </c>
      <c r="X8" s="6">
        <f t="shared" si="11"/>
        <v>5.649609699522098E-5</v>
      </c>
      <c r="Y8" s="6">
        <f>I36*(100-W8)/100</f>
        <v>3.6888556617635562</v>
      </c>
      <c r="Z8" s="6">
        <f>K36*(100-X8)/100</f>
        <v>1.583592262759254</v>
      </c>
      <c r="AA8" s="6">
        <f t="shared" si="12"/>
        <v>2.329422635177623</v>
      </c>
      <c r="AB8" s="6">
        <f>AA8/AC36-1</f>
        <v>-4.0523132465941636E-5</v>
      </c>
      <c r="AC8" s="6">
        <f t="shared" si="13"/>
        <v>2.0303649012344174</v>
      </c>
      <c r="AD8" s="6">
        <f t="shared" si="14"/>
        <v>0.20727847546462896</v>
      </c>
      <c r="AE8" s="6">
        <f t="shared" si="15"/>
        <v>0.3863980502057206</v>
      </c>
      <c r="AF8" s="6">
        <f t="shared" si="16"/>
        <v>1.1708130656376114E-2</v>
      </c>
      <c r="AG8" s="6">
        <f>AC8/AC36-1</f>
        <v>-0.12841809217941369</v>
      </c>
      <c r="AH8" s="6">
        <f>AD8/AD36-1</f>
        <v>-0.87709773908249689</v>
      </c>
      <c r="AI8" s="6">
        <f>AE8/AE36-1</f>
        <v>-0.85850543989123651</v>
      </c>
      <c r="AJ8" s="6">
        <f>AF8/AF36-1</f>
        <v>-0.32084558264815766</v>
      </c>
    </row>
    <row r="9" spans="1:36">
      <c r="A9" s="6" t="s">
        <v>216</v>
      </c>
      <c r="B9" s="17">
        <v>224.6</v>
      </c>
      <c r="C9" s="14">
        <v>24.05</v>
      </c>
      <c r="D9" s="14">
        <v>0.95</v>
      </c>
      <c r="E9" s="14">
        <v>4.3099999999999996</v>
      </c>
      <c r="F9" s="48">
        <v>0.26</v>
      </c>
      <c r="G9" s="50">
        <v>2.84</v>
      </c>
      <c r="H9" s="50">
        <v>0.06</v>
      </c>
      <c r="I9" s="6">
        <f t="shared" si="0"/>
        <v>6.3639564535111814</v>
      </c>
      <c r="J9" s="6">
        <f t="shared" si="1"/>
        <v>0.57288410198390249</v>
      </c>
      <c r="K9" s="6">
        <f t="shared" si="2"/>
        <v>2.5831614203791347</v>
      </c>
      <c r="L9" s="6">
        <f t="shared" si="3"/>
        <v>0.18581959933948439</v>
      </c>
      <c r="M9" s="6">
        <f t="shared" si="4"/>
        <v>1.1787597876857749</v>
      </c>
      <c r="N9" s="6">
        <f t="shared" si="5"/>
        <v>2.2255737678467991E-2</v>
      </c>
      <c r="O9" s="20">
        <f t="shared" si="6"/>
        <v>82.107180786518711</v>
      </c>
      <c r="P9" s="20">
        <f t="shared" si="7"/>
        <v>96.833926803004715</v>
      </c>
      <c r="Q9" s="56">
        <v>385</v>
      </c>
      <c r="R9" s="56">
        <f t="shared" si="8"/>
        <v>3.85E-2</v>
      </c>
      <c r="S9" s="6">
        <f>I9/I36-1</f>
        <v>0.72511357296564949</v>
      </c>
      <c r="T9" s="6">
        <f>J9/J36-1</f>
        <v>-0.78549924736578025</v>
      </c>
      <c r="U9" s="6">
        <f>K9/K36-1</f>
        <v>0.63120269133725793</v>
      </c>
      <c r="V9" s="6">
        <f t="shared" si="9"/>
        <v>1.2877036842061971</v>
      </c>
      <c r="W9" s="6">
        <f t="shared" si="10"/>
        <v>4.1206517894598312E-3</v>
      </c>
      <c r="X9" s="6">
        <f t="shared" si="11"/>
        <v>5.6658962105072672E-5</v>
      </c>
      <c r="Y9" s="6">
        <f>I36*(100-W9)/100</f>
        <v>3.6888552248104149</v>
      </c>
      <c r="Z9" s="6">
        <f>K36*(100-X9)/100</f>
        <v>1.5835922601801331</v>
      </c>
      <c r="AA9" s="6">
        <f t="shared" si="12"/>
        <v>2.3294223630461599</v>
      </c>
      <c r="AB9" s="6">
        <f>AA9/AC36-1</f>
        <v>-4.0639951299659138E-5</v>
      </c>
      <c r="AC9" s="6">
        <f t="shared" si="13"/>
        <v>2.4636309613888292</v>
      </c>
      <c r="AD9" s="6">
        <f t="shared" si="14"/>
        <v>0.22177634640417454</v>
      </c>
      <c r="AE9" s="6">
        <f t="shared" si="15"/>
        <v>7.1934954538075815E-2</v>
      </c>
      <c r="AF9" s="6">
        <f t="shared" si="16"/>
        <v>1.4904217636677654E-2</v>
      </c>
      <c r="AG9" s="6">
        <f>AC9/AC36-1</f>
        <v>5.7571558781210452E-2</v>
      </c>
      <c r="AH9" s="6">
        <f>AD9/AD36-1</f>
        <v>-0.86850147208966877</v>
      </c>
      <c r="AI9" s="6">
        <f>AE9/AE36-1</f>
        <v>-0.97365823988141276</v>
      </c>
      <c r="AJ9" s="6">
        <f>AF9/AF36-1</f>
        <v>-0.13544992431303327</v>
      </c>
    </row>
    <row r="10" spans="1:36">
      <c r="A10" s="6" t="s">
        <v>216</v>
      </c>
      <c r="B10" s="17">
        <v>224.7</v>
      </c>
      <c r="C10" s="14">
        <v>22.15</v>
      </c>
      <c r="D10" s="14">
        <v>0.79</v>
      </c>
      <c r="E10" s="14">
        <v>4.03</v>
      </c>
      <c r="F10" s="48">
        <v>2.0699999999999998</v>
      </c>
      <c r="G10" s="50">
        <v>3.8</v>
      </c>
      <c r="H10" s="50">
        <v>0.06</v>
      </c>
      <c r="I10" s="6">
        <f t="shared" si="0"/>
        <v>5.8611906630051003</v>
      </c>
      <c r="J10" s="6">
        <f t="shared" si="1"/>
        <v>0.47639835849187684</v>
      </c>
      <c r="K10" s="6">
        <f t="shared" si="2"/>
        <v>2.4153458292640173</v>
      </c>
      <c r="L10" s="6">
        <f t="shared" si="3"/>
        <v>1.4794098870489718</v>
      </c>
      <c r="M10" s="6">
        <f t="shared" si="4"/>
        <v>1.5772138004246286</v>
      </c>
      <c r="N10" s="6">
        <f t="shared" si="5"/>
        <v>2.2255737678467991E-2</v>
      </c>
      <c r="O10" s="20">
        <f t="shared" si="6"/>
        <v>65.560902825240348</v>
      </c>
      <c r="P10" s="20">
        <f t="shared" si="7"/>
        <v>79.604849449127428</v>
      </c>
      <c r="Q10" s="56">
        <v>67</v>
      </c>
      <c r="R10" s="56">
        <f t="shared" si="8"/>
        <v>6.7000000000000002E-3</v>
      </c>
      <c r="S10" s="6">
        <f>I10/I36-1</f>
        <v>0.58882601418665836</v>
      </c>
      <c r="T10" s="6">
        <f>J10/J36-1</f>
        <v>-0.82162568991470142</v>
      </c>
      <c r="U10" s="6">
        <f>K10/K36-1</f>
        <v>0.52523128679562658</v>
      </c>
      <c r="V10" s="6">
        <f t="shared" si="9"/>
        <v>1.346927360515904</v>
      </c>
      <c r="W10" s="6">
        <f t="shared" si="10"/>
        <v>4.3101675536508927E-3</v>
      </c>
      <c r="X10" s="6">
        <f t="shared" si="11"/>
        <v>5.9264803862699774E-5</v>
      </c>
      <c r="Y10" s="6">
        <f>I36*(100-W10)/100</f>
        <v>3.6888482335601607</v>
      </c>
      <c r="Z10" s="6">
        <f>K36*(100-X10)/100</f>
        <v>1.5835922189142013</v>
      </c>
      <c r="AA10" s="6">
        <f t="shared" si="12"/>
        <v>2.3294180089426302</v>
      </c>
      <c r="AB10" s="6">
        <f>AA10/AC36-1</f>
        <v>-4.2509052690764548E-5</v>
      </c>
      <c r="AC10" s="6">
        <f t="shared" si="13"/>
        <v>2.4266465662977423</v>
      </c>
      <c r="AD10" s="6">
        <f t="shared" si="14"/>
        <v>0.1972381564245981</v>
      </c>
      <c r="AE10" s="6">
        <f t="shared" si="15"/>
        <v>0.61250437478750797</v>
      </c>
      <c r="AF10" s="6">
        <f t="shared" si="16"/>
        <v>2.7739298939405146E-3</v>
      </c>
      <c r="AG10" s="6">
        <f>AC10/AC36-1</f>
        <v>4.169513695502447E-2</v>
      </c>
      <c r="AH10" s="6">
        <f>AD10/AD36-1</f>
        <v>-0.88305097618339123</v>
      </c>
      <c r="AI10" s="6">
        <f>AE10/AE36-1</f>
        <v>-0.77570788199083784</v>
      </c>
      <c r="AJ10" s="6">
        <f>AF10/AF36-1</f>
        <v>-0.83909243958871749</v>
      </c>
    </row>
    <row r="11" spans="1:36">
      <c r="A11" s="6" t="s">
        <v>216</v>
      </c>
      <c r="B11" s="17">
        <v>225.3</v>
      </c>
      <c r="C11" s="14">
        <v>20.74</v>
      </c>
      <c r="D11" s="14">
        <v>0.99</v>
      </c>
      <c r="E11" s="14">
        <v>2.54</v>
      </c>
      <c r="F11" s="48">
        <v>1.53</v>
      </c>
      <c r="G11" s="50">
        <v>4.59</v>
      </c>
      <c r="H11" s="50">
        <v>0.08</v>
      </c>
      <c r="I11" s="6">
        <f t="shared" si="0"/>
        <v>5.4880855237347985</v>
      </c>
      <c r="J11" s="6">
        <f t="shared" si="1"/>
        <v>0.59700553785690891</v>
      </c>
      <c r="K11" s="6">
        <f t="shared" si="2"/>
        <v>1.5223271479728544</v>
      </c>
      <c r="L11" s="6">
        <f t="shared" si="3"/>
        <v>1.0934768730361966</v>
      </c>
      <c r="M11" s="6">
        <f t="shared" si="4"/>
        <v>1.9051082484076431</v>
      </c>
      <c r="N11" s="6">
        <f t="shared" si="5"/>
        <v>2.9674316904623989E-2</v>
      </c>
      <c r="O11" s="20">
        <f t="shared" si="6"/>
        <v>64.441794551172194</v>
      </c>
      <c r="P11" s="20">
        <f t="shared" si="7"/>
        <v>83.011481231377857</v>
      </c>
      <c r="Q11" s="56">
        <v>271</v>
      </c>
      <c r="R11" s="56">
        <f t="shared" si="8"/>
        <v>2.7099999999999999E-2</v>
      </c>
      <c r="S11" s="6">
        <f>I11/I36-1</f>
        <v>0.48768629951382825</v>
      </c>
      <c r="T11" s="6">
        <f>J11/J36-1</f>
        <v>-0.7764676367285499</v>
      </c>
      <c r="U11" s="6">
        <f>K11/K36-1</f>
        <v>-3.8687973086627525E-2</v>
      </c>
      <c r="V11" s="6">
        <f t="shared" si="9"/>
        <v>1.2728977651287703</v>
      </c>
      <c r="W11" s="6">
        <f t="shared" si="10"/>
        <v>4.0732728484120647E-3</v>
      </c>
      <c r="X11" s="6">
        <f t="shared" si="11"/>
        <v>5.6007501665665892E-5</v>
      </c>
      <c r="Y11" s="6">
        <f>I36*(100-W11)/100</f>
        <v>3.6888569726229785</v>
      </c>
      <c r="Z11" s="6">
        <f>K36*(100-X11)/100</f>
        <v>1.5835922704966159</v>
      </c>
      <c r="AA11" s="6">
        <f t="shared" si="12"/>
        <v>2.3294234515720071</v>
      </c>
      <c r="AB11" s="6">
        <f>AA11/AC36-1</f>
        <v>-4.0172675967009575E-5</v>
      </c>
      <c r="AC11" s="6">
        <f t="shared" si="13"/>
        <v>3.6050631633566979</v>
      </c>
      <c r="AD11" s="6">
        <f t="shared" si="14"/>
        <v>0.39216638726563291</v>
      </c>
      <c r="AE11" s="6">
        <f t="shared" si="15"/>
        <v>0.71829295988860276</v>
      </c>
      <c r="AF11" s="6">
        <f t="shared" si="16"/>
        <v>1.7801692649366874E-2</v>
      </c>
      <c r="AG11" s="6">
        <f>AC11/AC36-1</f>
        <v>0.54755818908306386</v>
      </c>
      <c r="AH11" s="6">
        <f>AD11/AD36-1</f>
        <v>-0.76747158361351342</v>
      </c>
      <c r="AI11" s="6">
        <f>AE11/AE36-1</f>
        <v>-0.73696930837371277</v>
      </c>
      <c r="AJ11" s="6">
        <f>AF11/AF36-1</f>
        <v>3.2624127112316215E-2</v>
      </c>
    </row>
    <row r="12" spans="1:36">
      <c r="A12" s="6" t="s">
        <v>216</v>
      </c>
      <c r="B12" s="17">
        <v>225.6</v>
      </c>
      <c r="C12" s="14">
        <v>17.649999999999999</v>
      </c>
      <c r="D12" s="14">
        <v>1.37</v>
      </c>
      <c r="E12" s="14">
        <v>3.16</v>
      </c>
      <c r="F12" s="48">
        <v>2.08</v>
      </c>
      <c r="G12" s="50">
        <v>5.2</v>
      </c>
      <c r="H12" s="50">
        <v>0.08</v>
      </c>
      <c r="I12" s="6">
        <f t="shared" si="0"/>
        <v>4.6704295802275402</v>
      </c>
      <c r="J12" s="6">
        <f t="shared" si="1"/>
        <v>0.82615917865046995</v>
      </c>
      <c r="K12" s="6">
        <f t="shared" si="2"/>
        <v>1.8939188140134724</v>
      </c>
      <c r="L12" s="6">
        <f t="shared" si="3"/>
        <v>1.4865567947158751</v>
      </c>
      <c r="M12" s="6">
        <f t="shared" si="4"/>
        <v>2.1582925690021235</v>
      </c>
      <c r="N12" s="6">
        <f t="shared" si="5"/>
        <v>2.9674316904623989E-2</v>
      </c>
      <c r="O12" s="20">
        <f t="shared" si="6"/>
        <v>55.96711490450852</v>
      </c>
      <c r="P12" s="20">
        <f t="shared" si="7"/>
        <v>75.491930345907164</v>
      </c>
      <c r="Q12" s="56">
        <v>248</v>
      </c>
      <c r="R12" s="56">
        <f t="shared" si="8"/>
        <v>2.4799999999999999E-2</v>
      </c>
      <c r="S12" s="6">
        <f>I12/I36-1</f>
        <v>0.26603969076273226</v>
      </c>
      <c r="T12" s="6">
        <f>J12/J36-1</f>
        <v>-0.69066733567486194</v>
      </c>
      <c r="U12" s="6">
        <f>K12/K36-1</f>
        <v>0.19596299411269968</v>
      </c>
      <c r="V12" s="6">
        <f t="shared" si="9"/>
        <v>1.1322415338932164</v>
      </c>
      <c r="W12" s="6">
        <f t="shared" si="10"/>
        <v>3.6231729084582926E-3</v>
      </c>
      <c r="X12" s="6">
        <f t="shared" si="11"/>
        <v>4.9818627491301517E-5</v>
      </c>
      <c r="Y12" s="6">
        <f>I36*(100-W12)/100</f>
        <v>3.6888735768423326</v>
      </c>
      <c r="Z12" s="6">
        <f>K36*(100-X12)/100</f>
        <v>1.5835923685032041</v>
      </c>
      <c r="AA12" s="6">
        <f t="shared" si="12"/>
        <v>2.3294337925668458</v>
      </c>
      <c r="AB12" s="6">
        <f>AA12/AC36-1</f>
        <v>-3.5733560611594939E-5</v>
      </c>
      <c r="AC12" s="6">
        <f t="shared" si="13"/>
        <v>2.4660136145594662</v>
      </c>
      <c r="AD12" s="6">
        <f t="shared" si="14"/>
        <v>0.43621678634667865</v>
      </c>
      <c r="AE12" s="6">
        <f t="shared" si="15"/>
        <v>0.78491051660533351</v>
      </c>
      <c r="AF12" s="6">
        <f t="shared" si="16"/>
        <v>1.3094542287927018E-2</v>
      </c>
      <c r="AG12" s="6">
        <f>AC12/AC36-1</f>
        <v>5.8594368717924672E-2</v>
      </c>
      <c r="AH12" s="6">
        <f>AD12/AD36-1</f>
        <v>-0.74135264565218773</v>
      </c>
      <c r="AI12" s="6">
        <f>AE12/AE36-1</f>
        <v>-0.71257471870604772</v>
      </c>
      <c r="AJ12" s="6">
        <f>AF12/AF36-1</f>
        <v>-0.24042389865174663</v>
      </c>
    </row>
    <row r="13" spans="1:36">
      <c r="A13" s="6" t="s">
        <v>216</v>
      </c>
      <c r="B13" s="17">
        <v>225.8</v>
      </c>
      <c r="C13" s="14">
        <v>16.21</v>
      </c>
      <c r="D13" s="14">
        <v>2.2200000000000002</v>
      </c>
      <c r="E13" s="14">
        <v>2.72</v>
      </c>
      <c r="F13" s="48">
        <v>1.59</v>
      </c>
      <c r="G13" s="50">
        <v>7.83</v>
      </c>
      <c r="H13" s="50">
        <v>7.0000000000000007E-2</v>
      </c>
      <c r="I13" s="6">
        <f t="shared" si="0"/>
        <v>4.2893860337387215</v>
      </c>
      <c r="J13" s="6">
        <f t="shared" si="1"/>
        <v>1.3387396909518565</v>
      </c>
      <c r="K13" s="6">
        <f t="shared" si="2"/>
        <v>1.6302085994040016</v>
      </c>
      <c r="L13" s="6">
        <f t="shared" si="3"/>
        <v>1.1363583190376161</v>
      </c>
      <c r="M13" s="6">
        <f t="shared" si="4"/>
        <v>3.2498905414012742</v>
      </c>
      <c r="N13" s="6">
        <f t="shared" si="5"/>
        <v>2.5965027291545994E-2</v>
      </c>
      <c r="O13" s="20">
        <f t="shared" si="6"/>
        <v>49.294222584925642</v>
      </c>
      <c r="P13" s="20">
        <f t="shared" si="7"/>
        <v>78.679653200540017</v>
      </c>
      <c r="Q13" s="56">
        <v>251</v>
      </c>
      <c r="R13" s="56">
        <f t="shared" si="8"/>
        <v>2.5100000000000001E-2</v>
      </c>
      <c r="S13" s="6">
        <f>I13/I36-1</f>
        <v>0.16274806726707602</v>
      </c>
      <c r="T13" s="6">
        <f>J13/J36-1</f>
        <v>-0.49874560963371783</v>
      </c>
      <c r="U13" s="6">
        <f>K13/K36-1</f>
        <v>2.9436501261564274E-2</v>
      </c>
      <c r="V13" s="6">
        <f t="shared" si="9"/>
        <v>0.81761575349789806</v>
      </c>
      <c r="W13" s="6">
        <f t="shared" si="10"/>
        <v>2.6163704111932741E-3</v>
      </c>
      <c r="X13" s="6">
        <f t="shared" si="11"/>
        <v>3.5975093153907514E-5</v>
      </c>
      <c r="Y13" s="6">
        <f>I36*(100-W13)/100</f>
        <v>3.6889107178593088</v>
      </c>
      <c r="Z13" s="6">
        <f>K36*(100-X13)/100</f>
        <v>1.5835925877284667</v>
      </c>
      <c r="AA13" s="6">
        <f t="shared" si="12"/>
        <v>2.3294569237348779</v>
      </c>
      <c r="AB13" s="6">
        <f>AA13/AC36-1</f>
        <v>-2.5803962463322172E-5</v>
      </c>
      <c r="AC13" s="6">
        <f t="shared" si="13"/>
        <v>2.6311884474826752</v>
      </c>
      <c r="AD13" s="6">
        <f t="shared" si="14"/>
        <v>0.82120759971533397</v>
      </c>
      <c r="AE13" s="6">
        <f t="shared" si="15"/>
        <v>0.69706313624714322</v>
      </c>
      <c r="AF13" s="6">
        <f t="shared" si="16"/>
        <v>1.5396802598867696E-2</v>
      </c>
      <c r="AG13" s="6">
        <f>AC13/AC36-1</f>
        <v>0.12949955227169396</v>
      </c>
      <c r="AH13" s="6">
        <f>AD13/AD36-1</f>
        <v>-0.51307886426020466</v>
      </c>
      <c r="AI13" s="6">
        <f>AE13/AE36-1</f>
        <v>-0.74474342771964541</v>
      </c>
      <c r="AJ13" s="6">
        <f>AF13/AF36-1</f>
        <v>-0.10687651128827591</v>
      </c>
    </row>
    <row r="14" spans="1:36">
      <c r="A14" s="6" t="s">
        <v>216</v>
      </c>
      <c r="B14" s="17">
        <v>226</v>
      </c>
      <c r="C14" s="14">
        <v>17.04</v>
      </c>
      <c r="D14" s="14">
        <v>1.81</v>
      </c>
      <c r="E14" s="14">
        <v>2.98</v>
      </c>
      <c r="F14" s="48">
        <v>1.7</v>
      </c>
      <c r="G14" s="50">
        <v>7.31</v>
      </c>
      <c r="H14" s="50">
        <v>0.06</v>
      </c>
      <c r="I14" s="6">
        <f t="shared" si="0"/>
        <v>4.5090153001176931</v>
      </c>
      <c r="J14" s="6">
        <f t="shared" si="1"/>
        <v>1.0914949732535404</v>
      </c>
      <c r="K14" s="6">
        <f t="shared" si="2"/>
        <v>1.7860373625823251</v>
      </c>
      <c r="L14" s="6">
        <f t="shared" si="3"/>
        <v>1.2149743033735516</v>
      </c>
      <c r="M14" s="6">
        <f t="shared" si="4"/>
        <v>3.0340612845010617</v>
      </c>
      <c r="N14" s="6">
        <f t="shared" si="5"/>
        <v>2.2255737678467991E-2</v>
      </c>
      <c r="O14" s="20">
        <f t="shared" si="6"/>
        <v>51.353733899620238</v>
      </c>
      <c r="P14" s="20">
        <f t="shared" si="7"/>
        <v>78.468896338488605</v>
      </c>
      <c r="Q14" s="56">
        <v>277</v>
      </c>
      <c r="R14" s="56">
        <f t="shared" si="8"/>
        <v>2.7699999999999999E-2</v>
      </c>
      <c r="S14" s="6">
        <f>I14/I36-1</f>
        <v>0.22228421136526677</v>
      </c>
      <c r="T14" s="6">
        <f>J14/J36-1</f>
        <v>-0.59131961866532867</v>
      </c>
      <c r="U14" s="6">
        <f>K14/K36-1</f>
        <v>0.12783851976450777</v>
      </c>
      <c r="V14" s="6">
        <f t="shared" si="9"/>
        <v>0.96937642404152247</v>
      </c>
      <c r="W14" s="6">
        <f t="shared" si="10"/>
        <v>3.102004556932872E-3</v>
      </c>
      <c r="X14" s="6">
        <f t="shared" si="11"/>
        <v>4.2652562657826985E-5</v>
      </c>
      <c r="Y14" s="6">
        <f>I36*(100-W14)/100</f>
        <v>3.6888928027805319</v>
      </c>
      <c r="Z14" s="6">
        <f>K36*(100-X14)/100</f>
        <v>1.5835924819845164</v>
      </c>
      <c r="AA14" s="6">
        <f t="shared" si="12"/>
        <v>2.3294457663487442</v>
      </c>
      <c r="AB14" s="6">
        <f>AA14/AC36-1</f>
        <v>-3.0593532991729511E-5</v>
      </c>
      <c r="AC14" s="6">
        <f t="shared" si="13"/>
        <v>2.5245918112252568</v>
      </c>
      <c r="AD14" s="6">
        <f t="shared" si="14"/>
        <v>0.61112661813267599</v>
      </c>
      <c r="AE14" s="6">
        <f t="shared" si="15"/>
        <v>0.68026253471925835</v>
      </c>
      <c r="AF14" s="6">
        <f t="shared" si="16"/>
        <v>1.5509194029373617E-2</v>
      </c>
      <c r="AG14" s="6">
        <f>AC14/AC36-1</f>
        <v>8.3740437966668413E-2</v>
      </c>
      <c r="AH14" s="6">
        <f>AD14/AD36-1</f>
        <v>-0.63764282370848302</v>
      </c>
      <c r="AI14" s="6">
        <f>AE14/AE36-1</f>
        <v>-0.75089561643148051</v>
      </c>
      <c r="AJ14" s="6">
        <f>AF14/AF36-1</f>
        <v>-0.10035701310869083</v>
      </c>
    </row>
    <row r="15" spans="1:36">
      <c r="A15" s="6" t="s">
        <v>216</v>
      </c>
      <c r="B15" s="17">
        <v>226.3</v>
      </c>
      <c r="C15" s="14">
        <v>19.54</v>
      </c>
      <c r="D15" s="14">
        <v>1.1200000000000001</v>
      </c>
      <c r="E15" s="14">
        <v>3.68</v>
      </c>
      <c r="F15" s="48">
        <v>2.35</v>
      </c>
      <c r="G15" s="50">
        <v>3.87</v>
      </c>
      <c r="H15" s="50">
        <v>0.1</v>
      </c>
      <c r="I15" s="6">
        <f t="shared" si="0"/>
        <v>5.170549234994116</v>
      </c>
      <c r="J15" s="6">
        <f t="shared" si="1"/>
        <v>0.67540020444417981</v>
      </c>
      <c r="K15" s="6">
        <f t="shared" si="2"/>
        <v>2.2055763403701198</v>
      </c>
      <c r="L15" s="6">
        <f t="shared" si="3"/>
        <v>1.6795233017222628</v>
      </c>
      <c r="M15" s="6">
        <f t="shared" si="4"/>
        <v>1.6062677388535034</v>
      </c>
      <c r="N15" s="6">
        <f t="shared" si="5"/>
        <v>3.7092896130779991E-2</v>
      </c>
      <c r="O15" s="20">
        <f t="shared" si="6"/>
        <v>60.877022641702894</v>
      </c>
      <c r="P15" s="20">
        <f t="shared" si="7"/>
        <v>75.075142094511989</v>
      </c>
      <c r="Q15" s="56">
        <v>356</v>
      </c>
      <c r="R15" s="56">
        <f t="shared" si="8"/>
        <v>3.56E-2</v>
      </c>
      <c r="S15" s="6">
        <f>I15/I36-1</f>
        <v>0.40160994660078142</v>
      </c>
      <c r="T15" s="6">
        <f>J15/J36-1</f>
        <v>-0.74711490215755139</v>
      </c>
      <c r="U15" s="6">
        <f>K15/K36-1</f>
        <v>0.39276703111858691</v>
      </c>
      <c r="V15" s="6">
        <f t="shared" si="9"/>
        <v>1.2247785281271335</v>
      </c>
      <c r="W15" s="6">
        <f t="shared" si="10"/>
        <v>3.9192912900068277E-3</v>
      </c>
      <c r="X15" s="6">
        <f t="shared" si="11"/>
        <v>5.3890255237593872E-5</v>
      </c>
      <c r="Y15" s="6">
        <f>I36*(100-W15)/100</f>
        <v>3.6888626530138104</v>
      </c>
      <c r="Z15" s="6">
        <f>K36*(100-X15)/100</f>
        <v>1.5835923040251856</v>
      </c>
      <c r="AA15" s="6">
        <f t="shared" si="12"/>
        <v>2.3294269892809116</v>
      </c>
      <c r="AB15" s="6">
        <f>AA15/AC36-1</f>
        <v>-3.8654031178420034E-5</v>
      </c>
      <c r="AC15" s="6">
        <f t="shared" si="13"/>
        <v>2.3443075355652581</v>
      </c>
      <c r="AD15" s="6">
        <f t="shared" si="14"/>
        <v>0.30622390714022635</v>
      </c>
      <c r="AE15" s="6">
        <f t="shared" si="15"/>
        <v>0.76148953494868399</v>
      </c>
      <c r="AF15" s="6">
        <f t="shared" si="16"/>
        <v>1.6140905825107795E-2</v>
      </c>
      <c r="AG15" s="6">
        <f>AC15/AC36-1</f>
        <v>6.3491705968172774E-3</v>
      </c>
      <c r="AH15" s="6">
        <f>AD15/AD36-1</f>
        <v>-0.81842972141626125</v>
      </c>
      <c r="AI15" s="6">
        <f>AE15/AE36-1</f>
        <v>-0.72115121513261782</v>
      </c>
      <c r="AJ15" s="6">
        <f>AF15/AF36-1</f>
        <v>-6.371325936543315E-2</v>
      </c>
    </row>
    <row r="16" spans="1:36">
      <c r="A16" s="6" t="s">
        <v>216</v>
      </c>
      <c r="B16" s="17">
        <v>226.5</v>
      </c>
      <c r="C16" s="14">
        <v>18.03</v>
      </c>
      <c r="D16" s="14">
        <v>1.3</v>
      </c>
      <c r="E16" s="14">
        <v>3.46</v>
      </c>
      <c r="F16" s="48">
        <v>2.33</v>
      </c>
      <c r="G16" s="50">
        <v>4.04</v>
      </c>
      <c r="H16" s="50">
        <v>0.08</v>
      </c>
      <c r="I16" s="6">
        <f t="shared" si="0"/>
        <v>4.7709827383287573</v>
      </c>
      <c r="J16" s="6">
        <f t="shared" si="1"/>
        <v>0.78394666587270878</v>
      </c>
      <c r="K16" s="6">
        <f t="shared" si="2"/>
        <v>2.0737212330653843</v>
      </c>
      <c r="L16" s="6">
        <f t="shared" si="3"/>
        <v>1.6652294863884562</v>
      </c>
      <c r="M16" s="6">
        <f t="shared" si="4"/>
        <v>1.6768273036093417</v>
      </c>
      <c r="N16" s="6">
        <f t="shared" si="5"/>
        <v>2.9674316904623989E-2</v>
      </c>
      <c r="O16" s="20">
        <f t="shared" si="6"/>
        <v>58.592047184894113</v>
      </c>
      <c r="P16" s="20">
        <f t="shared" si="7"/>
        <v>73.786985088854536</v>
      </c>
      <c r="Q16" s="56">
        <v>350</v>
      </c>
      <c r="R16" s="56">
        <f t="shared" si="8"/>
        <v>3.5000000000000003E-2</v>
      </c>
      <c r="S16" s="6">
        <f>I16/I36-1</f>
        <v>0.29329720251853075</v>
      </c>
      <c r="T16" s="6">
        <f>J16/J36-1</f>
        <v>-0.70647265429001505</v>
      </c>
      <c r="U16" s="6">
        <f>K16/K36-1</f>
        <v>0.30950378469301909</v>
      </c>
      <c r="V16" s="6">
        <f t="shared" si="9"/>
        <v>1.1581518922787133</v>
      </c>
      <c r="W16" s="6">
        <f t="shared" si="10"/>
        <v>3.7060860552918825E-3</v>
      </c>
      <c r="X16" s="6">
        <f t="shared" si="11"/>
        <v>5.0958683260263386E-5</v>
      </c>
      <c r="Y16" s="6">
        <f>I36*(100-W16)/100</f>
        <v>3.6888705181703467</v>
      </c>
      <c r="Z16" s="6">
        <f>K36*(100-X16)/100</f>
        <v>1.583592350449359</v>
      </c>
      <c r="AA16" s="6">
        <f t="shared" si="12"/>
        <v>2.3294318876468401</v>
      </c>
      <c r="AB16" s="6">
        <f>AA16/AC36-1</f>
        <v>-3.6551292346365116E-5</v>
      </c>
      <c r="AC16" s="6">
        <f t="shared" si="13"/>
        <v>2.3006866411240185</v>
      </c>
      <c r="AD16" s="6">
        <f t="shared" si="14"/>
        <v>0.37803859717146032</v>
      </c>
      <c r="AE16" s="6">
        <f t="shared" si="15"/>
        <v>0.80301511111351564</v>
      </c>
      <c r="AF16" s="6">
        <f t="shared" si="16"/>
        <v>1.6877871259611325E-2</v>
      </c>
      <c r="AG16" s="6">
        <f>AC16/AC36-1</f>
        <v>-1.2376124730550275E-2</v>
      </c>
      <c r="AH16" s="6">
        <f>AD16/AD36-1</f>
        <v>-0.77584841743791122</v>
      </c>
      <c r="AI16" s="6">
        <f>AE16/AE36-1</f>
        <v>-0.705945022633516</v>
      </c>
      <c r="AJ16" s="6">
        <f>AF16/AF36-1</f>
        <v>-2.0964049865783596E-2</v>
      </c>
    </row>
    <row r="17" spans="1:36">
      <c r="A17" s="6" t="s">
        <v>216</v>
      </c>
      <c r="B17" s="17">
        <v>226.8</v>
      </c>
      <c r="C17" s="14">
        <v>19.670000000000002</v>
      </c>
      <c r="D17" s="14">
        <v>1.1599999999999999</v>
      </c>
      <c r="E17" s="14">
        <v>3.48</v>
      </c>
      <c r="F17" s="48">
        <v>2.0099999999999998</v>
      </c>
      <c r="G17" s="50">
        <v>4.47</v>
      </c>
      <c r="H17" s="50">
        <v>0.05</v>
      </c>
      <c r="I17" s="6">
        <f t="shared" si="0"/>
        <v>5.2049489996076908</v>
      </c>
      <c r="J17" s="6">
        <f t="shared" si="1"/>
        <v>0.69952164031718611</v>
      </c>
      <c r="K17" s="6">
        <f t="shared" si="2"/>
        <v>2.0857080610021788</v>
      </c>
      <c r="L17" s="6">
        <f t="shared" si="3"/>
        <v>1.4365284410475523</v>
      </c>
      <c r="M17" s="6">
        <f t="shared" si="4"/>
        <v>1.8553014968152863</v>
      </c>
      <c r="N17" s="6">
        <f t="shared" si="5"/>
        <v>1.8546448065389996E-2</v>
      </c>
      <c r="O17" s="20">
        <f t="shared" si="6"/>
        <v>61.124487485220314</v>
      </c>
      <c r="P17" s="20">
        <f t="shared" si="7"/>
        <v>78.152107058095595</v>
      </c>
      <c r="Q17" s="56">
        <v>319</v>
      </c>
      <c r="R17" s="56">
        <f t="shared" si="8"/>
        <v>3.1899999999999998E-2</v>
      </c>
      <c r="S17" s="6">
        <f>I17/I36-1</f>
        <v>0.41093488483302831</v>
      </c>
      <c r="T17" s="6">
        <f>J17/J36-1</f>
        <v>-0.73808329152032104</v>
      </c>
      <c r="U17" s="6">
        <f>K17/K36-1</f>
        <v>0.31707317073170738</v>
      </c>
      <c r="V17" s="6">
        <f t="shared" si="9"/>
        <v>1.2099726090497067</v>
      </c>
      <c r="W17" s="6">
        <f t="shared" si="10"/>
        <v>3.8719123489590617E-3</v>
      </c>
      <c r="X17" s="6">
        <f t="shared" si="11"/>
        <v>5.3238794798187091E-5</v>
      </c>
      <c r="Y17" s="6">
        <f>I36*(100-W17)/100</f>
        <v>3.688864400826374</v>
      </c>
      <c r="Z17" s="6">
        <f>K36*(100-X17)/100</f>
        <v>1.5835923143416688</v>
      </c>
      <c r="AA17" s="6">
        <f t="shared" si="12"/>
        <v>2.329428077806698</v>
      </c>
      <c r="AB17" s="6">
        <f>AA17/AC36-1</f>
        <v>-3.8186755871860711E-5</v>
      </c>
      <c r="AC17" s="6">
        <f t="shared" si="13"/>
        <v>2.4955309407524284</v>
      </c>
      <c r="AD17" s="6">
        <f t="shared" si="14"/>
        <v>0.33538808877262877</v>
      </c>
      <c r="AE17" s="6">
        <f t="shared" si="15"/>
        <v>0.68874856836737886</v>
      </c>
      <c r="AF17" s="6">
        <f t="shared" si="16"/>
        <v>1.5294566193828732E-2</v>
      </c>
      <c r="AG17" s="6">
        <f>AC17/AC36-1</f>
        <v>7.1265375521373242E-2</v>
      </c>
      <c r="AH17" s="6">
        <f>AD17/AD36-1</f>
        <v>-0.80113731393209564</v>
      </c>
      <c r="AI17" s="6">
        <f>AE17/AE36-1</f>
        <v>-0.74778812767094016</v>
      </c>
      <c r="AJ17" s="6">
        <f>AF17/AF36-1</f>
        <v>-0.11280694614027953</v>
      </c>
    </row>
    <row r="18" spans="1:36">
      <c r="A18" s="6" t="s">
        <v>216</v>
      </c>
      <c r="B18" s="17">
        <v>227</v>
      </c>
      <c r="C18" s="14">
        <v>15.07</v>
      </c>
      <c r="D18" s="14">
        <v>3.02</v>
      </c>
      <c r="E18" s="14">
        <v>2.5299999999999998</v>
      </c>
      <c r="F18" s="48">
        <v>2.42</v>
      </c>
      <c r="G18" s="50">
        <v>6.91</v>
      </c>
      <c r="H18" s="50">
        <v>0.1</v>
      </c>
      <c r="I18" s="6">
        <f t="shared" si="0"/>
        <v>3.9877265594350733</v>
      </c>
      <c r="J18" s="6">
        <f t="shared" si="1"/>
        <v>1.8211684084119848</v>
      </c>
      <c r="K18" s="6">
        <f t="shared" si="2"/>
        <v>1.5163337340044574</v>
      </c>
      <c r="L18" s="6">
        <f t="shared" si="3"/>
        <v>1.7295516553905852</v>
      </c>
      <c r="M18" s="6">
        <f t="shared" si="4"/>
        <v>2.8680387791932063</v>
      </c>
      <c r="N18" s="6">
        <f t="shared" si="5"/>
        <v>3.7092896130779991E-2</v>
      </c>
      <c r="O18" s="20">
        <f t="shared" si="6"/>
        <v>46.248399348199683</v>
      </c>
      <c r="P18" s="20">
        <f t="shared" si="7"/>
        <v>69.299085556758101</v>
      </c>
      <c r="Q18" s="56">
        <v>268</v>
      </c>
      <c r="R18" s="56">
        <f t="shared" si="8"/>
        <v>2.6800000000000001E-2</v>
      </c>
      <c r="S18" s="6">
        <f>I18/I36-1</f>
        <v>8.0975531999681438E-2</v>
      </c>
      <c r="T18" s="6">
        <f>J18/J36-1</f>
        <v>-0.31811339688911178</v>
      </c>
      <c r="U18" s="6">
        <f>K18/K36-1</f>
        <v>-4.2472666105971446E-2</v>
      </c>
      <c r="V18" s="6">
        <f t="shared" si="9"/>
        <v>0.52149737194936363</v>
      </c>
      <c r="W18" s="6">
        <f t="shared" si="10"/>
        <v>1.6687915902379637E-3</v>
      </c>
      <c r="X18" s="6">
        <f t="shared" si="11"/>
        <v>2.2945884365771998E-5</v>
      </c>
      <c r="Y18" s="6">
        <f>I36*(100-W18)/100</f>
        <v>3.6889456741105802</v>
      </c>
      <c r="Z18" s="6">
        <f>K36*(100-X18)/100</f>
        <v>1.5835927940581254</v>
      </c>
      <c r="AA18" s="6">
        <f t="shared" si="12"/>
        <v>2.3294786942401169</v>
      </c>
      <c r="AB18" s="6">
        <f>AA18/AC36-1</f>
        <v>-1.6458460835089284E-5</v>
      </c>
      <c r="AC18" s="6">
        <f t="shared" si="13"/>
        <v>2.6298475526914253</v>
      </c>
      <c r="AD18" s="6">
        <f t="shared" si="14"/>
        <v>1.2010340254071215</v>
      </c>
      <c r="AE18" s="6">
        <f t="shared" si="15"/>
        <v>1.140614111923135</v>
      </c>
      <c r="AF18" s="6">
        <f t="shared" si="16"/>
        <v>1.7674209442814667E-2</v>
      </c>
      <c r="AG18" s="6">
        <f>AC18/AC36-1</f>
        <v>0.12892394163163923</v>
      </c>
      <c r="AH18" s="6">
        <f>AD18/AD36-1</f>
        <v>-0.28786721906118029</v>
      </c>
      <c r="AI18" s="6">
        <f>AE18/AE36-1</f>
        <v>-0.58232011798587879</v>
      </c>
      <c r="AJ18" s="6">
        <f>AF18/AF36-1</f>
        <v>2.5229199142242864E-2</v>
      </c>
    </row>
    <row r="19" spans="1:36">
      <c r="A19" s="6" t="s">
        <v>216</v>
      </c>
      <c r="B19" s="17">
        <v>227.4</v>
      </c>
      <c r="C19" s="14">
        <v>15.07</v>
      </c>
      <c r="D19" s="14">
        <v>4.03</v>
      </c>
      <c r="E19" s="18">
        <v>3.17</v>
      </c>
      <c r="F19" s="48">
        <v>1.83</v>
      </c>
      <c r="G19" s="50">
        <v>5.2</v>
      </c>
      <c r="H19" s="50">
        <v>0.04</v>
      </c>
      <c r="I19" s="6">
        <f t="shared" si="0"/>
        <v>3.9877265594350733</v>
      </c>
      <c r="J19" s="6">
        <f t="shared" si="1"/>
        <v>2.4302346642053969</v>
      </c>
      <c r="K19" s="6">
        <f t="shared" si="2"/>
        <v>1.8999122279818694</v>
      </c>
      <c r="L19" s="6">
        <f t="shared" si="3"/>
        <v>1.3078841030432939</v>
      </c>
      <c r="M19" s="6">
        <f t="shared" si="4"/>
        <v>2.1582925690021235</v>
      </c>
      <c r="N19" s="6">
        <f t="shared" si="5"/>
        <v>1.4837158452311995E-2</v>
      </c>
      <c r="O19" s="20">
        <f t="shared" si="6"/>
        <v>53.392223470642705</v>
      </c>
      <c r="P19" s="20">
        <f t="shared" si="7"/>
        <v>75.092095693281976</v>
      </c>
      <c r="Q19" s="56">
        <v>309</v>
      </c>
      <c r="R19" s="56">
        <f t="shared" si="8"/>
        <v>3.09E-2</v>
      </c>
      <c r="S19" s="6">
        <f>I19/I36-1</f>
        <v>8.0975531999681438E-2</v>
      </c>
      <c r="T19" s="6">
        <f>J19/J36-1</f>
        <v>-9.0065228299046507E-2</v>
      </c>
      <c r="U19" s="6">
        <f>K19/K36-1</f>
        <v>0.19974768713204361</v>
      </c>
      <c r="V19" s="6">
        <f t="shared" si="9"/>
        <v>0.14764791524433854</v>
      </c>
      <c r="W19" s="6">
        <f t="shared" si="10"/>
        <v>4.7247332878188334E-4</v>
      </c>
      <c r="X19" s="6">
        <f t="shared" si="11"/>
        <v>6.4965082707508957E-6</v>
      </c>
      <c r="Y19" s="6">
        <f>I36*(100-W19)/100</f>
        <v>3.6889898063778102</v>
      </c>
      <c r="Z19" s="6">
        <f>K36*(100-X19)/100</f>
        <v>1.5835930545493195</v>
      </c>
      <c r="AA19" s="6">
        <f t="shared" si="12"/>
        <v>2.3295061794948784</v>
      </c>
      <c r="AB19" s="6">
        <f>AA19/AC36-1</f>
        <v>-4.6597685077198747E-6</v>
      </c>
      <c r="AC19" s="6">
        <f t="shared" si="13"/>
        <v>2.0989004127158699</v>
      </c>
      <c r="AD19" s="6">
        <f t="shared" si="14"/>
        <v>1.2791299663284172</v>
      </c>
      <c r="AE19" s="6">
        <f t="shared" si="15"/>
        <v>0.68839185504509259</v>
      </c>
      <c r="AF19" s="6">
        <f t="shared" si="16"/>
        <v>1.6263909219018342E-2</v>
      </c>
      <c r="AG19" s="6">
        <f>AC19/AC36-1</f>
        <v>-9.8997611252981677E-2</v>
      </c>
      <c r="AH19" s="6">
        <f>AD19/AD36-1</f>
        <v>-0.24156155376625743</v>
      </c>
      <c r="AI19" s="6">
        <f>AE19/AE36-1</f>
        <v>-0.74791875202216285</v>
      </c>
      <c r="AJ19" s="6">
        <f>AF19/AF36-1</f>
        <v>-5.6578192224879698E-2</v>
      </c>
    </row>
    <row r="20" spans="1:36">
      <c r="A20" s="6" t="s">
        <v>216</v>
      </c>
      <c r="B20" s="17">
        <v>227.6</v>
      </c>
      <c r="C20" s="14">
        <v>14.58</v>
      </c>
      <c r="D20" s="14">
        <v>2.4900000000000002</v>
      </c>
      <c r="E20" s="18">
        <v>3.01</v>
      </c>
      <c r="F20" s="48">
        <v>3.59</v>
      </c>
      <c r="G20" s="50">
        <v>7.27</v>
      </c>
      <c r="H20" s="50">
        <v>0.11</v>
      </c>
      <c r="I20" s="6">
        <f t="shared" si="0"/>
        <v>3.8580659081992943</v>
      </c>
      <c r="J20" s="6">
        <f t="shared" si="1"/>
        <v>1.5015593830946499</v>
      </c>
      <c r="K20" s="6">
        <f t="shared" si="2"/>
        <v>1.8040176044875165</v>
      </c>
      <c r="L20" s="6">
        <f t="shared" si="3"/>
        <v>2.5657398524182651</v>
      </c>
      <c r="M20" s="6">
        <f t="shared" si="4"/>
        <v>3.017459033970276</v>
      </c>
      <c r="N20" s="6">
        <f t="shared" si="5"/>
        <v>4.0802185743857987E-2</v>
      </c>
      <c r="O20" s="20">
        <f t="shared" si="6"/>
        <v>40.688026315379759</v>
      </c>
      <c r="P20" s="20">
        <f t="shared" si="7"/>
        <v>59.679812607519281</v>
      </c>
      <c r="Q20" s="56">
        <v>319</v>
      </c>
      <c r="R20" s="56">
        <f t="shared" si="8"/>
        <v>3.1899999999999998E-2</v>
      </c>
      <c r="S20" s="6">
        <f>I20/I36-1</f>
        <v>4.5827687893520652E-2</v>
      </c>
      <c r="T20" s="6">
        <f>J20/J36-1</f>
        <v>-0.43778223783241332</v>
      </c>
      <c r="U20" s="6">
        <f>K20/K36-1</f>
        <v>0.13919259882253976</v>
      </c>
      <c r="V20" s="6">
        <f t="shared" si="9"/>
        <v>0.71767579972526774</v>
      </c>
      <c r="W20" s="6">
        <f t="shared" si="10"/>
        <v>2.2965625591208571E-3</v>
      </c>
      <c r="X20" s="6">
        <f t="shared" si="11"/>
        <v>3.1577735187911783E-5</v>
      </c>
      <c r="Y20" s="6">
        <f>I36*(100-W20)/100</f>
        <v>3.6889225155941126</v>
      </c>
      <c r="Z20" s="6">
        <f>K36*(100-X20)/100</f>
        <v>1.5835926573647265</v>
      </c>
      <c r="AA20" s="6">
        <f t="shared" si="12"/>
        <v>2.3294642712810298</v>
      </c>
      <c r="AB20" s="6">
        <f>AA20/AC36-1</f>
        <v>-2.2649855391798646E-5</v>
      </c>
      <c r="AC20" s="6">
        <f t="shared" si="13"/>
        <v>2.13859659606553</v>
      </c>
      <c r="AD20" s="6">
        <f t="shared" si="14"/>
        <v>0.83234186815001254</v>
      </c>
      <c r="AE20" s="6">
        <f t="shared" si="15"/>
        <v>1.422236593498841</v>
      </c>
      <c r="AF20" s="6">
        <f t="shared" si="16"/>
        <v>1.7682754270605977E-2</v>
      </c>
      <c r="AG20" s="6">
        <f>AC20/AC36-1</f>
        <v>-8.1957090509120589E-2</v>
      </c>
      <c r="AH20" s="6">
        <f>AD20/AD36-1</f>
        <v>-0.50647698839626387</v>
      </c>
      <c r="AI20" s="6">
        <f>AE20/AE36-1</f>
        <v>-0.47919317641337988</v>
      </c>
      <c r="AJ20" s="6">
        <f>AF20/AF36-1</f>
        <v>2.5724859611902851E-2</v>
      </c>
    </row>
    <row r="21" spans="1:36">
      <c r="A21" s="6" t="s">
        <v>216</v>
      </c>
      <c r="B21" s="17">
        <v>228</v>
      </c>
      <c r="C21" s="14">
        <v>14.81</v>
      </c>
      <c r="D21" s="14">
        <v>2.82</v>
      </c>
      <c r="E21" s="18">
        <v>2.69</v>
      </c>
      <c r="F21" s="48">
        <v>1.84</v>
      </c>
      <c r="G21" s="50">
        <v>6.97</v>
      </c>
      <c r="H21" s="50">
        <v>0.13</v>
      </c>
      <c r="I21" s="6">
        <f t="shared" si="0"/>
        <v>3.9189270302079251</v>
      </c>
      <c r="J21" s="6">
        <f t="shared" si="1"/>
        <v>1.7005612290469525</v>
      </c>
      <c r="K21" s="6">
        <f t="shared" si="2"/>
        <v>1.6122283574988103</v>
      </c>
      <c r="L21" s="6">
        <f t="shared" si="3"/>
        <v>1.315031010710197</v>
      </c>
      <c r="M21" s="6">
        <f t="shared" si="4"/>
        <v>2.8929421549893841</v>
      </c>
      <c r="N21" s="6">
        <f t="shared" si="5"/>
        <v>4.8220764970013985E-2</v>
      </c>
      <c r="O21" s="20">
        <f t="shared" si="6"/>
        <v>47.937236023321987</v>
      </c>
      <c r="P21" s="20">
        <f t="shared" si="7"/>
        <v>74.191487532368825</v>
      </c>
      <c r="Q21" s="56">
        <v>274</v>
      </c>
      <c r="R21" s="56">
        <f t="shared" si="8"/>
        <v>2.7400000000000001E-2</v>
      </c>
      <c r="S21" s="6">
        <f>I21/I36-1</f>
        <v>6.2325655535187874E-2</v>
      </c>
      <c r="T21" s="6">
        <f>J21/J36-1</f>
        <v>-0.3632714500752634</v>
      </c>
      <c r="U21" s="6">
        <f>K21/K36-1</f>
        <v>1.8082422203532289E-2</v>
      </c>
      <c r="V21" s="6">
        <f t="shared" si="9"/>
        <v>0.59552696733649735</v>
      </c>
      <c r="W21" s="6">
        <f t="shared" si="10"/>
        <v>1.9056862954767917E-3</v>
      </c>
      <c r="X21" s="6">
        <f t="shared" si="11"/>
        <v>2.6203186562805884E-5</v>
      </c>
      <c r="Y21" s="6">
        <f>I36*(100-W21)/100</f>
        <v>3.6889369350477619</v>
      </c>
      <c r="Z21" s="6">
        <f>K36*(100-X21)/100</f>
        <v>1.5835927424757106</v>
      </c>
      <c r="AA21" s="6">
        <f t="shared" si="12"/>
        <v>2.3294732516143388</v>
      </c>
      <c r="AB21" s="6">
        <f>AA21/AC36-1</f>
        <v>-1.8794836013968919E-5</v>
      </c>
      <c r="AC21" s="6">
        <f t="shared" si="13"/>
        <v>2.430751829900633</v>
      </c>
      <c r="AD21" s="6">
        <f t="shared" si="14"/>
        <v>1.0547893052105723</v>
      </c>
      <c r="AE21" s="6">
        <f t="shared" si="15"/>
        <v>0.81566051396733819</v>
      </c>
      <c r="AF21" s="6">
        <f t="shared" si="16"/>
        <v>1.6995111066342983E-2</v>
      </c>
      <c r="AG21" s="6">
        <f>AC21/AC36-1</f>
        <v>4.3457417952365684E-2</v>
      </c>
      <c r="AH21" s="6">
        <f>AD21/AD36-1</f>
        <v>-0.37458054864889556</v>
      </c>
      <c r="AI21" s="6">
        <f>AE21/AE36-1</f>
        <v>-0.70131442029676228</v>
      </c>
      <c r="AJ21" s="6">
        <f>AF21/AF36-1</f>
        <v>-1.416331156108086E-2</v>
      </c>
    </row>
    <row r="22" spans="1:36">
      <c r="A22" s="6" t="s">
        <v>216</v>
      </c>
      <c r="B22" s="17">
        <v>228.3</v>
      </c>
      <c r="C22" s="14">
        <v>15.25</v>
      </c>
      <c r="D22" s="14">
        <v>2.39</v>
      </c>
      <c r="E22" s="18">
        <v>3.25</v>
      </c>
      <c r="F22" s="48">
        <v>2.2599999999999998</v>
      </c>
      <c r="G22" s="50">
        <v>7.18</v>
      </c>
      <c r="H22" s="50">
        <v>0.08</v>
      </c>
      <c r="I22" s="6">
        <f t="shared" si="0"/>
        <v>4.0353570027461751</v>
      </c>
      <c r="J22" s="6">
        <f t="shared" si="1"/>
        <v>1.4412557934121337</v>
      </c>
      <c r="K22" s="6">
        <f t="shared" si="2"/>
        <v>1.9478595397290461</v>
      </c>
      <c r="L22" s="6">
        <f t="shared" si="3"/>
        <v>1.6152011327201332</v>
      </c>
      <c r="M22" s="6">
        <f t="shared" si="4"/>
        <v>2.9801039702760086</v>
      </c>
      <c r="N22" s="6">
        <f t="shared" si="5"/>
        <v>2.9674316904623989E-2</v>
      </c>
      <c r="O22" s="20">
        <f t="shared" si="6"/>
        <v>46.595845770998473</v>
      </c>
      <c r="P22" s="20">
        <f t="shared" si="7"/>
        <v>71.042110275994332</v>
      </c>
      <c r="Q22" s="56">
        <v>262</v>
      </c>
      <c r="R22" s="56">
        <f t="shared" si="8"/>
        <v>2.6200000000000001E-2</v>
      </c>
      <c r="S22" s="6">
        <f>I22/I36-1</f>
        <v>9.3886984936638385E-2</v>
      </c>
      <c r="T22" s="6">
        <f>J22/J36-1</f>
        <v>-0.46036126442548908</v>
      </c>
      <c r="U22" s="6">
        <f>K22/K36-1</f>
        <v>0.23002523128679564</v>
      </c>
      <c r="V22" s="6">
        <f t="shared" si="9"/>
        <v>0.7546905974188346</v>
      </c>
      <c r="W22" s="6">
        <f t="shared" si="10"/>
        <v>2.415009911740271E-3</v>
      </c>
      <c r="X22" s="6">
        <f t="shared" si="11"/>
        <v>3.320638628642872E-5</v>
      </c>
      <c r="Y22" s="6">
        <f>I36*(100-W22)/100</f>
        <v>3.6889181460627039</v>
      </c>
      <c r="Z22" s="6">
        <f>K36*(100-X22)/100</f>
        <v>1.5835926315735191</v>
      </c>
      <c r="AA22" s="6">
        <f t="shared" si="12"/>
        <v>2.3294615499677156</v>
      </c>
      <c r="AB22" s="6">
        <f>AA22/AC36-1</f>
        <v>-2.3818043163759128E-5</v>
      </c>
      <c r="AC22" s="6">
        <f t="shared" si="13"/>
        <v>2.0716878812049799</v>
      </c>
      <c r="AD22" s="6">
        <f t="shared" si="14"/>
        <v>0.73991772199992267</v>
      </c>
      <c r="AE22" s="6">
        <f t="shared" si="15"/>
        <v>0.82921848304565804</v>
      </c>
      <c r="AF22" s="6">
        <f t="shared" si="16"/>
        <v>1.3450661849901411E-2</v>
      </c>
      <c r="AG22" s="6">
        <f>AC22/AC36-1</f>
        <v>-0.11067923070792263</v>
      </c>
      <c r="AH22" s="6">
        <f>AD22/AD36-1</f>
        <v>-0.56127832027480795</v>
      </c>
      <c r="AI22" s="6">
        <f>AE22/AE36-1</f>
        <v>-0.69634964661406973</v>
      </c>
      <c r="AJ22" s="6">
        <f>AF22/AF36-1</f>
        <v>-0.21976644438182891</v>
      </c>
    </row>
    <row r="23" spans="1:36">
      <c r="A23" s="6" t="s">
        <v>216</v>
      </c>
      <c r="B23" s="17">
        <v>228.6</v>
      </c>
      <c r="C23" s="14">
        <v>15.12</v>
      </c>
      <c r="D23" s="14">
        <v>2.5499999999999998</v>
      </c>
      <c r="E23" s="18">
        <v>2.89</v>
      </c>
      <c r="F23" s="48">
        <v>1.75</v>
      </c>
      <c r="G23" s="50">
        <v>7.51</v>
      </c>
      <c r="H23" s="50">
        <v>0.08</v>
      </c>
      <c r="I23" s="6">
        <f t="shared" si="0"/>
        <v>4.0009572381326013</v>
      </c>
      <c r="J23" s="6">
        <f t="shared" si="1"/>
        <v>1.5377415369041592</v>
      </c>
      <c r="K23" s="6">
        <f t="shared" si="2"/>
        <v>1.7320966368667519</v>
      </c>
      <c r="L23" s="6">
        <f t="shared" si="3"/>
        <v>1.2507088417080681</v>
      </c>
      <c r="M23" s="6">
        <f t="shared" si="4"/>
        <v>3.1170725371549897</v>
      </c>
      <c r="N23" s="6">
        <f t="shared" si="5"/>
        <v>2.9674316904623989E-2</v>
      </c>
      <c r="O23" s="20">
        <f t="shared" si="6"/>
        <v>47.639444138102519</v>
      </c>
      <c r="P23" s="20">
        <f t="shared" si="7"/>
        <v>75.756473500519903</v>
      </c>
      <c r="Q23" s="56">
        <v>278</v>
      </c>
      <c r="R23" s="56">
        <f t="shared" si="8"/>
        <v>2.7799999999999998E-2</v>
      </c>
      <c r="S23" s="6">
        <f>I23/I36-1</f>
        <v>8.4562046704391713E-2</v>
      </c>
      <c r="T23" s="6">
        <f>J23/J36-1</f>
        <v>-0.42423482187656791</v>
      </c>
      <c r="U23" s="6">
        <f>K23/K36-1</f>
        <v>9.3776282590412041E-2</v>
      </c>
      <c r="V23" s="6">
        <f t="shared" si="9"/>
        <v>0.69546692110912778</v>
      </c>
      <c r="W23" s="6">
        <f t="shared" si="10"/>
        <v>2.2254941475492091E-3</v>
      </c>
      <c r="X23" s="6">
        <f t="shared" si="11"/>
        <v>3.0600544528801619E-5</v>
      </c>
      <c r="Y23" s="6">
        <f>I36*(100-W23)/100</f>
        <v>3.6889251373129577</v>
      </c>
      <c r="Z23" s="6">
        <f>K36*(100-X23)/100</f>
        <v>1.5835926728394509</v>
      </c>
      <c r="AA23" s="6">
        <f t="shared" si="12"/>
        <v>2.329465904068976</v>
      </c>
      <c r="AB23" s="6">
        <f>AA23/AC36-1</f>
        <v>-2.19489427467634E-5</v>
      </c>
      <c r="AC23" s="6">
        <f t="shared" si="13"/>
        <v>2.3098926197155305</v>
      </c>
      <c r="AD23" s="6">
        <f t="shared" si="14"/>
        <v>0.88779199969225264</v>
      </c>
      <c r="AE23" s="6">
        <f t="shared" si="15"/>
        <v>0.72207798057417716</v>
      </c>
      <c r="AF23" s="6">
        <f t="shared" si="16"/>
        <v>1.60499128098813E-2</v>
      </c>
      <c r="AG23" s="6">
        <f>AC23/AC36-1</f>
        <v>-8.4242418058271262E-3</v>
      </c>
      <c r="AH23" s="6">
        <f>AD23/AD36-1</f>
        <v>-0.47359877217319435</v>
      </c>
      <c r="AI23" s="6">
        <f>AE23/AE36-1</f>
        <v>-0.73558327695708747</v>
      </c>
      <c r="AJ23" s="6">
        <f>AF23/AF36-1</f>
        <v>-6.8991498057242029E-2</v>
      </c>
    </row>
    <row r="24" spans="1:36">
      <c r="A24" s="6" t="s">
        <v>216</v>
      </c>
      <c r="B24" s="17">
        <v>229</v>
      </c>
      <c r="C24" s="14">
        <v>15.49</v>
      </c>
      <c r="D24" s="14">
        <v>2.54</v>
      </c>
      <c r="E24" s="18">
        <v>2.82</v>
      </c>
      <c r="F24" s="48">
        <v>1.72</v>
      </c>
      <c r="G24" s="50">
        <v>8.31</v>
      </c>
      <c r="H24" s="50">
        <v>0.09</v>
      </c>
      <c r="I24" s="6">
        <f t="shared" si="0"/>
        <v>4.0988642604943122</v>
      </c>
      <c r="J24" s="6">
        <f t="shared" si="1"/>
        <v>1.5317111779359078</v>
      </c>
      <c r="K24" s="6">
        <f t="shared" si="2"/>
        <v>1.6901427390879722</v>
      </c>
      <c r="L24" s="6">
        <f t="shared" si="3"/>
        <v>1.2292681187073582</v>
      </c>
      <c r="M24" s="6">
        <f t="shared" si="4"/>
        <v>3.4491175477707006</v>
      </c>
      <c r="N24" s="6">
        <f t="shared" si="5"/>
        <v>3.3383606517701989E-2</v>
      </c>
      <c r="O24" s="20">
        <f t="shared" si="6"/>
        <v>46.521788074763656</v>
      </c>
      <c r="P24" s="20">
        <f t="shared" si="7"/>
        <v>76.449725626330562</v>
      </c>
      <c r="Q24" s="56">
        <v>241</v>
      </c>
      <c r="R24" s="56">
        <f t="shared" si="8"/>
        <v>2.41E-2</v>
      </c>
      <c r="S24" s="6">
        <f>I24/I36-1</f>
        <v>0.11110225551924802</v>
      </c>
      <c r="T24" s="6">
        <f>J24/J36-1</f>
        <v>-0.42649272453587539</v>
      </c>
      <c r="U24" s="6">
        <f>K24/K36-1</f>
        <v>6.728343145500415E-2</v>
      </c>
      <c r="V24" s="6">
        <f t="shared" si="9"/>
        <v>0.69916840087848431</v>
      </c>
      <c r="W24" s="6">
        <f t="shared" si="10"/>
        <v>2.2373388828111499E-3</v>
      </c>
      <c r="X24" s="6">
        <f t="shared" si="11"/>
        <v>3.076340963865331E-5</v>
      </c>
      <c r="Y24" s="6">
        <f>I36*(100-W24)/100</f>
        <v>3.6889247003598173</v>
      </c>
      <c r="Z24" s="6">
        <f>K36*(100-X24)/100</f>
        <v>1.58359267026033</v>
      </c>
      <c r="AA24" s="6">
        <f t="shared" si="12"/>
        <v>2.3294656319376545</v>
      </c>
      <c r="AB24" s="6">
        <f>AA24/AC36-1</f>
        <v>-2.2065761519751703E-5</v>
      </c>
      <c r="AC24" s="6">
        <f t="shared" si="13"/>
        <v>2.4251586364274322</v>
      </c>
      <c r="AD24" s="6">
        <f t="shared" si="14"/>
        <v>0.90626143136433757</v>
      </c>
      <c r="AE24" s="6">
        <f t="shared" si="15"/>
        <v>0.72731615518502934</v>
      </c>
      <c r="AF24" s="6">
        <f t="shared" si="16"/>
        <v>1.4259150687476694E-2</v>
      </c>
      <c r="AG24" s="6">
        <f>AC24/AC36-1</f>
        <v>4.105640804758548E-2</v>
      </c>
      <c r="AH24" s="6">
        <f>AD24/AD36-1</f>
        <v>-0.4626476355186413</v>
      </c>
      <c r="AI24" s="6">
        <f>AE24/AE36-1</f>
        <v>-0.7336651171425107</v>
      </c>
      <c r="AJ24" s="6">
        <f>AF24/AF36-1</f>
        <v>-0.17286837144993161</v>
      </c>
    </row>
    <row r="25" spans="1:36">
      <c r="A25" s="6" t="s">
        <v>216</v>
      </c>
      <c r="B25" s="17">
        <v>229.5</v>
      </c>
      <c r="C25" s="14">
        <v>15.56</v>
      </c>
      <c r="D25" s="14">
        <v>3.14</v>
      </c>
      <c r="E25" s="18">
        <v>2.13</v>
      </c>
      <c r="F25" s="48">
        <v>1.68</v>
      </c>
      <c r="G25" s="50">
        <v>6.26</v>
      </c>
      <c r="H25" s="50">
        <v>0.46</v>
      </c>
      <c r="I25" s="6">
        <f t="shared" si="0"/>
        <v>4.1173872106708513</v>
      </c>
      <c r="J25" s="6">
        <f t="shared" si="1"/>
        <v>1.893532716031004</v>
      </c>
      <c r="K25" s="6">
        <f t="shared" si="2"/>
        <v>1.2765971752685747</v>
      </c>
      <c r="L25" s="6">
        <f t="shared" si="3"/>
        <v>1.2006804880397453</v>
      </c>
      <c r="M25" s="6">
        <f t="shared" si="4"/>
        <v>2.5982522080679407</v>
      </c>
      <c r="N25" s="6">
        <f t="shared" si="5"/>
        <v>0.17062732220158794</v>
      </c>
      <c r="O25" s="20">
        <f t="shared" si="6"/>
        <v>50.913986379383246</v>
      </c>
      <c r="P25" s="20">
        <f t="shared" si="7"/>
        <v>75.015776882909577</v>
      </c>
      <c r="Q25" s="56">
        <v>254</v>
      </c>
      <c r="R25" s="56">
        <f t="shared" si="8"/>
        <v>2.5399999999999999E-2</v>
      </c>
      <c r="S25" s="6">
        <f>I25/I36-1</f>
        <v>0.11612337610584222</v>
      </c>
      <c r="T25" s="6">
        <f>J25/J36-1</f>
        <v>-0.29101856497742085</v>
      </c>
      <c r="U25" s="6">
        <f>K25/K36-1</f>
        <v>-0.19386038687973095</v>
      </c>
      <c r="V25" s="6">
        <f t="shared" si="9"/>
        <v>0.47707961471708338</v>
      </c>
      <c r="W25" s="6">
        <f t="shared" si="10"/>
        <v>1.526654767094667E-3</v>
      </c>
      <c r="X25" s="6">
        <f t="shared" si="11"/>
        <v>2.0991503047551669E-5</v>
      </c>
      <c r="Y25" s="6">
        <f>I36*(100-W25)/100</f>
        <v>3.6889509175482709</v>
      </c>
      <c r="Z25" s="6">
        <f>K36*(100-X25)/100</f>
        <v>1.5835928250075741</v>
      </c>
      <c r="AA25" s="6">
        <f t="shared" si="12"/>
        <v>2.3294819598154133</v>
      </c>
      <c r="AB25" s="6">
        <f>AA25/AC36-1</f>
        <v>-1.5056635801036222E-5</v>
      </c>
      <c r="AC25" s="6">
        <f t="shared" si="13"/>
        <v>3.2252830340194212</v>
      </c>
      <c r="AD25" s="6">
        <f t="shared" si="14"/>
        <v>1.4832656320366966</v>
      </c>
      <c r="AE25" s="6">
        <f t="shared" si="15"/>
        <v>0.94053199497887197</v>
      </c>
      <c r="AF25" s="6">
        <f t="shared" si="16"/>
        <v>1.9896644369948778E-2</v>
      </c>
      <c r="AG25" s="6">
        <f>AC25/AC36-1</f>
        <v>0.38452863243593804</v>
      </c>
      <c r="AH25" s="6">
        <f>AD25/AD36-1</f>
        <v>-0.12052276865743694</v>
      </c>
      <c r="AI25" s="6">
        <f>AE25/AE36-1</f>
        <v>-0.65558790778861198</v>
      </c>
      <c r="AJ25" s="6">
        <f>AF25/AF36-1</f>
        <v>0.15414614945131389</v>
      </c>
    </row>
    <row r="26" spans="1:36">
      <c r="A26" s="6" t="s">
        <v>216</v>
      </c>
      <c r="B26" s="17">
        <v>231</v>
      </c>
      <c r="C26" s="14">
        <v>13.73</v>
      </c>
      <c r="D26" s="14">
        <v>4.01</v>
      </c>
      <c r="E26" s="18">
        <v>2.4500000000000002</v>
      </c>
      <c r="F26" s="48">
        <v>2.68</v>
      </c>
      <c r="G26" s="50">
        <v>6.16</v>
      </c>
      <c r="H26" s="50">
        <v>0.48</v>
      </c>
      <c r="I26" s="6">
        <f t="shared" si="0"/>
        <v>3.6331443703413107</v>
      </c>
      <c r="J26" s="6">
        <f t="shared" si="1"/>
        <v>2.4181739462688934</v>
      </c>
      <c r="K26" s="6">
        <f t="shared" si="2"/>
        <v>1.4683864222572811</v>
      </c>
      <c r="L26" s="6">
        <f t="shared" si="3"/>
        <v>1.9153712547300699</v>
      </c>
      <c r="M26" s="6">
        <f t="shared" si="4"/>
        <v>2.5567465817409767</v>
      </c>
      <c r="N26" s="6">
        <f t="shared" si="5"/>
        <v>0.17804590142774393</v>
      </c>
      <c r="O26" s="20">
        <f t="shared" si="6"/>
        <v>43.861031400330468</v>
      </c>
      <c r="P26" s="20">
        <f t="shared" si="7"/>
        <v>63.443732395596854</v>
      </c>
      <c r="Q26" s="56">
        <v>260</v>
      </c>
      <c r="R26" s="56">
        <f t="shared" si="8"/>
        <v>2.5999999999999999E-2</v>
      </c>
      <c r="S26" s="6">
        <f>I26/I36-1</f>
        <v>-1.514306208655436E-2</v>
      </c>
      <c r="T26" s="6">
        <f>J26/J36-1</f>
        <v>-9.4581033617661792E-2</v>
      </c>
      <c r="U26" s="6">
        <f>K26/K36-1</f>
        <v>-7.2750210260723258E-2</v>
      </c>
      <c r="V26" s="6">
        <f t="shared" si="9"/>
        <v>0.15505087478305213</v>
      </c>
      <c r="W26" s="6">
        <f t="shared" si="10"/>
        <v>4.9616279930576684E-4</v>
      </c>
      <c r="X26" s="6">
        <f t="shared" si="11"/>
        <v>6.8222384904542936E-6</v>
      </c>
      <c r="Y26" s="6">
        <f>I36*(100-W26)/100</f>
        <v>3.6889889324715286</v>
      </c>
      <c r="Z26" s="6">
        <f>K36*(100-X26)/100</f>
        <v>1.5835930493910784</v>
      </c>
      <c r="AA26" s="6">
        <f t="shared" si="12"/>
        <v>2.3295056352324957</v>
      </c>
      <c r="AB26" s="6">
        <f>AA26/AC36-1</f>
        <v>-4.8934059418970222E-6</v>
      </c>
      <c r="AC26" s="6">
        <f t="shared" si="13"/>
        <v>2.4742426893026219</v>
      </c>
      <c r="AD26" s="6">
        <f t="shared" si="14"/>
        <v>1.6468239624223362</v>
      </c>
      <c r="AE26" s="6">
        <f t="shared" si="15"/>
        <v>1.3044054519284236</v>
      </c>
      <c r="AF26" s="6">
        <f t="shared" si="16"/>
        <v>1.770651076984996E-2</v>
      </c>
      <c r="AG26" s="6">
        <f>AC26/AC36-1</f>
        <v>6.2126892679443824E-2</v>
      </c>
      <c r="AH26" s="6">
        <f>AD26/AD36-1</f>
        <v>-2.3543627184943294E-2</v>
      </c>
      <c r="AI26" s="6">
        <f>AE26/AE36-1</f>
        <v>-0.52234159689516835</v>
      </c>
      <c r="AJ26" s="6">
        <f>AF26/AF36-1</f>
        <v>2.7102904653924842E-2</v>
      </c>
    </row>
    <row r="27" spans="1:36">
      <c r="A27" s="6" t="s">
        <v>216</v>
      </c>
      <c r="B27" s="17">
        <v>232</v>
      </c>
      <c r="C27" s="14">
        <v>12.28</v>
      </c>
      <c r="D27" s="14">
        <v>4.3600000000000003</v>
      </c>
      <c r="E27" s="18">
        <v>2.52</v>
      </c>
      <c r="F27" s="48">
        <v>2.23</v>
      </c>
      <c r="G27" s="50">
        <v>6.76</v>
      </c>
      <c r="H27" s="50">
        <v>0.11</v>
      </c>
      <c r="I27" s="6">
        <f t="shared" si="0"/>
        <v>3.2494546881129853</v>
      </c>
      <c r="J27" s="6">
        <f t="shared" si="1"/>
        <v>2.6292365101576998</v>
      </c>
      <c r="K27" s="6">
        <f t="shared" si="2"/>
        <v>1.5103403200360603</v>
      </c>
      <c r="L27" s="6">
        <f t="shared" si="3"/>
        <v>1.5937604097194236</v>
      </c>
      <c r="M27" s="6">
        <f t="shared" si="4"/>
        <v>2.8057803397027601</v>
      </c>
      <c r="N27" s="6">
        <f t="shared" si="5"/>
        <v>4.0802185743857987E-2</v>
      </c>
      <c r="O27" s="20">
        <f t="shared" si="6"/>
        <v>42.256699685776347</v>
      </c>
      <c r="P27" s="20">
        <f t="shared" si="7"/>
        <v>66.532415825801678</v>
      </c>
      <c r="Q27" s="56">
        <v>249</v>
      </c>
      <c r="R27" s="56">
        <f t="shared" si="8"/>
        <v>2.4899999999999999E-2</v>
      </c>
      <c r="S27" s="6">
        <f>I27/I36-1</f>
        <v>-0.1191519885231529</v>
      </c>
      <c r="T27" s="6">
        <f>J27/J36-1</f>
        <v>-1.5554440541896475E-2</v>
      </c>
      <c r="U27" s="6">
        <f>K27/K36-1</f>
        <v>-4.6257359125315478E-2</v>
      </c>
      <c r="V27" s="6">
        <f t="shared" si="9"/>
        <v>2.5499082855567991E-2</v>
      </c>
      <c r="W27" s="6">
        <f t="shared" si="10"/>
        <v>8.1597065137817569E-5</v>
      </c>
      <c r="X27" s="6">
        <f t="shared" si="11"/>
        <v>1.1219596456449915E-6</v>
      </c>
      <c r="Y27" s="6">
        <f>I36*(100-W27)/100</f>
        <v>3.6890042258314599</v>
      </c>
      <c r="Z27" s="6">
        <f>K36*(100-X27)/100</f>
        <v>1.5835931396603042</v>
      </c>
      <c r="AA27" s="6">
        <f t="shared" si="12"/>
        <v>2.3295151598236821</v>
      </c>
      <c r="AB27" s="6">
        <f>AA27/AC36-1</f>
        <v>-8.0475106389865658E-7</v>
      </c>
      <c r="AC27" s="6">
        <f t="shared" si="13"/>
        <v>2.151471853731219</v>
      </c>
      <c r="AD27" s="6">
        <f t="shared" si="14"/>
        <v>1.7408238893436447</v>
      </c>
      <c r="AE27" s="6">
        <f t="shared" si="15"/>
        <v>1.055232644309841</v>
      </c>
      <c r="AF27" s="6">
        <f t="shared" si="16"/>
        <v>1.6486350572568635E-2</v>
      </c>
      <c r="AG27" s="6">
        <f>AC27/AC36-1</f>
        <v>-7.6430083204610866E-2</v>
      </c>
      <c r="AH27" s="6">
        <f>AD27/AD36-1</f>
        <v>3.2192037209598734E-2</v>
      </c>
      <c r="AI27" s="6">
        <f>AE27/AE36-1</f>
        <v>-0.61358583786969201</v>
      </c>
      <c r="AJ27" s="6">
        <f>AF27/AF36-1</f>
        <v>-4.3675019865496045E-2</v>
      </c>
    </row>
    <row r="28" spans="1:36">
      <c r="A28" s="6" t="s">
        <v>216</v>
      </c>
      <c r="B28" s="17">
        <v>235.5</v>
      </c>
      <c r="C28" s="14">
        <v>8.98</v>
      </c>
      <c r="D28" s="14">
        <v>8.31</v>
      </c>
      <c r="E28" s="18">
        <v>0.78</v>
      </c>
      <c r="F28" s="48">
        <v>5.94</v>
      </c>
      <c r="G28" s="50">
        <v>0.69</v>
      </c>
      <c r="H28" s="50">
        <v>0.31</v>
      </c>
      <c r="I28" s="6">
        <f t="shared" si="0"/>
        <v>2.3762298940761086</v>
      </c>
      <c r="J28" s="6">
        <f t="shared" si="1"/>
        <v>5.0112283026170843</v>
      </c>
      <c r="K28" s="6">
        <f t="shared" si="2"/>
        <v>0.46748628953497101</v>
      </c>
      <c r="L28" s="6">
        <f t="shared" si="3"/>
        <v>4.2452631541405283</v>
      </c>
      <c r="M28" s="6">
        <f t="shared" si="4"/>
        <v>0.2863888216560509</v>
      </c>
      <c r="N28" s="6">
        <f t="shared" si="5"/>
        <v>0.11498797800541796</v>
      </c>
      <c r="O28" s="20">
        <f t="shared" si="6"/>
        <v>33.835596352309786</v>
      </c>
      <c r="P28" s="20">
        <f t="shared" si="7"/>
        <v>35.274053097255482</v>
      </c>
      <c r="Q28" s="56">
        <v>0</v>
      </c>
      <c r="R28" s="56">
        <f t="shared" si="8"/>
        <v>0</v>
      </c>
      <c r="S28" s="6">
        <f>I28/I36-1</f>
        <v>-0.35586195903403184</v>
      </c>
      <c r="T28" s="6">
        <f>J28/J36-1</f>
        <v>0.87631710988459655</v>
      </c>
      <c r="U28" s="6">
        <f>K28/K36-1</f>
        <v>-0.70479394449116906</v>
      </c>
      <c r="V28" s="6">
        <f t="shared" si="9"/>
        <v>-1.4365854260403221</v>
      </c>
      <c r="W28" s="6">
        <f t="shared" si="10"/>
        <v>-4.5970733633290311E-3</v>
      </c>
      <c r="X28" s="6">
        <f t="shared" si="11"/>
        <v>-6.3209758745774174E-5</v>
      </c>
      <c r="Y28" s="6">
        <f>I36*(100-W28)/100</f>
        <v>3.689176822322112</v>
      </c>
      <c r="Z28" s="6">
        <f>K36*(100-X28)/100</f>
        <v>1.5835941584129944</v>
      </c>
      <c r="AA28" s="6">
        <f t="shared" si="12"/>
        <v>2.3296226515632239</v>
      </c>
      <c r="AB28" s="6">
        <f>AA28/AC36-1</f>
        <v>4.5338607387535035E-5</v>
      </c>
      <c r="AC28" s="6">
        <f t="shared" si="13"/>
        <v>5.082993763175061</v>
      </c>
      <c r="AD28" s="6">
        <f t="shared" si="14"/>
        <v>10.719519298848255</v>
      </c>
      <c r="AE28" s="6">
        <f t="shared" si="15"/>
        <v>9.0810431218495768</v>
      </c>
      <c r="AF28" s="6">
        <f t="shared" si="16"/>
        <v>0</v>
      </c>
      <c r="AG28" s="6">
        <f>AC28/AC36-1</f>
        <v>1.1819946743832941</v>
      </c>
      <c r="AH28" s="6">
        <f>AD28/AD36-1</f>
        <v>5.3559573893241756</v>
      </c>
      <c r="AI28" s="6">
        <f>AE28/AE36-1</f>
        <v>2.3253744452662737</v>
      </c>
      <c r="AJ28" s="6">
        <f>AF28/AF36-1</f>
        <v>-1</v>
      </c>
    </row>
    <row r="29" spans="1:36">
      <c r="A29" s="6" t="s">
        <v>216</v>
      </c>
      <c r="B29" s="17">
        <v>235.8</v>
      </c>
      <c r="C29" s="14">
        <v>14.11</v>
      </c>
      <c r="D29" s="14">
        <v>5.05</v>
      </c>
      <c r="E29" s="18">
        <v>2.56</v>
      </c>
      <c r="F29" s="48">
        <v>5.05</v>
      </c>
      <c r="G29" s="50">
        <v>2.8</v>
      </c>
      <c r="H29" s="50">
        <v>1.1299999999999999</v>
      </c>
      <c r="I29" s="6">
        <f t="shared" si="0"/>
        <v>3.7336975284425264</v>
      </c>
      <c r="J29" s="6">
        <f t="shared" si="1"/>
        <v>3.0453312789670601</v>
      </c>
      <c r="K29" s="6">
        <f t="shared" si="2"/>
        <v>1.5343139759096487</v>
      </c>
      <c r="L29" s="6">
        <f t="shared" si="3"/>
        <v>3.6091883717861388</v>
      </c>
      <c r="M29" s="6">
        <f t="shared" si="4"/>
        <v>1.1621575371549893</v>
      </c>
      <c r="N29" s="6">
        <f t="shared" si="5"/>
        <v>0.41914972627781383</v>
      </c>
      <c r="O29" s="20">
        <f t="shared" si="6"/>
        <v>41.837928202247063</v>
      </c>
      <c r="P29" s="20">
        <f t="shared" si="7"/>
        <v>48.102040599921608</v>
      </c>
      <c r="Q29" s="56">
        <v>264</v>
      </c>
      <c r="R29" s="56">
        <f t="shared" si="8"/>
        <v>2.64E-2</v>
      </c>
      <c r="S29" s="6">
        <f>I29/I36-1</f>
        <v>1.2114449669243799E-2</v>
      </c>
      <c r="T29" s="6">
        <f>J29/J36-1</f>
        <v>0.14024084295032613</v>
      </c>
      <c r="U29" s="6">
        <f>K29/K36-1</f>
        <v>-3.1118587047939461E-2</v>
      </c>
      <c r="V29" s="6">
        <f t="shared" si="9"/>
        <v>-0.22990302123004283</v>
      </c>
      <c r="W29" s="6">
        <f t="shared" si="10"/>
        <v>-7.3568966793613705E-4</v>
      </c>
      <c r="X29" s="6">
        <f t="shared" si="11"/>
        <v>-1.0115732934121884E-5</v>
      </c>
      <c r="Y29" s="6">
        <f>I36*(100-W29)/100</f>
        <v>3.6890343755981809</v>
      </c>
      <c r="Z29" s="6">
        <f>K36*(100-X29)/100</f>
        <v>1.5835933176196346</v>
      </c>
      <c r="AA29" s="6">
        <f t="shared" si="12"/>
        <v>2.3295339368716981</v>
      </c>
      <c r="AB29" s="6">
        <f>AA29/AC36-1</f>
        <v>7.2557386161520299E-6</v>
      </c>
      <c r="AC29" s="6">
        <f t="shared" si="13"/>
        <v>2.43346380666899</v>
      </c>
      <c r="AD29" s="6">
        <f t="shared" si="14"/>
        <v>1.9848162284786428</v>
      </c>
      <c r="AE29" s="6">
        <f t="shared" si="15"/>
        <v>2.3523140820289794</v>
      </c>
      <c r="AF29" s="6">
        <f t="shared" si="16"/>
        <v>1.7206386968057326E-2</v>
      </c>
      <c r="AG29" s="6">
        <f>AC29/AC36-1</f>
        <v>4.4621597792301237E-2</v>
      </c>
      <c r="AH29" s="6">
        <f>AD29/AD36-1</f>
        <v>0.1768631616909182</v>
      </c>
      <c r="AI29" s="6">
        <f>AE29/AE36-1</f>
        <v>-0.13860940525674403</v>
      </c>
      <c r="AJ29" s="6">
        <f>AF29/AF36-1</f>
        <v>-1.90781440781429E-3</v>
      </c>
    </row>
    <row r="30" spans="1:36">
      <c r="A30" s="6" t="s">
        <v>216</v>
      </c>
      <c r="B30" s="17">
        <v>237</v>
      </c>
      <c r="C30" s="14">
        <v>11.79</v>
      </c>
      <c r="D30" s="14">
        <v>7.2</v>
      </c>
      <c r="E30" s="18">
        <v>1.57</v>
      </c>
      <c r="F30" s="48">
        <v>4.6500000000000004</v>
      </c>
      <c r="G30" s="50">
        <v>1.84</v>
      </c>
      <c r="H30" s="50">
        <v>0.62</v>
      </c>
      <c r="I30" s="6">
        <f t="shared" si="0"/>
        <v>3.1197940368772068</v>
      </c>
      <c r="J30" s="6">
        <f t="shared" si="1"/>
        <v>4.3418584571411563</v>
      </c>
      <c r="K30" s="6">
        <f t="shared" si="2"/>
        <v>0.94096599303833917</v>
      </c>
      <c r="L30" s="6">
        <f t="shared" si="3"/>
        <v>3.323312065110009</v>
      </c>
      <c r="M30" s="6">
        <f t="shared" si="4"/>
        <v>0.76370352441613598</v>
      </c>
      <c r="N30" s="6">
        <f t="shared" si="5"/>
        <v>0.22997595601083592</v>
      </c>
      <c r="O30" s="20">
        <f t="shared" si="6"/>
        <v>41.950840215893855</v>
      </c>
      <c r="P30" s="20">
        <f t="shared" si="7"/>
        <v>46.751920773070125</v>
      </c>
      <c r="Q30" s="56">
        <v>150</v>
      </c>
      <c r="R30" s="56">
        <f t="shared" si="8"/>
        <v>1.4999999999999999E-2</v>
      </c>
      <c r="S30" s="6">
        <f>I30/I36-1</f>
        <v>-0.15429983262931368</v>
      </c>
      <c r="T30" s="6">
        <f>J30/J36-1</f>
        <v>0.62568991470145563</v>
      </c>
      <c r="U30" s="6">
        <f>K30/K36-1</f>
        <v>-0.40580319596299419</v>
      </c>
      <c r="V30" s="6">
        <f t="shared" si="9"/>
        <v>-1.0257211716417305</v>
      </c>
      <c r="W30" s="6">
        <f t="shared" si="10"/>
        <v>-3.2823077492535376E-3</v>
      </c>
      <c r="X30" s="6">
        <f t="shared" si="11"/>
        <v>-4.5131731552236139E-5</v>
      </c>
      <c r="Y30" s="6">
        <f>I36*(100-W30)/100</f>
        <v>3.6891283205234733</v>
      </c>
      <c r="Z30" s="6">
        <f>K36*(100-X30)/100</f>
        <v>1.5835938721305929</v>
      </c>
      <c r="AA30" s="6">
        <f t="shared" si="12"/>
        <v>2.3295924450377292</v>
      </c>
      <c r="AB30" s="6">
        <f>AA30/AC36-1</f>
        <v>3.2371745567028043E-5</v>
      </c>
      <c r="AC30" s="6">
        <f t="shared" si="13"/>
        <v>3.3155226224526189</v>
      </c>
      <c r="AD30" s="6">
        <f t="shared" si="14"/>
        <v>4.6142565079546394</v>
      </c>
      <c r="AE30" s="6">
        <f t="shared" si="15"/>
        <v>3.531808896067727</v>
      </c>
      <c r="AF30" s="6">
        <f t="shared" si="16"/>
        <v>1.594106493855919E-2</v>
      </c>
      <c r="AG30" s="6">
        <f>AC30/AC36-1</f>
        <v>0.42326609908527413</v>
      </c>
      <c r="AH30" s="6">
        <f>AD30/AD36-1</f>
        <v>1.7359452350743538</v>
      </c>
      <c r="AI30" s="6">
        <f>AE30/AE36-1</f>
        <v>0.29330814653764525</v>
      </c>
      <c r="AJ30" s="6">
        <f>AF30/AF36-1</f>
        <v>-7.5305444732196247E-2</v>
      </c>
    </row>
    <row r="31" spans="1:36">
      <c r="A31" s="6" t="s">
        <v>216</v>
      </c>
      <c r="B31" s="17">
        <v>238.2</v>
      </c>
      <c r="C31" s="14">
        <v>12.83</v>
      </c>
      <c r="D31" s="14">
        <v>5.41</v>
      </c>
      <c r="E31" s="18">
        <v>2.11</v>
      </c>
      <c r="F31" s="48">
        <v>5.25</v>
      </c>
      <c r="G31" s="50">
        <v>2.0299999999999998</v>
      </c>
      <c r="H31" s="50">
        <v>1.36</v>
      </c>
      <c r="I31" s="6">
        <f t="shared" si="0"/>
        <v>3.394992153785799</v>
      </c>
      <c r="J31" s="6">
        <f t="shared" si="1"/>
        <v>3.2624242018241181</v>
      </c>
      <c r="K31" s="6">
        <f t="shared" si="2"/>
        <v>1.2646103473317805</v>
      </c>
      <c r="L31" s="6">
        <f t="shared" si="3"/>
        <v>3.7521265251242037</v>
      </c>
      <c r="M31" s="6">
        <f t="shared" si="4"/>
        <v>0.84256421443736718</v>
      </c>
      <c r="N31" s="6">
        <f t="shared" si="5"/>
        <v>0.50446338737860785</v>
      </c>
      <c r="O31" s="20">
        <f t="shared" si="6"/>
        <v>39.968609458602771</v>
      </c>
      <c r="P31" s="20">
        <f t="shared" si="7"/>
        <v>44.369806457980467</v>
      </c>
      <c r="Q31" s="56">
        <v>213</v>
      </c>
      <c r="R31" s="56">
        <f t="shared" si="8"/>
        <v>2.1299999999999999E-2</v>
      </c>
      <c r="S31" s="6">
        <f>I31/I36-1</f>
        <v>-7.9700326771339536E-2</v>
      </c>
      <c r="T31" s="6">
        <f>J31/J36-1</f>
        <v>0.22152533868539903</v>
      </c>
      <c r="U31" s="6">
        <f>K31/K36-1</f>
        <v>-0.20142977291841901</v>
      </c>
      <c r="V31" s="6">
        <f t="shared" si="9"/>
        <v>-0.36315629292688367</v>
      </c>
      <c r="W31" s="6">
        <f t="shared" si="10"/>
        <v>-1.1621001373660277E-3</v>
      </c>
      <c r="X31" s="6">
        <f t="shared" si="11"/>
        <v>-1.5978876888782881E-5</v>
      </c>
      <c r="Y31" s="6">
        <f>I36*(100-W31)/100</f>
        <v>3.689050105911253</v>
      </c>
      <c r="Z31" s="6">
        <f>K36*(100-X31)/100</f>
        <v>1.583593410467981</v>
      </c>
      <c r="AA31" s="6">
        <f t="shared" si="12"/>
        <v>2.329543733590727</v>
      </c>
      <c r="AB31" s="6">
        <f>AA31/AC36-1</f>
        <v>1.1461210773555663E-5</v>
      </c>
      <c r="AC31" s="6">
        <f t="shared" si="13"/>
        <v>2.6846151946715775</v>
      </c>
      <c r="AD31" s="6">
        <f t="shared" si="14"/>
        <v>2.5797861046349602</v>
      </c>
      <c r="AE31" s="6">
        <f t="shared" si="15"/>
        <v>2.9670218443498184</v>
      </c>
      <c r="AF31" s="6">
        <f t="shared" si="16"/>
        <v>1.6843132783897565E-2</v>
      </c>
      <c r="AG31" s="6">
        <f>AC31/AC36-1</f>
        <v>0.15243424062019773</v>
      </c>
      <c r="AH31" s="6">
        <f>AD31/AD36-1</f>
        <v>0.52964047150809868</v>
      </c>
      <c r="AI31" s="6">
        <f>AE31/AE36-1</f>
        <v>8.6489568143152562E-2</v>
      </c>
      <c r="AJ31" s="6">
        <f>AF31/AF36-1</f>
        <v>-2.2979127244529884E-2</v>
      </c>
    </row>
    <row r="32" spans="1:36">
      <c r="A32" s="6" t="s">
        <v>216</v>
      </c>
      <c r="B32" s="17">
        <v>240.5</v>
      </c>
      <c r="C32" s="14">
        <v>14.26</v>
      </c>
      <c r="D32" s="14">
        <v>4.04</v>
      </c>
      <c r="E32" s="18">
        <v>2.73</v>
      </c>
      <c r="F32" s="48">
        <v>4.72</v>
      </c>
      <c r="G32" s="50">
        <v>3.14</v>
      </c>
      <c r="H32" s="50">
        <v>1.19</v>
      </c>
      <c r="I32" s="6">
        <f t="shared" si="0"/>
        <v>3.7733895645351123</v>
      </c>
      <c r="J32" s="6">
        <f t="shared" si="1"/>
        <v>2.4362650231736485</v>
      </c>
      <c r="K32" s="6">
        <f t="shared" si="2"/>
        <v>1.6362020133723987</v>
      </c>
      <c r="L32" s="6">
        <f t="shared" si="3"/>
        <v>3.3733404187783314</v>
      </c>
      <c r="M32" s="6">
        <f t="shared" si="4"/>
        <v>1.3032766666666666</v>
      </c>
      <c r="N32" s="6">
        <f t="shared" si="5"/>
        <v>0.44140546395628183</v>
      </c>
      <c r="O32" s="20">
        <f t="shared" si="6"/>
        <v>42.438585864451213</v>
      </c>
      <c r="P32" s="20">
        <f t="shared" si="7"/>
        <v>49.727493542472409</v>
      </c>
      <c r="Q32" s="56">
        <v>327</v>
      </c>
      <c r="R32" s="56">
        <f t="shared" si="8"/>
        <v>3.27E-2</v>
      </c>
      <c r="S32" s="6">
        <f>I32/I36-1</f>
        <v>2.2873993783374846E-2</v>
      </c>
      <c r="T32" s="6">
        <f>J32/J36-1</f>
        <v>-8.780732563973892E-2</v>
      </c>
      <c r="U32" s="6">
        <f>K32/K36-1</f>
        <v>3.3221194280908195E-2</v>
      </c>
      <c r="V32" s="6">
        <f t="shared" si="9"/>
        <v>0.14394643547498184</v>
      </c>
      <c r="W32" s="6">
        <f t="shared" si="10"/>
        <v>4.6062859351994194E-4</v>
      </c>
      <c r="X32" s="6">
        <f t="shared" si="11"/>
        <v>6.3336431608992005E-6</v>
      </c>
      <c r="Y32" s="6">
        <f>I36*(100-W32)/100</f>
        <v>3.6889902433309509</v>
      </c>
      <c r="Z32" s="6">
        <f>K36*(100-X32)/100</f>
        <v>1.5835930571284405</v>
      </c>
      <c r="AA32" s="6">
        <f t="shared" si="12"/>
        <v>2.3295064516260684</v>
      </c>
      <c r="AB32" s="6">
        <f>AA32/AC36-1</f>
        <v>-4.5429497912419237E-6</v>
      </c>
      <c r="AC32" s="6">
        <f t="shared" si="13"/>
        <v>2.3061880707246698</v>
      </c>
      <c r="AD32" s="6">
        <f t="shared" si="14"/>
        <v>1.4889756908147478</v>
      </c>
      <c r="AE32" s="6">
        <f t="shared" si="15"/>
        <v>2.0616894437291959</v>
      </c>
      <c r="AF32" s="6">
        <f t="shared" si="16"/>
        <v>1.9985307274253732E-2</v>
      </c>
      <c r="AG32" s="6">
        <f>AC32/AC36-1</f>
        <v>-1.0014506627242348E-2</v>
      </c>
      <c r="AH32" s="6">
        <f>AD32/AD36-1</f>
        <v>-0.11713708602820472</v>
      </c>
      <c r="AI32" s="6">
        <f>AE32/AE36-1</f>
        <v>-0.24503283397514175</v>
      </c>
      <c r="AJ32" s="6">
        <f>AF32/AF36-1</f>
        <v>0.15928922522329136</v>
      </c>
    </row>
    <row r="33" spans="1:36">
      <c r="A33" s="6" t="s">
        <v>216</v>
      </c>
      <c r="B33" s="17">
        <v>243.3</v>
      </c>
      <c r="C33" s="14">
        <v>14.44</v>
      </c>
      <c r="D33" s="14">
        <v>5.53</v>
      </c>
      <c r="E33" s="18">
        <v>2.21</v>
      </c>
      <c r="F33" s="48">
        <v>1.51</v>
      </c>
      <c r="G33" s="50">
        <v>7.31</v>
      </c>
      <c r="H33" s="50">
        <v>0.09</v>
      </c>
      <c r="I33" s="6">
        <f t="shared" si="0"/>
        <v>3.8210200078462147</v>
      </c>
      <c r="J33" s="6">
        <f t="shared" si="1"/>
        <v>3.334788509443138</v>
      </c>
      <c r="K33" s="6">
        <f t="shared" si="2"/>
        <v>1.3245444870157512</v>
      </c>
      <c r="L33" s="6">
        <f t="shared" si="3"/>
        <v>1.07918305770239</v>
      </c>
      <c r="M33" s="6">
        <f t="shared" si="4"/>
        <v>3.0340612845010617</v>
      </c>
      <c r="N33" s="6">
        <f t="shared" si="5"/>
        <v>3.3383606517701989E-2</v>
      </c>
      <c r="O33" s="20">
        <f t="shared" si="6"/>
        <v>47.956687201481117</v>
      </c>
      <c r="P33" s="20">
        <f t="shared" si="7"/>
        <v>77.449131064842106</v>
      </c>
      <c r="Q33" s="56">
        <v>267</v>
      </c>
      <c r="R33" s="56">
        <f t="shared" si="8"/>
        <v>2.6700000000000002E-2</v>
      </c>
      <c r="S33" s="6">
        <f>I33/I36-1</f>
        <v>3.5785446720331793E-2</v>
      </c>
      <c r="T33" s="6">
        <f>J33/J36-1</f>
        <v>0.24862017059709007</v>
      </c>
      <c r="U33" s="6">
        <f>K33/K36-1</f>
        <v>-0.16358284272497914</v>
      </c>
      <c r="V33" s="6">
        <f t="shared" si="9"/>
        <v>-0.40757405015916404</v>
      </c>
      <c r="W33" s="6">
        <f t="shared" si="10"/>
        <v>-1.3042369605093249E-3</v>
      </c>
      <c r="X33" s="6">
        <f t="shared" si="11"/>
        <v>-1.7933258207003216E-5</v>
      </c>
      <c r="Y33" s="6">
        <f>I36*(100-W33)/100</f>
        <v>3.6890553493489437</v>
      </c>
      <c r="Z33" s="6">
        <f>K36*(100-X33)/100</f>
        <v>1.5835934414174302</v>
      </c>
      <c r="AA33" s="6">
        <f t="shared" si="12"/>
        <v>2.3295469991634805</v>
      </c>
      <c r="AB33" s="6">
        <f>AA33/AC36-1</f>
        <v>1.2863034716037447E-5</v>
      </c>
      <c r="AC33" s="6">
        <f t="shared" si="13"/>
        <v>2.8847804247444473</v>
      </c>
      <c r="AD33" s="6">
        <f t="shared" si="14"/>
        <v>2.5176870555375173</v>
      </c>
      <c r="AE33" s="6">
        <f t="shared" si="15"/>
        <v>0.81475787961930235</v>
      </c>
      <c r="AF33" s="6">
        <f t="shared" si="16"/>
        <v>2.0157873338143673E-2</v>
      </c>
      <c r="AG33" s="6">
        <f>AC33/AC36-1</f>
        <v>0.23835987546553516</v>
      </c>
      <c r="AH33" s="6">
        <f>AD33/AD36-1</f>
        <v>0.49281989224730061</v>
      </c>
      <c r="AI33" s="6">
        <f>AE33/AE36-1</f>
        <v>-0.70164495470278831</v>
      </c>
      <c r="AJ33" s="6">
        <f>AF33/AF36-1</f>
        <v>0.16929927789656318</v>
      </c>
    </row>
    <row r="34" spans="1:36">
      <c r="A34" s="6" t="s">
        <v>216</v>
      </c>
      <c r="B34" s="17">
        <v>243.5</v>
      </c>
      <c r="C34" s="14">
        <v>13.27</v>
      </c>
      <c r="D34" s="14">
        <v>6.27</v>
      </c>
      <c r="E34" s="18">
        <v>2.23</v>
      </c>
      <c r="F34" s="48">
        <v>4.92</v>
      </c>
      <c r="G34" s="50">
        <v>6.27</v>
      </c>
      <c r="H34" s="50">
        <v>0.08</v>
      </c>
      <c r="I34" s="6">
        <f t="shared" si="0"/>
        <v>3.511422126324049</v>
      </c>
      <c r="J34" s="6">
        <f t="shared" si="1"/>
        <v>3.7810350730937561</v>
      </c>
      <c r="K34" s="6">
        <f t="shared" si="2"/>
        <v>1.3365313149525455</v>
      </c>
      <c r="L34" s="6">
        <f t="shared" si="3"/>
        <v>3.5162785721163967</v>
      </c>
      <c r="M34" s="6">
        <f t="shared" si="4"/>
        <v>2.6024027707006367</v>
      </c>
      <c r="N34" s="6">
        <f t="shared" si="5"/>
        <v>2.9674316904623989E-2</v>
      </c>
      <c r="O34" s="20">
        <f t="shared" si="6"/>
        <v>36.350961731196016</v>
      </c>
      <c r="P34" s="20">
        <f t="shared" si="7"/>
        <v>49.755356895291158</v>
      </c>
      <c r="Q34" s="56">
        <v>257</v>
      </c>
      <c r="R34" s="56">
        <f t="shared" si="8"/>
        <v>2.5700000000000001E-2</v>
      </c>
      <c r="S34" s="6">
        <f>I34/I36-1</f>
        <v>-4.8138997369889025E-2</v>
      </c>
      <c r="T34" s="6">
        <f>J34/J36-1</f>
        <v>0.41570496738585061</v>
      </c>
      <c r="U34" s="6">
        <f>K34/K36-1</f>
        <v>-0.15601345668629096</v>
      </c>
      <c r="V34" s="6">
        <f t="shared" si="9"/>
        <v>-0.68148355309155839</v>
      </c>
      <c r="W34" s="6">
        <f t="shared" si="10"/>
        <v>-2.1807473698929871E-3</v>
      </c>
      <c r="X34" s="6">
        <f t="shared" si="11"/>
        <v>-2.9985276336028568E-5</v>
      </c>
      <c r="Y34" s="6">
        <f>I36*(100-W34)/100</f>
        <v>3.68908768388137</v>
      </c>
      <c r="Z34" s="6">
        <f>K36*(100-X34)/100</f>
        <v>1.5835936322723645</v>
      </c>
      <c r="AA34" s="6">
        <f t="shared" si="12"/>
        <v>2.3295671368593118</v>
      </c>
      <c r="AB34" s="6">
        <f>AA34/AC36-1</f>
        <v>2.1507614486493409E-5</v>
      </c>
      <c r="AC34" s="6">
        <f t="shared" si="13"/>
        <v>2.627265135533861</v>
      </c>
      <c r="AD34" s="6">
        <f t="shared" si="14"/>
        <v>2.8289910088848194</v>
      </c>
      <c r="AE34" s="6">
        <f t="shared" si="15"/>
        <v>2.630898754692661</v>
      </c>
      <c r="AF34" s="6">
        <f t="shared" si="16"/>
        <v>1.9228879796888632E-2</v>
      </c>
      <c r="AG34" s="6">
        <f>AC34/AC36-1</f>
        <v>0.12781537830314105</v>
      </c>
      <c r="AH34" s="6">
        <f>AD34/AD36-1</f>
        <v>0.6774022981781529</v>
      </c>
      <c r="AI34" s="6">
        <f>AE34/AE36-1</f>
        <v>-3.6594874669426125E-2</v>
      </c>
      <c r="AJ34" s="6">
        <f>AF34/AF36-1</f>
        <v>0.11541107953664009</v>
      </c>
    </row>
    <row r="35" spans="1:36">
      <c r="A35" s="6" t="s">
        <v>216</v>
      </c>
      <c r="B35" s="17">
        <v>244</v>
      </c>
      <c r="C35" s="14">
        <v>13.37</v>
      </c>
      <c r="D35" s="14">
        <v>7.28</v>
      </c>
      <c r="E35" s="18">
        <v>2.4500000000000002</v>
      </c>
      <c r="F35" s="48">
        <v>1.62</v>
      </c>
      <c r="G35" s="50">
        <v>5.8</v>
      </c>
      <c r="H35" s="50">
        <v>0.1</v>
      </c>
      <c r="I35" s="6">
        <f t="shared" si="0"/>
        <v>3.5378834837191055</v>
      </c>
      <c r="J35" s="6">
        <f t="shared" si="1"/>
        <v>4.3901013288871686</v>
      </c>
      <c r="K35" s="6">
        <f t="shared" si="2"/>
        <v>1.4683864222572811</v>
      </c>
      <c r="L35" s="6">
        <f t="shared" si="3"/>
        <v>1.1577990420383257</v>
      </c>
      <c r="M35" s="6">
        <f t="shared" si="4"/>
        <v>2.4073263269639065</v>
      </c>
      <c r="N35" s="6">
        <f t="shared" si="5"/>
        <v>3.7092896130779991E-2</v>
      </c>
      <c r="O35" s="20">
        <f t="shared" si="6"/>
        <v>49.549482740744907</v>
      </c>
      <c r="P35" s="20">
        <f t="shared" si="7"/>
        <v>74.752828274019706</v>
      </c>
      <c r="Q35" s="56">
        <v>274</v>
      </c>
      <c r="R35" s="56">
        <f t="shared" si="8"/>
        <v>2.7400000000000001E-2</v>
      </c>
      <c r="S35" s="6">
        <f>I35/I36-1</f>
        <v>-4.0965967960468586E-2</v>
      </c>
      <c r="T35" s="6">
        <f>J35/J36-1</f>
        <v>0.64375313597591588</v>
      </c>
      <c r="U35" s="6">
        <f>K35/K36-1</f>
        <v>-7.2750210260723258E-2</v>
      </c>
      <c r="V35" s="6">
        <f t="shared" si="9"/>
        <v>-1.0553330097965834</v>
      </c>
      <c r="W35" s="6">
        <f t="shared" si="10"/>
        <v>-3.3770656313490671E-3</v>
      </c>
      <c r="X35" s="6">
        <f t="shared" si="11"/>
        <v>-4.6434652431049666E-5</v>
      </c>
      <c r="Y35" s="6">
        <f>I36*(100-W35)/100</f>
        <v>3.6891318161486004</v>
      </c>
      <c r="Z35" s="6">
        <f>K36*(100-X35)/100</f>
        <v>1.5835938927635587</v>
      </c>
      <c r="AA35" s="6">
        <f t="shared" si="12"/>
        <v>2.329594622084977</v>
      </c>
      <c r="AB35" s="6">
        <f>AA35/AC36-1</f>
        <v>3.3306294323631747E-5</v>
      </c>
      <c r="AC35" s="6">
        <f t="shared" si="13"/>
        <v>2.4093681541133325</v>
      </c>
      <c r="AD35" s="6">
        <f t="shared" si="14"/>
        <v>2.9897452484874338</v>
      </c>
      <c r="AE35" s="6">
        <f t="shared" si="15"/>
        <v>0.7884838925835993</v>
      </c>
      <c r="AF35" s="6">
        <f t="shared" si="16"/>
        <v>1.8659938272841882E-2</v>
      </c>
      <c r="AG35" s="6">
        <f>AC35/AC36-1</f>
        <v>3.427797196825666E-2</v>
      </c>
      <c r="AH35" s="6">
        <f>AD35/AD36-1</f>
        <v>0.77271880151960448</v>
      </c>
      <c r="AI35" s="6">
        <f>AE35/AE36-1</f>
        <v>-0.7112661891679749</v>
      </c>
      <c r="AJ35" s="6">
        <f>AF35/AF36-1</f>
        <v>8.2408445673751718E-2</v>
      </c>
    </row>
    <row r="36" spans="1:36" s="2" customFormat="1">
      <c r="A36" s="2" t="s">
        <v>42</v>
      </c>
      <c r="B36" s="40" t="s">
        <v>44</v>
      </c>
      <c r="C36" s="41">
        <f>AVERAGE(11.25,13.65,13.34,14.55,15.23,14.3,14.17,15.46,13.52)</f>
        <v>13.941111111111109</v>
      </c>
      <c r="D36" s="41">
        <f>AVERAGE(6.06,4.65,4.63,4.62,3.62,4.06,3.85,3.55,4.82)</f>
        <v>4.4288888888888884</v>
      </c>
      <c r="E36" s="41">
        <f>AVERAGE(3.39,2.42,2.49,2.41,2.48,2.8,2.78,2.32,2.69)</f>
        <v>2.6422222222222227</v>
      </c>
      <c r="F36" s="49">
        <f>AVERAGE(5.56, 5.48, 6.38,5.85,6.38,5.85,6.76,6.59,6.41,5.76,5.54)</f>
        <v>6.0509090909090899</v>
      </c>
      <c r="G36" s="51">
        <f>AVERAGE(2.18,2.64,2.27,2.52,2.3,2.24,2.44,2.87,2.44)</f>
        <v>2.4333333333333336</v>
      </c>
      <c r="H36" s="51">
        <f>AVERAGE(0.86,1.17,1.2,1.26,1.42,1.32,1.33,1.43,1.2)</f>
        <v>1.2433333333333332</v>
      </c>
      <c r="I36" s="2">
        <f t="shared" si="0"/>
        <v>3.6890072359530968</v>
      </c>
      <c r="J36" s="2">
        <f t="shared" si="1"/>
        <v>2.6707789830500994</v>
      </c>
      <c r="K36" s="2">
        <f t="shared" si="2"/>
        <v>1.5835931574275801</v>
      </c>
      <c r="L36" s="2">
        <f t="shared" si="3"/>
        <v>4.324528857355272</v>
      </c>
      <c r="M36" s="2">
        <f t="shared" si="4"/>
        <v>1.0099702406227884</v>
      </c>
      <c r="N36" s="2">
        <f t="shared" si="5"/>
        <v>0.46118834189269781</v>
      </c>
      <c r="O36" s="42"/>
      <c r="P36" s="42"/>
      <c r="Q36" s="57">
        <v>273</v>
      </c>
      <c r="R36" s="57">
        <f t="shared" si="8"/>
        <v>2.7300000000000001E-2</v>
      </c>
      <c r="AC36" s="2">
        <f t="shared" si="13"/>
        <v>2.329517034504994</v>
      </c>
      <c r="AD36" s="2">
        <f t="shared" si="14"/>
        <v>1.6865310199928909</v>
      </c>
      <c r="AE36" s="2">
        <f t="shared" si="15"/>
        <v>2.7308332554177754</v>
      </c>
      <c r="AF36" s="2">
        <f t="shared" si="16"/>
        <v>1.7239276307777596E-2</v>
      </c>
    </row>
    <row r="37" spans="1:36">
      <c r="F37" s="47"/>
      <c r="G37" s="50"/>
      <c r="H37" s="50"/>
      <c r="Q37" s="47"/>
      <c r="R37" s="47"/>
      <c r="AA37" s="39"/>
      <c r="AD37" s="39"/>
      <c r="AE37" s="39"/>
      <c r="AF37" s="39" t="s">
        <v>97</v>
      </c>
      <c r="AG37" s="6">
        <f>_xlfn.VAR.P(AG3:AG35)</f>
        <v>5.9857354363788882E-2</v>
      </c>
    </row>
    <row r="38" spans="1:36">
      <c r="F38" s="47"/>
      <c r="G38" s="50"/>
      <c r="H38" s="50"/>
      <c r="Q38" s="47"/>
      <c r="R38" s="47"/>
      <c r="AF38" s="39" t="s">
        <v>98</v>
      </c>
      <c r="AG38" s="6">
        <f>AVERAGE(AG3:AG35)</f>
        <v>0.12193464939028266</v>
      </c>
    </row>
    <row r="39" spans="1:36">
      <c r="F39" s="47"/>
      <c r="G39" s="50"/>
      <c r="H39" s="50"/>
      <c r="Q39" s="47"/>
      <c r="R39" s="47"/>
    </row>
    <row r="40" spans="1:36">
      <c r="F40" s="47"/>
      <c r="G40" s="50"/>
      <c r="H40" s="50"/>
      <c r="Q40" s="47"/>
      <c r="R40" s="47"/>
    </row>
    <row r="41" spans="1:36">
      <c r="F41" s="47"/>
      <c r="G41" s="50"/>
      <c r="H41" s="50"/>
      <c r="Q41" s="47"/>
      <c r="R41" s="47"/>
    </row>
    <row r="42" spans="1:36">
      <c r="F42" s="47"/>
      <c r="G42" s="50"/>
      <c r="H42" s="50"/>
      <c r="Q42" s="47"/>
      <c r="R42" s="47"/>
    </row>
    <row r="43" spans="1:36">
      <c r="F43" s="47"/>
      <c r="G43" s="50"/>
      <c r="H43" s="50"/>
      <c r="Q43" s="47"/>
      <c r="R43" s="47"/>
    </row>
    <row r="44" spans="1:36">
      <c r="F44" s="47"/>
      <c r="G44" s="50"/>
      <c r="H44" s="50"/>
      <c r="Q44" s="47"/>
      <c r="R44" s="47"/>
    </row>
    <row r="45" spans="1:36">
      <c r="B45" s="11"/>
      <c r="C45" s="14"/>
      <c r="D45" s="14"/>
      <c r="E45" s="14"/>
      <c r="F45" s="47"/>
      <c r="G45" s="50"/>
      <c r="H45" s="50"/>
      <c r="O45" s="20"/>
      <c r="P45" s="20"/>
      <c r="Q45" s="20"/>
      <c r="R45" s="20"/>
    </row>
    <row r="46" spans="1:36">
      <c r="B46" s="11"/>
      <c r="C46" s="14"/>
      <c r="D46" s="14"/>
      <c r="E46" s="14"/>
      <c r="F46" s="14"/>
      <c r="G46" s="14"/>
      <c r="H46" s="14"/>
      <c r="O46" s="20"/>
      <c r="P46" s="20"/>
      <c r="Q46" s="20"/>
      <c r="R46" s="20"/>
    </row>
    <row r="47" spans="1:36">
      <c r="B47" s="11"/>
      <c r="C47" s="14"/>
      <c r="D47" s="14"/>
      <c r="E47" s="14"/>
      <c r="F47" s="14"/>
      <c r="G47" s="14"/>
      <c r="H47" s="14"/>
      <c r="O47" s="20"/>
      <c r="P47" s="20"/>
      <c r="Q47" s="20"/>
      <c r="R47" s="20"/>
    </row>
    <row r="48" spans="1:36">
      <c r="B48" s="11"/>
      <c r="C48" s="14"/>
      <c r="D48" s="14"/>
      <c r="E48" s="14"/>
      <c r="F48" s="14"/>
      <c r="G48" s="14"/>
      <c r="H48" s="14"/>
      <c r="O48" s="20"/>
      <c r="P48" s="20"/>
      <c r="Q48" s="20"/>
      <c r="R48" s="20"/>
    </row>
    <row r="49" spans="2:18">
      <c r="B49" s="11"/>
      <c r="C49" s="14"/>
      <c r="D49" s="14"/>
      <c r="E49" s="14"/>
      <c r="F49" s="14"/>
      <c r="G49" s="14"/>
      <c r="H49" s="14"/>
      <c r="O49" s="20"/>
      <c r="P49" s="20"/>
      <c r="Q49" s="20"/>
      <c r="R49" s="20"/>
    </row>
    <row r="50" spans="2:18">
      <c r="B50" s="11"/>
      <c r="C50" s="14"/>
      <c r="D50" s="14"/>
      <c r="E50" s="14"/>
      <c r="F50" s="14"/>
      <c r="G50" s="14"/>
      <c r="H50" s="14"/>
      <c r="O50" s="20"/>
      <c r="P50" s="20"/>
      <c r="Q50" s="20"/>
      <c r="R50" s="20"/>
    </row>
    <row r="51" spans="2:18">
      <c r="B51" s="11"/>
      <c r="C51" s="14"/>
      <c r="D51" s="14"/>
      <c r="E51" s="14"/>
      <c r="F51" s="14"/>
      <c r="G51" s="14"/>
      <c r="H51" s="14"/>
      <c r="O51" s="20"/>
      <c r="P51" s="20"/>
      <c r="Q51" s="20"/>
      <c r="R51" s="20"/>
    </row>
    <row r="52" spans="2:18">
      <c r="B52" s="11"/>
      <c r="C52" s="14"/>
      <c r="D52" s="14"/>
      <c r="E52" s="14"/>
      <c r="F52" s="14"/>
      <c r="G52" s="14"/>
      <c r="H52" s="14"/>
      <c r="O52" s="20"/>
      <c r="P52" s="20"/>
      <c r="Q52" s="20"/>
      <c r="R52" s="20"/>
    </row>
    <row r="53" spans="2:18">
      <c r="B53" s="11"/>
      <c r="C53" s="14"/>
      <c r="D53" s="14"/>
      <c r="E53" s="14"/>
      <c r="F53" s="14"/>
      <c r="G53" s="14"/>
      <c r="H53" s="14"/>
      <c r="O53" s="20"/>
      <c r="P53" s="20"/>
      <c r="Q53" s="20"/>
      <c r="R53" s="20"/>
    </row>
    <row r="54" spans="2:18">
      <c r="B54" s="11"/>
      <c r="C54" s="14"/>
      <c r="D54" s="14"/>
      <c r="E54" s="14"/>
      <c r="F54" s="14"/>
      <c r="G54" s="14"/>
      <c r="H54" s="14"/>
      <c r="O54" s="20"/>
      <c r="P54" s="20"/>
      <c r="Q54" s="20"/>
      <c r="R54" s="20"/>
    </row>
    <row r="55" spans="2:18">
      <c r="B55" s="11"/>
      <c r="C55" s="14"/>
      <c r="D55" s="14"/>
      <c r="E55" s="14"/>
      <c r="F55" s="14"/>
      <c r="G55" s="14"/>
      <c r="H55" s="14"/>
      <c r="O55" s="20"/>
      <c r="P55" s="20"/>
      <c r="Q55" s="20"/>
      <c r="R55" s="20"/>
    </row>
    <row r="56" spans="2:18">
      <c r="B56" s="11"/>
      <c r="C56" s="14"/>
      <c r="D56" s="14"/>
      <c r="E56" s="14"/>
      <c r="F56" s="14"/>
      <c r="G56" s="14"/>
      <c r="H56" s="14"/>
      <c r="O56" s="20"/>
      <c r="P56" s="20"/>
      <c r="Q56" s="20"/>
      <c r="R56" s="20"/>
    </row>
    <row r="57" spans="2:18">
      <c r="B57" s="11"/>
      <c r="C57" s="14"/>
      <c r="D57" s="14"/>
      <c r="E57" s="14"/>
      <c r="F57" s="14"/>
      <c r="G57" s="14"/>
      <c r="H57" s="14"/>
      <c r="O57" s="20"/>
      <c r="P57" s="20"/>
      <c r="Q57" s="20"/>
      <c r="R57" s="20"/>
    </row>
    <row r="58" spans="2:18">
      <c r="B58" s="11"/>
      <c r="C58" s="14"/>
      <c r="D58" s="14"/>
      <c r="E58" s="14"/>
      <c r="F58" s="14"/>
      <c r="G58" s="14"/>
      <c r="H58" s="14"/>
      <c r="O58" s="20"/>
      <c r="P58" s="20"/>
      <c r="Q58" s="20"/>
      <c r="R58" s="20"/>
    </row>
    <row r="59" spans="2:18">
      <c r="B59" s="11"/>
      <c r="C59" s="14"/>
      <c r="D59" s="14"/>
      <c r="E59" s="14"/>
      <c r="F59" s="14"/>
      <c r="G59" s="14"/>
      <c r="H59" s="14"/>
      <c r="O59" s="20"/>
      <c r="P59" s="20"/>
      <c r="Q59" s="20"/>
      <c r="R59" s="20"/>
    </row>
    <row r="60" spans="2:18">
      <c r="B60" s="11"/>
      <c r="C60" s="14"/>
      <c r="D60" s="14"/>
      <c r="E60" s="14"/>
      <c r="F60" s="14"/>
      <c r="G60" s="14"/>
      <c r="H60" s="14"/>
      <c r="O60" s="20"/>
      <c r="P60" s="20"/>
      <c r="Q60" s="20"/>
      <c r="R60" s="20"/>
    </row>
    <row r="61" spans="2:18">
      <c r="B61" s="11"/>
      <c r="C61" s="14"/>
      <c r="D61" s="14"/>
      <c r="E61" s="14"/>
      <c r="F61" s="14"/>
      <c r="G61" s="14"/>
      <c r="H61" s="14"/>
      <c r="O61" s="20"/>
      <c r="P61" s="20"/>
      <c r="Q61" s="20"/>
      <c r="R61" s="20"/>
    </row>
    <row r="62" spans="2:18">
      <c r="B62" s="11"/>
      <c r="C62" s="14"/>
      <c r="D62" s="14"/>
      <c r="E62" s="14"/>
      <c r="F62" s="14"/>
      <c r="G62" s="14"/>
      <c r="H62" s="14"/>
      <c r="O62" s="20"/>
      <c r="P62" s="20"/>
      <c r="Q62" s="20"/>
      <c r="R62" s="20"/>
    </row>
    <row r="63" spans="2:18">
      <c r="B63" s="11"/>
      <c r="C63" s="14"/>
      <c r="D63" s="14"/>
      <c r="E63" s="14"/>
      <c r="F63" s="14"/>
      <c r="G63" s="14"/>
      <c r="H63" s="14"/>
      <c r="O63" s="20"/>
      <c r="P63" s="20"/>
      <c r="Q63" s="20"/>
      <c r="R63" s="20"/>
    </row>
    <row r="64" spans="2:18">
      <c r="B64" s="11"/>
      <c r="C64" s="14"/>
      <c r="D64" s="14"/>
      <c r="E64" s="14"/>
      <c r="F64" s="14"/>
      <c r="G64" s="14"/>
      <c r="H64" s="14"/>
      <c r="O64" s="20"/>
      <c r="P64" s="20"/>
      <c r="Q64" s="20"/>
      <c r="R64" s="20"/>
    </row>
    <row r="65" spans="2:18">
      <c r="B65" s="11"/>
      <c r="C65" s="14"/>
      <c r="D65" s="14"/>
      <c r="E65" s="14"/>
      <c r="F65" s="14"/>
      <c r="G65" s="14"/>
      <c r="H65" s="14"/>
      <c r="O65" s="20"/>
      <c r="P65" s="20"/>
      <c r="Q65" s="20"/>
      <c r="R65" s="20"/>
    </row>
    <row r="66" spans="2:18">
      <c r="B66" s="11"/>
      <c r="C66" s="14"/>
      <c r="D66" s="14"/>
      <c r="E66" s="14"/>
      <c r="F66" s="14"/>
      <c r="G66" s="14"/>
      <c r="H66" s="14"/>
      <c r="O66" s="20"/>
      <c r="P66" s="20"/>
      <c r="Q66" s="20"/>
      <c r="R66" s="20"/>
    </row>
    <row r="67" spans="2:18">
      <c r="B67" s="11"/>
      <c r="C67" s="14"/>
      <c r="D67" s="14"/>
      <c r="E67" s="14"/>
      <c r="F67" s="14"/>
      <c r="G67" s="14"/>
      <c r="H67" s="14"/>
      <c r="O67" s="20"/>
      <c r="P67" s="20"/>
      <c r="Q67" s="20"/>
      <c r="R67" s="20"/>
    </row>
    <row r="68" spans="2:18">
      <c r="B68" s="11"/>
      <c r="C68" s="14"/>
      <c r="D68" s="14"/>
      <c r="E68" s="14"/>
      <c r="F68" s="14"/>
      <c r="G68" s="14"/>
      <c r="H68" s="14"/>
      <c r="O68" s="20"/>
      <c r="P68" s="20"/>
      <c r="Q68" s="20"/>
      <c r="R68" s="20"/>
    </row>
  </sheetData>
  <pageMargins left="0.7" right="0.7" top="0.75" bottom="0.75" header="0.3" footer="0.3"/>
  <pageSetup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2"/>
  <sheetViews>
    <sheetView topLeftCell="A14" workbookViewId="0">
      <selection activeCell="C12" sqref="C12"/>
    </sheetView>
  </sheetViews>
  <sheetFormatPr defaultRowHeight="14.5"/>
  <cols>
    <col min="1" max="2" width="11.6328125" style="6" customWidth="1"/>
    <col min="3" max="3" width="8.7265625" style="6"/>
    <col min="4" max="4" width="7.26953125" style="6" customWidth="1"/>
    <col min="5" max="19" width="8.7265625" style="6"/>
    <col min="20" max="20" width="13.26953125" style="6" customWidth="1"/>
    <col min="21" max="22" width="12.54296875" style="6" customWidth="1"/>
    <col min="23" max="23" width="17.90625" style="6" customWidth="1"/>
    <col min="24" max="25" width="20" style="6" customWidth="1"/>
    <col min="26" max="27" width="11.90625" style="6" customWidth="1"/>
    <col min="28" max="28" width="13.81640625" style="6" customWidth="1"/>
    <col min="29" max="29" width="18.36328125" style="6" customWidth="1"/>
    <col min="30" max="34" width="8.7265625" style="6"/>
    <col min="35" max="35" width="11" style="6" customWidth="1"/>
    <col min="36" max="36" width="13.1796875" style="6" customWidth="1"/>
    <col min="37" max="37" width="14.1796875" style="6" customWidth="1"/>
    <col min="38" max="16384" width="8.7265625" style="6"/>
  </cols>
  <sheetData>
    <row r="1" spans="1:37">
      <c r="A1" s="81" t="s">
        <v>187</v>
      </c>
      <c r="B1" s="91"/>
      <c r="C1" s="81"/>
      <c r="D1" s="81"/>
      <c r="E1" s="81"/>
      <c r="F1" s="81"/>
      <c r="G1" s="81"/>
      <c r="H1" s="81"/>
      <c r="I1" s="81"/>
      <c r="J1" s="81"/>
      <c r="K1" s="81"/>
      <c r="L1" s="81"/>
      <c r="M1" s="81"/>
      <c r="N1" s="81"/>
      <c r="O1" s="81"/>
    </row>
    <row r="2" spans="1:37">
      <c r="A2" s="1" t="s">
        <v>197</v>
      </c>
      <c r="B2" s="1" t="s">
        <v>196</v>
      </c>
      <c r="C2" s="1" t="s">
        <v>0</v>
      </c>
      <c r="D2" s="1" t="s">
        <v>1</v>
      </c>
      <c r="E2" s="1" t="s">
        <v>2</v>
      </c>
      <c r="F2" s="1" t="s">
        <v>3</v>
      </c>
      <c r="G2" s="1" t="s">
        <v>48</v>
      </c>
      <c r="H2" s="1" t="s">
        <v>49</v>
      </c>
      <c r="I2" s="1" t="s">
        <v>50</v>
      </c>
      <c r="J2" s="1" t="s">
        <v>4</v>
      </c>
      <c r="K2" s="1" t="s">
        <v>5</v>
      </c>
      <c r="L2" s="1" t="s">
        <v>6</v>
      </c>
      <c r="M2" s="1" t="s">
        <v>45</v>
      </c>
      <c r="N2" s="1" t="s">
        <v>46</v>
      </c>
      <c r="O2" s="1" t="s">
        <v>47</v>
      </c>
      <c r="P2" s="1" t="s">
        <v>51</v>
      </c>
      <c r="Q2" s="1" t="s">
        <v>52</v>
      </c>
      <c r="R2" s="1" t="s">
        <v>110</v>
      </c>
      <c r="S2" s="1" t="s">
        <v>120</v>
      </c>
      <c r="T2" s="1" t="s">
        <v>7</v>
      </c>
      <c r="U2" s="1" t="s">
        <v>8</v>
      </c>
      <c r="V2" s="1" t="s">
        <v>9</v>
      </c>
      <c r="W2" s="1" t="s">
        <v>10</v>
      </c>
      <c r="X2" s="1" t="s">
        <v>11</v>
      </c>
      <c r="Y2" s="1" t="s">
        <v>12</v>
      </c>
      <c r="Z2" s="1" t="s">
        <v>13</v>
      </c>
      <c r="AA2" s="1" t="s">
        <v>14</v>
      </c>
      <c r="AB2" s="1" t="s">
        <v>15</v>
      </c>
      <c r="AC2" s="1" t="s">
        <v>460</v>
      </c>
      <c r="AD2" s="1" t="s">
        <v>16</v>
      </c>
      <c r="AE2" s="1" t="s">
        <v>17</v>
      </c>
      <c r="AF2" s="1" t="s">
        <v>107</v>
      </c>
      <c r="AG2" s="1" t="s">
        <v>134</v>
      </c>
      <c r="AH2" s="1" t="s">
        <v>459</v>
      </c>
      <c r="AI2" s="1" t="s">
        <v>461</v>
      </c>
      <c r="AJ2" s="1" t="s">
        <v>462</v>
      </c>
      <c r="AK2" s="1" t="s">
        <v>465</v>
      </c>
    </row>
    <row r="3" spans="1:37">
      <c r="A3" s="6" t="s">
        <v>389</v>
      </c>
      <c r="B3" s="6" t="s">
        <v>418</v>
      </c>
      <c r="C3" s="6">
        <v>0.1</v>
      </c>
      <c r="D3" s="6">
        <v>21.7</v>
      </c>
      <c r="E3" s="6">
        <v>1.2</v>
      </c>
      <c r="F3" s="6">
        <v>1.1000000000000001</v>
      </c>
      <c r="G3" s="6">
        <v>0.7</v>
      </c>
      <c r="H3" s="6">
        <v>3.3</v>
      </c>
      <c r="I3" s="6">
        <v>0.2</v>
      </c>
      <c r="J3" s="6">
        <f>D3*26.98/101.96</f>
        <v>5.7421145547273449</v>
      </c>
      <c r="K3" s="6">
        <f>E3*24.305/40.3044</f>
        <v>0.72364307619019252</v>
      </c>
      <c r="L3" s="6">
        <f>F3*79.866/47.867</f>
        <v>1.8353479432594484</v>
      </c>
      <c r="M3" s="6">
        <f>G3*40.078/56.0774</f>
        <v>0.50028353668322711</v>
      </c>
      <c r="N3" s="6">
        <f>H3*39.0983/94.2</f>
        <v>1.3696856687898089</v>
      </c>
      <c r="O3" s="6">
        <f>I3*22.989769/61.9789</f>
        <v>7.4185792261559982E-2</v>
      </c>
      <c r="P3" s="6">
        <f>100*(J3/(J3+M3+N3+O3))</f>
        <v>74.706130399604888</v>
      </c>
      <c r="Q3" s="6">
        <f>100*(J3/(J3+M3+O3))</f>
        <v>90.905379560782123</v>
      </c>
      <c r="R3" s="58">
        <v>500</v>
      </c>
      <c r="S3" s="62">
        <f>R3/10000</f>
        <v>0.05</v>
      </c>
      <c r="T3" s="6">
        <f>(J3/J20-1)*100</f>
        <v>63.157894736842124</v>
      </c>
      <c r="U3" s="6">
        <f>(K3/K20-1)*100</f>
        <v>499.99999999999983</v>
      </c>
      <c r="V3" s="6">
        <f>(L3/L20-1)*100</f>
        <v>587.50000000000011</v>
      </c>
      <c r="W3" s="6">
        <f>U3/-0.13</f>
        <v>-3846.1538461538448</v>
      </c>
      <c r="X3" s="6">
        <f>W3*0.0018</f>
        <v>-6.9230769230769207</v>
      </c>
      <c r="Y3" s="6">
        <f>W3*0.00015</f>
        <v>-0.57692307692307665</v>
      </c>
      <c r="Z3" s="6">
        <f>J20*(100-X3)/100</f>
        <v>3.7630085704801282</v>
      </c>
      <c r="AA3" s="6">
        <f>L20*(100-Y3)/100</f>
        <v>0.26849985295795564</v>
      </c>
      <c r="AB3" s="6">
        <f>Z3/AA3</f>
        <v>14.01493717417185</v>
      </c>
      <c r="AC3" s="6">
        <f>AB3/AD20-1</f>
        <v>6.3097514340344052E-2</v>
      </c>
      <c r="AD3" s="6">
        <f>J3/L3</f>
        <v>3.1286245073126322</v>
      </c>
      <c r="AE3" s="6">
        <f>K3/L3</f>
        <v>0.39428113827019279</v>
      </c>
      <c r="AF3" s="6">
        <f>M3/L3</f>
        <v>0.27258239426512165</v>
      </c>
      <c r="AG3" s="6">
        <f>S3/L3</f>
        <v>2.7242790765441203E-2</v>
      </c>
      <c r="AH3" s="6">
        <f>AD3/18.63478-1</f>
        <v>-0.83210832071467267</v>
      </c>
      <c r="AI3" s="6">
        <f>AE3/1.024036-1</f>
        <v>-0.61497336200075692</v>
      </c>
      <c r="AJ3" s="6">
        <f>AF3/1.024036-1</f>
        <v>-0.7338156136452999</v>
      </c>
      <c r="AK3" s="6">
        <f>AG3/1.024036-1</f>
        <v>-0.97339664741723808</v>
      </c>
    </row>
    <row r="4" spans="1:37">
      <c r="A4" s="6" t="s">
        <v>394</v>
      </c>
      <c r="B4" s="6" t="s">
        <v>418</v>
      </c>
      <c r="C4" s="6">
        <v>0.28000000000000003</v>
      </c>
      <c r="D4" s="6">
        <v>20.2</v>
      </c>
      <c r="E4" s="6">
        <v>1.2</v>
      </c>
      <c r="F4" s="6">
        <v>0.7</v>
      </c>
      <c r="G4" s="6">
        <v>0.9</v>
      </c>
      <c r="H4" s="6">
        <v>3.5</v>
      </c>
      <c r="I4" s="6">
        <v>0.3</v>
      </c>
      <c r="J4" s="6">
        <f t="shared" ref="J4:J20" si="0">D4*26.98/101.96</f>
        <v>5.3451941938014906</v>
      </c>
      <c r="K4" s="6">
        <f t="shared" ref="K4:K20" si="1">E4*24.305/40.3044</f>
        <v>0.72364307619019252</v>
      </c>
      <c r="L4" s="6">
        <f t="shared" ref="L4:L20" si="2">F4*79.866/47.867</f>
        <v>1.1679486911651034</v>
      </c>
      <c r="M4" s="6">
        <f t="shared" ref="M4:M20" si="3">G4*40.078/56.0774</f>
        <v>0.64322169002129215</v>
      </c>
      <c r="N4" s="6">
        <f t="shared" ref="N4:N20" si="4">H4*39.0983/94.2</f>
        <v>1.4526969214437369</v>
      </c>
      <c r="O4" s="6">
        <f t="shared" ref="O4:O20" si="5">I4*22.989769/61.9789</f>
        <v>0.11127868839233997</v>
      </c>
      <c r="P4" s="6">
        <f t="shared" ref="P4:P20" si="6">100*(J4/(J4+M4+N4+O4))</f>
        <v>70.774855862403626</v>
      </c>
      <c r="Q4" s="6">
        <f t="shared" ref="Q4:Q20" si="7">100*(J4/(J4+M4+O4))</f>
        <v>87.63052199612622</v>
      </c>
      <c r="R4" s="58">
        <v>350</v>
      </c>
      <c r="S4" s="62">
        <f t="shared" ref="S4:S20" si="8">R4/10000</f>
        <v>3.5000000000000003E-2</v>
      </c>
      <c r="T4" s="6">
        <f>(J4/J20-1)*100</f>
        <v>51.879699248120282</v>
      </c>
      <c r="U4" s="6">
        <f>(K4/K20-1)*100</f>
        <v>499.99999999999983</v>
      </c>
      <c r="V4" s="6">
        <f>(L4/L20-1)*100</f>
        <v>337.5</v>
      </c>
      <c r="W4" s="6">
        <f t="shared" ref="W4:W19" si="9">U4/-0.13</f>
        <v>-3846.1538461538448</v>
      </c>
      <c r="X4" s="6">
        <f t="shared" ref="X4:X19" si="10">W4*0.0018</f>
        <v>-6.9230769230769207</v>
      </c>
      <c r="Y4" s="6">
        <f t="shared" ref="Y4:Y19" si="11">W4*0.00015</f>
        <v>-0.57692307692307665</v>
      </c>
      <c r="Z4" s="6">
        <f>J20*(100-X4)/100</f>
        <v>3.7630085704801282</v>
      </c>
      <c r="AA4" s="6">
        <f>L20*(100-Y4)/100</f>
        <v>0.26849985295795564</v>
      </c>
      <c r="AB4" s="6">
        <f t="shared" ref="AB4:AB19" si="12">Z4/AA4</f>
        <v>14.01493717417185</v>
      </c>
      <c r="AC4" s="6">
        <f>AB4/AD20-1</f>
        <v>6.3097514340344052E-2</v>
      </c>
      <c r="AD4" s="6">
        <f t="shared" ref="AD4:AD20" si="13">J4/L4</f>
        <v>4.5765659349892491</v>
      </c>
      <c r="AE4" s="6">
        <f t="shared" ref="AE4:AE19" si="14">K4/L4</f>
        <v>0.6195846458531602</v>
      </c>
      <c r="AF4" s="6">
        <f t="shared" ref="AF4:AF20" si="15">M4/L4</f>
        <v>0.55072769453565418</v>
      </c>
      <c r="AG4" s="6">
        <f t="shared" ref="AG4:AG20" si="16">S4/L4</f>
        <v>2.9967069841985328E-2</v>
      </c>
      <c r="AH4" s="6">
        <f t="shared" ref="AH4:AH19" si="17">AD4/18.63478-1</f>
        <v>-0.75440729995260214</v>
      </c>
      <c r="AI4" s="6">
        <f t="shared" ref="AI4:AK19" si="18">AE4/1.024036-1</f>
        <v>-0.39495814028690379</v>
      </c>
      <c r="AJ4" s="6">
        <f t="shared" si="18"/>
        <v>-0.46219889287519755</v>
      </c>
      <c r="AK4" s="6">
        <f t="shared" si="18"/>
        <v>-0.97073631215896183</v>
      </c>
    </row>
    <row r="5" spans="1:37">
      <c r="A5" s="6" t="s">
        <v>391</v>
      </c>
      <c r="B5" s="6" t="s">
        <v>418</v>
      </c>
      <c r="C5" s="6">
        <v>0.5</v>
      </c>
      <c r="D5" s="6">
        <v>20</v>
      </c>
      <c r="E5" s="6">
        <v>1.8</v>
      </c>
      <c r="F5" s="6">
        <v>0.8</v>
      </c>
      <c r="G5" s="6">
        <v>0.6</v>
      </c>
      <c r="H5" s="6">
        <v>5.4</v>
      </c>
      <c r="I5" s="6">
        <v>0.4</v>
      </c>
      <c r="J5" s="6">
        <f t="shared" si="0"/>
        <v>5.2922714790113776</v>
      </c>
      <c r="K5" s="6">
        <f t="shared" si="1"/>
        <v>1.0854646142852891</v>
      </c>
      <c r="L5" s="6">
        <f t="shared" si="2"/>
        <v>1.3347985041886896</v>
      </c>
      <c r="M5" s="6">
        <f t="shared" si="3"/>
        <v>0.42881446001419471</v>
      </c>
      <c r="N5" s="6">
        <f t="shared" si="4"/>
        <v>2.241303821656051</v>
      </c>
      <c r="O5" s="6">
        <f t="shared" si="5"/>
        <v>0.14837158452311996</v>
      </c>
      <c r="P5" s="6">
        <f t="shared" si="6"/>
        <v>65.24999631681041</v>
      </c>
      <c r="Q5" s="6">
        <f t="shared" si="7"/>
        <v>90.166279554428968</v>
      </c>
      <c r="R5" s="58">
        <v>400</v>
      </c>
      <c r="S5" s="62">
        <f t="shared" si="8"/>
        <v>0.04</v>
      </c>
      <c r="T5" s="6">
        <f>(J5/J20-1)*100</f>
        <v>50.375939849624075</v>
      </c>
      <c r="U5" s="6">
        <f>(K5/K20-1)*100</f>
        <v>800</v>
      </c>
      <c r="V5" s="6">
        <f>(L5/L20-1)*100</f>
        <v>400</v>
      </c>
      <c r="W5" s="6">
        <f t="shared" si="9"/>
        <v>-6153.8461538461534</v>
      </c>
      <c r="X5" s="6">
        <f t="shared" si="10"/>
        <v>-11.076923076923075</v>
      </c>
      <c r="Y5" s="6">
        <f t="shared" si="11"/>
        <v>-0.92307692307692291</v>
      </c>
      <c r="Z5" s="6">
        <f>J20*(100-X5)/100</f>
        <v>3.9091973926426657</v>
      </c>
      <c r="AA5" s="6">
        <f>L20*(100-Y5)/100</f>
        <v>0.26942394423008625</v>
      </c>
      <c r="AB5" s="6">
        <f t="shared" si="12"/>
        <v>14.509465384799791</v>
      </c>
      <c r="AC5" s="6">
        <f>AB5/AD20-1</f>
        <v>0.10060975609756118</v>
      </c>
      <c r="AD5" s="6">
        <f t="shared" si="13"/>
        <v>3.964846725857023</v>
      </c>
      <c r="AE5" s="6">
        <f t="shared" si="14"/>
        <v>0.81320484768227297</v>
      </c>
      <c r="AF5" s="6">
        <f t="shared" si="15"/>
        <v>0.32125782181246487</v>
      </c>
      <c r="AG5" s="6">
        <f t="shared" si="16"/>
        <v>2.9967069841985324E-2</v>
      </c>
      <c r="AH5" s="6">
        <f t="shared" si="17"/>
        <v>-0.78723404698864041</v>
      </c>
      <c r="AI5" s="6">
        <f t="shared" si="18"/>
        <v>-0.20588255912656095</v>
      </c>
      <c r="AJ5" s="6">
        <f t="shared" si="18"/>
        <v>-0.6862826875105319</v>
      </c>
      <c r="AK5" s="6">
        <f t="shared" si="18"/>
        <v>-0.97073631215896183</v>
      </c>
    </row>
    <row r="6" spans="1:37">
      <c r="A6" s="6" t="s">
        <v>396</v>
      </c>
      <c r="B6" s="6" t="s">
        <v>418</v>
      </c>
      <c r="C6" s="6">
        <v>0.77</v>
      </c>
      <c r="D6" s="6">
        <v>19.7</v>
      </c>
      <c r="E6" s="6">
        <v>1.9</v>
      </c>
      <c r="F6" s="6">
        <v>0.8</v>
      </c>
      <c r="G6" s="6">
        <v>0.6</v>
      </c>
      <c r="H6" s="6">
        <v>6</v>
      </c>
      <c r="I6" s="6">
        <v>0.3</v>
      </c>
      <c r="J6" s="6">
        <f t="shared" si="0"/>
        <v>5.2128874068262068</v>
      </c>
      <c r="K6" s="6">
        <f t="shared" si="1"/>
        <v>1.145768203967805</v>
      </c>
      <c r="L6" s="6">
        <f t="shared" si="2"/>
        <v>1.3347985041886896</v>
      </c>
      <c r="M6" s="6">
        <f t="shared" si="3"/>
        <v>0.42881446001419471</v>
      </c>
      <c r="N6" s="6">
        <f t="shared" si="4"/>
        <v>2.4903375796178344</v>
      </c>
      <c r="O6" s="6">
        <f t="shared" si="5"/>
        <v>0.11127868839233997</v>
      </c>
      <c r="P6" s="6">
        <f t="shared" si="6"/>
        <v>63.237731718584214</v>
      </c>
      <c r="Q6" s="6">
        <f t="shared" si="7"/>
        <v>90.611942049494985</v>
      </c>
      <c r="R6" s="58">
        <v>380</v>
      </c>
      <c r="S6" s="62">
        <f t="shared" si="8"/>
        <v>3.7999999999999999E-2</v>
      </c>
      <c r="T6" s="6">
        <f>(J6/J20-1)*100</f>
        <v>48.120300751879697</v>
      </c>
      <c r="U6" s="6">
        <f>(K6/K20-1)*100</f>
        <v>849.99999999999977</v>
      </c>
      <c r="V6" s="6">
        <f>(L6/L20-1)*100</f>
        <v>400</v>
      </c>
      <c r="W6" s="6">
        <f t="shared" si="9"/>
        <v>-6538.4615384615363</v>
      </c>
      <c r="X6" s="6">
        <f t="shared" si="10"/>
        <v>-11.769230769230765</v>
      </c>
      <c r="Y6" s="6">
        <f t="shared" si="11"/>
        <v>-0.98076923076923039</v>
      </c>
      <c r="Z6" s="6">
        <f>J20*(100-X6)/100</f>
        <v>3.9335621963364211</v>
      </c>
      <c r="AA6" s="6">
        <f>L20*(100-Y6)/100</f>
        <v>0.26957795944210799</v>
      </c>
      <c r="AB6" s="6">
        <f t="shared" si="12"/>
        <v>14.591557130549301</v>
      </c>
      <c r="AC6" s="6">
        <f>AB6/AD20-1</f>
        <v>0.10683679299181104</v>
      </c>
      <c r="AD6" s="6">
        <f t="shared" si="13"/>
        <v>3.9053740249691673</v>
      </c>
      <c r="AE6" s="6">
        <f t="shared" si="14"/>
        <v>0.85838289477573237</v>
      </c>
      <c r="AF6" s="6">
        <f t="shared" si="15"/>
        <v>0.32125782181246487</v>
      </c>
      <c r="AG6" s="6">
        <f t="shared" si="16"/>
        <v>2.8468716349886056E-2</v>
      </c>
      <c r="AH6" s="6">
        <f t="shared" si="17"/>
        <v>-0.79042553628381085</v>
      </c>
      <c r="AI6" s="6">
        <f t="shared" si="18"/>
        <v>-0.16176492352248117</v>
      </c>
      <c r="AJ6" s="6">
        <f t="shared" si="18"/>
        <v>-0.6862826875105319</v>
      </c>
      <c r="AK6" s="6">
        <f t="shared" si="18"/>
        <v>-0.97219949655101379</v>
      </c>
    </row>
    <row r="7" spans="1:37">
      <c r="A7" s="6" t="s">
        <v>393</v>
      </c>
      <c r="B7" s="6" t="s">
        <v>418</v>
      </c>
      <c r="C7" s="6">
        <v>1.2</v>
      </c>
      <c r="D7" s="6">
        <v>18</v>
      </c>
      <c r="E7" s="6">
        <v>2.1</v>
      </c>
      <c r="F7" s="6">
        <v>0.6</v>
      </c>
      <c r="G7" s="6">
        <v>0.4</v>
      </c>
      <c r="H7" s="6">
        <v>5.5</v>
      </c>
      <c r="I7" s="6">
        <v>0.3</v>
      </c>
      <c r="J7" s="6">
        <f t="shared" si="0"/>
        <v>4.7630443311102395</v>
      </c>
      <c r="K7" s="6">
        <f t="shared" si="1"/>
        <v>1.2663753833328371</v>
      </c>
      <c r="L7" s="6">
        <f t="shared" si="2"/>
        <v>1.0010988781415171</v>
      </c>
      <c r="M7" s="6">
        <f t="shared" si="3"/>
        <v>0.28587630667612984</v>
      </c>
      <c r="N7" s="6">
        <f t="shared" si="4"/>
        <v>2.282809447983015</v>
      </c>
      <c r="O7" s="6">
        <f t="shared" si="5"/>
        <v>0.11127868839233997</v>
      </c>
      <c r="P7" s="6">
        <f t="shared" si="6"/>
        <v>63.99353373927309</v>
      </c>
      <c r="Q7" s="6">
        <f t="shared" si="7"/>
        <v>92.303495079083007</v>
      </c>
      <c r="R7" s="58">
        <v>266</v>
      </c>
      <c r="S7" s="62">
        <f t="shared" si="8"/>
        <v>2.6599999999999999E-2</v>
      </c>
      <c r="T7" s="6">
        <f>(J7/J20-1)*100</f>
        <v>35.338345864661648</v>
      </c>
      <c r="U7" s="6">
        <f>(K7/K20-1)*100</f>
        <v>949.99999999999977</v>
      </c>
      <c r="V7" s="6">
        <f>(L7/L20-1)*100</f>
        <v>275</v>
      </c>
      <c r="W7" s="6">
        <f t="shared" si="9"/>
        <v>-7307.6923076923058</v>
      </c>
      <c r="X7" s="6">
        <f t="shared" si="10"/>
        <v>-13.15384615384615</v>
      </c>
      <c r="Y7" s="6">
        <f t="shared" si="11"/>
        <v>-1.0961538461538458</v>
      </c>
      <c r="Z7" s="6">
        <f>J20*(100-X7)/100</f>
        <v>3.9822918037239337</v>
      </c>
      <c r="AA7" s="6">
        <f>L20*(100-Y7)/100</f>
        <v>0.26988598986615153</v>
      </c>
      <c r="AB7" s="6">
        <f t="shared" si="12"/>
        <v>14.755459539411175</v>
      </c>
      <c r="AC7" s="6">
        <f>AB7/AD20-1</f>
        <v>0.11926954536808054</v>
      </c>
      <c r="AD7" s="6">
        <f t="shared" si="13"/>
        <v>4.7578160710284276</v>
      </c>
      <c r="AE7" s="6">
        <f t="shared" si="14"/>
        <v>1.2649853186168689</v>
      </c>
      <c r="AF7" s="6">
        <f t="shared" si="15"/>
        <v>0.28556250827774665</v>
      </c>
      <c r="AG7" s="6">
        <f t="shared" si="16"/>
        <v>2.657080192656032E-2</v>
      </c>
      <c r="AH7" s="6">
        <f t="shared" si="17"/>
        <v>-0.74468085638636849</v>
      </c>
      <c r="AI7" s="6">
        <f t="shared" si="18"/>
        <v>0.23529379691423835</v>
      </c>
      <c r="AJ7" s="6">
        <f t="shared" si="18"/>
        <v>-0.72114016667602832</v>
      </c>
      <c r="AK7" s="6">
        <f t="shared" si="18"/>
        <v>-0.97405286344761288</v>
      </c>
    </row>
    <row r="8" spans="1:37">
      <c r="A8" s="6" t="s">
        <v>395</v>
      </c>
      <c r="B8" s="6" t="s">
        <v>216</v>
      </c>
      <c r="C8" s="6">
        <v>1.95</v>
      </c>
      <c r="D8" s="6">
        <v>13.4</v>
      </c>
      <c r="E8" s="6">
        <v>0.7</v>
      </c>
      <c r="F8" s="6">
        <v>0.1</v>
      </c>
      <c r="G8" s="15">
        <v>0.1</v>
      </c>
      <c r="H8" s="6">
        <v>7.3</v>
      </c>
      <c r="I8" s="6">
        <v>0.4</v>
      </c>
      <c r="J8" s="6">
        <f t="shared" si="0"/>
        <v>3.5458218909376233</v>
      </c>
      <c r="K8" s="6">
        <f t="shared" si="1"/>
        <v>0.4221251277776123</v>
      </c>
      <c r="L8" s="6">
        <f t="shared" si="2"/>
        <v>0.1668498130235862</v>
      </c>
      <c r="M8" s="6">
        <f t="shared" si="3"/>
        <v>7.1469076669032461E-2</v>
      </c>
      <c r="N8" s="6">
        <f t="shared" si="4"/>
        <v>3.0299107218683652</v>
      </c>
      <c r="O8" s="6">
        <f t="shared" si="5"/>
        <v>0.14837158452311996</v>
      </c>
      <c r="P8" s="6">
        <f t="shared" si="6"/>
        <v>52.178407147855786</v>
      </c>
      <c r="Q8" s="6">
        <f t="shared" si="7"/>
        <v>94.161965971491114</v>
      </c>
      <c r="R8" s="58">
        <v>115</v>
      </c>
      <c r="S8" s="62">
        <f t="shared" si="8"/>
        <v>1.15E-2</v>
      </c>
      <c r="T8" s="6">
        <f>(J8/J20-1)*100</f>
        <v>0.75187969924812581</v>
      </c>
      <c r="U8" s="6">
        <f>(K8/K20-1)*100</f>
        <v>249.99999999999986</v>
      </c>
      <c r="V8" s="6">
        <f>(L8/L20-1)*100</f>
        <v>-37.5</v>
      </c>
      <c r="W8" s="6">
        <f t="shared" si="9"/>
        <v>-1923.076923076922</v>
      </c>
      <c r="X8" s="6">
        <f t="shared" si="10"/>
        <v>-3.4615384615384595</v>
      </c>
      <c r="Y8" s="6">
        <f t="shared" si="11"/>
        <v>-0.28846153846153827</v>
      </c>
      <c r="Z8" s="6">
        <f>J20*(100-X8)/100</f>
        <v>3.6411845520113468</v>
      </c>
      <c r="AA8" s="6">
        <f>L20*(100-Y8)/100</f>
        <v>0.26772977689784677</v>
      </c>
      <c r="AB8" s="6">
        <f t="shared" si="12"/>
        <v>13.600222560976672</v>
      </c>
      <c r="AC8" s="6">
        <f>AB8/AD20-1</f>
        <v>3.1639501438158968E-2</v>
      </c>
      <c r="AD8" s="6">
        <f t="shared" si="13"/>
        <v>21.251578450593644</v>
      </c>
      <c r="AE8" s="6">
        <f t="shared" si="14"/>
        <v>2.5299706372337374</v>
      </c>
      <c r="AF8" s="6">
        <f t="shared" si="15"/>
        <v>0.42834376241661992</v>
      </c>
      <c r="AG8" s="6">
        <f t="shared" si="16"/>
        <v>6.8924260636566245E-2</v>
      </c>
      <c r="AH8" s="6">
        <f t="shared" si="17"/>
        <v>0.14042550814088739</v>
      </c>
      <c r="AI8" s="6">
        <f t="shared" si="18"/>
        <v>1.4705875938284763</v>
      </c>
      <c r="AJ8" s="6">
        <f t="shared" si="18"/>
        <v>-0.58171025001404253</v>
      </c>
      <c r="AK8" s="6">
        <f t="shared" si="18"/>
        <v>-0.93269351796561228</v>
      </c>
    </row>
    <row r="9" spans="1:37">
      <c r="A9" s="6" t="s">
        <v>392</v>
      </c>
      <c r="B9" s="6" t="s">
        <v>216</v>
      </c>
      <c r="C9" s="6">
        <v>2.6</v>
      </c>
      <c r="D9" s="6">
        <v>13.1</v>
      </c>
      <c r="E9" s="6">
        <v>0.8</v>
      </c>
      <c r="F9" s="6">
        <v>0.1</v>
      </c>
      <c r="G9" s="15">
        <v>0.1</v>
      </c>
      <c r="H9" s="6">
        <v>7.1</v>
      </c>
      <c r="I9" s="6">
        <v>0.4</v>
      </c>
      <c r="J9" s="6">
        <f t="shared" si="0"/>
        <v>3.466437818752452</v>
      </c>
      <c r="K9" s="6">
        <f t="shared" si="1"/>
        <v>0.4824287174601285</v>
      </c>
      <c r="L9" s="6">
        <f t="shared" si="2"/>
        <v>0.1668498130235862</v>
      </c>
      <c r="M9" s="6">
        <f t="shared" si="3"/>
        <v>7.1469076669032461E-2</v>
      </c>
      <c r="N9" s="6">
        <f t="shared" si="4"/>
        <v>2.9468994692144377</v>
      </c>
      <c r="O9" s="6">
        <f t="shared" si="5"/>
        <v>0.14837158452311996</v>
      </c>
      <c r="P9" s="6">
        <f t="shared" si="6"/>
        <v>52.259080720002828</v>
      </c>
      <c r="Q9" s="6">
        <f t="shared" si="7"/>
        <v>94.036243805555998</v>
      </c>
      <c r="R9" s="58">
        <v>120</v>
      </c>
      <c r="S9" s="62">
        <f t="shared" si="8"/>
        <v>1.2E-2</v>
      </c>
      <c r="T9" s="6">
        <f>(J9/J20-1)*100</f>
        <v>-1.5037593984962405</v>
      </c>
      <c r="U9" s="6">
        <f>(K9/K20-1)*100</f>
        <v>300</v>
      </c>
      <c r="V9" s="6">
        <f>(L9/L20-1)*100</f>
        <v>-37.5</v>
      </c>
      <c r="W9" s="6">
        <f t="shared" si="9"/>
        <v>-2307.6923076923076</v>
      </c>
      <c r="X9" s="6">
        <f t="shared" si="10"/>
        <v>-4.1538461538461533</v>
      </c>
      <c r="Y9" s="6">
        <f t="shared" si="11"/>
        <v>-0.34615384615384609</v>
      </c>
      <c r="Z9" s="6">
        <f>J20*(100-X9)/100</f>
        <v>3.6655493557051035</v>
      </c>
      <c r="AA9" s="6">
        <f>L20*(100-Y9)/100</f>
        <v>0.26788379210986851</v>
      </c>
      <c r="AB9" s="6">
        <f t="shared" si="12"/>
        <v>13.683356230084026</v>
      </c>
      <c r="AC9" s="6">
        <f>AB9/AD20-1</f>
        <v>3.7945573016481493E-2</v>
      </c>
      <c r="AD9" s="6">
        <f t="shared" si="13"/>
        <v>20.775796843490799</v>
      </c>
      <c r="AE9" s="6">
        <f t="shared" si="14"/>
        <v>2.8913950139814149</v>
      </c>
      <c r="AF9" s="6">
        <f t="shared" si="15"/>
        <v>0.42834376241661992</v>
      </c>
      <c r="AG9" s="6">
        <f t="shared" si="16"/>
        <v>7.1920967620764775E-2</v>
      </c>
      <c r="AH9" s="6">
        <f t="shared" si="17"/>
        <v>0.11489359377952413</v>
      </c>
      <c r="AI9" s="6">
        <f t="shared" si="18"/>
        <v>1.8235286786611162</v>
      </c>
      <c r="AJ9" s="6">
        <f t="shared" si="18"/>
        <v>-0.58171025001404253</v>
      </c>
      <c r="AK9" s="6">
        <f t="shared" si="18"/>
        <v>-0.92976714918150849</v>
      </c>
    </row>
    <row r="10" spans="1:37">
      <c r="A10" s="6" t="s">
        <v>390</v>
      </c>
      <c r="B10" s="6" t="s">
        <v>216</v>
      </c>
      <c r="C10" s="6">
        <v>3</v>
      </c>
      <c r="D10" s="6">
        <v>14</v>
      </c>
      <c r="E10" s="6">
        <v>0.6</v>
      </c>
      <c r="F10" s="6">
        <v>0.2</v>
      </c>
      <c r="G10" s="6">
        <v>0.2</v>
      </c>
      <c r="H10" s="6">
        <v>6.1</v>
      </c>
      <c r="I10" s="6">
        <v>0.2</v>
      </c>
      <c r="J10" s="6">
        <f t="shared" si="0"/>
        <v>3.7045900353079646</v>
      </c>
      <c r="K10" s="6">
        <f t="shared" si="1"/>
        <v>0.36182153809509626</v>
      </c>
      <c r="L10" s="6">
        <f t="shared" si="2"/>
        <v>0.3336996260471724</v>
      </c>
      <c r="M10" s="6">
        <f t="shared" si="3"/>
        <v>0.14293815333806492</v>
      </c>
      <c r="N10" s="6">
        <f t="shared" si="4"/>
        <v>2.5318432059447984</v>
      </c>
      <c r="O10" s="6">
        <f t="shared" si="5"/>
        <v>7.4185792261559982E-2</v>
      </c>
      <c r="P10" s="6">
        <f t="shared" si="6"/>
        <v>57.403846096772796</v>
      </c>
      <c r="Q10" s="6">
        <f t="shared" si="7"/>
        <v>94.463544596656774</v>
      </c>
      <c r="R10" s="58">
        <v>128</v>
      </c>
      <c r="S10" s="62">
        <f t="shared" si="8"/>
        <v>1.2800000000000001E-2</v>
      </c>
      <c r="T10" s="6">
        <f>(J10/J20-1)*100</f>
        <v>5.2631578947368585</v>
      </c>
      <c r="U10" s="6">
        <f>(K10/K20-1)*100</f>
        <v>199.99999999999991</v>
      </c>
      <c r="V10" s="6">
        <f>(L10/L20-1)*100</f>
        <v>25</v>
      </c>
      <c r="W10" s="6">
        <f t="shared" si="9"/>
        <v>-1538.4615384615377</v>
      </c>
      <c r="X10" s="6">
        <f t="shared" si="10"/>
        <v>-2.7692307692307678</v>
      </c>
      <c r="Y10" s="6">
        <f t="shared" si="11"/>
        <v>-0.23076923076923062</v>
      </c>
      <c r="Z10" s="6">
        <f>J20*(100-X10)/100</f>
        <v>3.6168197483175906</v>
      </c>
      <c r="AA10" s="6">
        <f>L20*(100-Y10)/100</f>
        <v>0.26757576168582498</v>
      </c>
      <c r="AB10" s="6">
        <f t="shared" si="12"/>
        <v>13.51699318925715</v>
      </c>
      <c r="AC10" s="6">
        <f>AB10/AD20-1</f>
        <v>2.5326170376055224E-2</v>
      </c>
      <c r="AD10" s="6">
        <f t="shared" si="13"/>
        <v>11.101570832399664</v>
      </c>
      <c r="AE10" s="6">
        <f t="shared" si="14"/>
        <v>1.0842731302430302</v>
      </c>
      <c r="AF10" s="6">
        <f t="shared" si="15"/>
        <v>0.42834376241661992</v>
      </c>
      <c r="AG10" s="6">
        <f t="shared" si="16"/>
        <v>3.8357849397741214E-2</v>
      </c>
      <c r="AH10" s="6">
        <f t="shared" si="17"/>
        <v>-0.40425533156819315</v>
      </c>
      <c r="AI10" s="6">
        <f t="shared" si="18"/>
        <v>5.8823254497918365E-2</v>
      </c>
      <c r="AJ10" s="6">
        <f t="shared" si="18"/>
        <v>-0.58171025001404253</v>
      </c>
      <c r="AK10" s="6">
        <f t="shared" si="18"/>
        <v>-0.96254247956347116</v>
      </c>
    </row>
    <row r="11" spans="1:37">
      <c r="A11" s="6" t="s">
        <v>397</v>
      </c>
      <c r="B11" s="6" t="s">
        <v>216</v>
      </c>
      <c r="C11" s="6">
        <v>0.1</v>
      </c>
      <c r="D11" s="6">
        <v>22.5</v>
      </c>
      <c r="E11" s="6">
        <v>2</v>
      </c>
      <c r="F11" s="6">
        <v>1.2</v>
      </c>
      <c r="G11" s="6">
        <v>0.8</v>
      </c>
      <c r="H11" s="6">
        <v>5.8</v>
      </c>
      <c r="I11" s="6">
        <v>0.3</v>
      </c>
      <c r="J11" s="6">
        <f t="shared" si="0"/>
        <v>5.9538054138877987</v>
      </c>
      <c r="K11" s="6">
        <f t="shared" si="1"/>
        <v>1.2060717936503209</v>
      </c>
      <c r="L11" s="6">
        <f t="shared" si="2"/>
        <v>2.0021977562830342</v>
      </c>
      <c r="M11" s="6">
        <f t="shared" si="3"/>
        <v>0.57175261335225969</v>
      </c>
      <c r="N11" s="6">
        <f t="shared" si="4"/>
        <v>2.4073263269639065</v>
      </c>
      <c r="O11" s="6">
        <f t="shared" si="5"/>
        <v>0.11127868839233997</v>
      </c>
      <c r="P11" s="6">
        <f t="shared" si="6"/>
        <v>65.830363581975433</v>
      </c>
      <c r="Q11" s="6">
        <f t="shared" si="7"/>
        <v>89.708481148318924</v>
      </c>
      <c r="R11" s="58">
        <v>470</v>
      </c>
      <c r="S11" s="62">
        <f t="shared" si="8"/>
        <v>4.7E-2</v>
      </c>
      <c r="T11" s="6">
        <f>(J11/J20-1)*100</f>
        <v>69.172932330827038</v>
      </c>
      <c r="U11" s="6">
        <f>(K11/K20-1)*100</f>
        <v>899.99999999999966</v>
      </c>
      <c r="V11" s="6">
        <f>(L11/L20-1)*100</f>
        <v>650</v>
      </c>
      <c r="W11" s="6">
        <f t="shared" si="9"/>
        <v>-6923.0769230769201</v>
      </c>
      <c r="X11" s="6">
        <f t="shared" si="10"/>
        <v>-12.461538461538456</v>
      </c>
      <c r="Y11" s="6">
        <f t="shared" si="11"/>
        <v>-1.0384615384615379</v>
      </c>
      <c r="Z11" s="6">
        <f>J20*(100-X11)/100</f>
        <v>3.9579270000301778</v>
      </c>
      <c r="AA11" s="6">
        <f>L20*(100-Y11)/100</f>
        <v>0.26973197465412979</v>
      </c>
      <c r="AB11" s="6">
        <f t="shared" si="12"/>
        <v>14.67355512858764</v>
      </c>
      <c r="AC11" s="6">
        <f>AB11/AD20-1</f>
        <v>0.11305671869052158</v>
      </c>
      <c r="AD11" s="6">
        <f t="shared" si="13"/>
        <v>2.973635044392767</v>
      </c>
      <c r="AE11" s="6">
        <f t="shared" si="14"/>
        <v>0.60237396124612796</v>
      </c>
      <c r="AF11" s="6">
        <f t="shared" si="15"/>
        <v>0.28556250827774665</v>
      </c>
      <c r="AG11" s="6">
        <f t="shared" si="16"/>
        <v>2.3474204709555174E-2</v>
      </c>
      <c r="AH11" s="6">
        <f t="shared" si="17"/>
        <v>-0.84042553524148034</v>
      </c>
      <c r="AI11" s="6">
        <f t="shared" si="18"/>
        <v>-0.41176485861226753</v>
      </c>
      <c r="AJ11" s="6">
        <f t="shared" si="18"/>
        <v>-0.72114016667602832</v>
      </c>
      <c r="AK11" s="6">
        <f t="shared" si="18"/>
        <v>-0.97707677785785341</v>
      </c>
    </row>
    <row r="12" spans="1:37">
      <c r="A12" s="6" t="s">
        <v>398</v>
      </c>
      <c r="B12" s="6" t="s">
        <v>216</v>
      </c>
      <c r="C12" s="6">
        <v>0.2</v>
      </c>
      <c r="D12" s="6">
        <v>15</v>
      </c>
      <c r="E12" s="6">
        <v>0.2</v>
      </c>
      <c r="F12" s="6">
        <v>0.2</v>
      </c>
      <c r="G12" s="15">
        <v>0.1</v>
      </c>
      <c r="H12" s="6">
        <v>6.4</v>
      </c>
      <c r="I12" s="6">
        <v>0.3</v>
      </c>
      <c r="J12" s="6">
        <f t="shared" si="0"/>
        <v>3.9692036092585328</v>
      </c>
      <c r="K12" s="6">
        <f t="shared" si="1"/>
        <v>0.12060717936503212</v>
      </c>
      <c r="L12" s="6">
        <f t="shared" si="2"/>
        <v>0.3336996260471724</v>
      </c>
      <c r="M12" s="6">
        <f t="shared" si="3"/>
        <v>7.1469076669032461E-2</v>
      </c>
      <c r="N12" s="6">
        <f t="shared" si="4"/>
        <v>2.6563600849256903</v>
      </c>
      <c r="O12" s="6">
        <f t="shared" si="5"/>
        <v>0.11127868839233997</v>
      </c>
      <c r="P12" s="6">
        <f t="shared" si="6"/>
        <v>58.299383525828688</v>
      </c>
      <c r="Q12" s="6">
        <f t="shared" si="7"/>
        <v>95.598509024174035</v>
      </c>
      <c r="R12" s="58">
        <v>75</v>
      </c>
      <c r="S12" s="62">
        <f t="shared" si="8"/>
        <v>7.4999999999999997E-3</v>
      </c>
      <c r="T12" s="6">
        <f>(J12/J20-1)*100</f>
        <v>12.781954887218028</v>
      </c>
      <c r="U12" s="6">
        <f>(K12/K20-1)*100</f>
        <v>0</v>
      </c>
      <c r="V12" s="6">
        <f>(L12/L20-1)*100</f>
        <v>25</v>
      </c>
      <c r="W12" s="6">
        <f t="shared" si="9"/>
        <v>0</v>
      </c>
      <c r="X12" s="6">
        <f t="shared" si="10"/>
        <v>0</v>
      </c>
      <c r="Y12" s="6">
        <f t="shared" si="11"/>
        <v>0</v>
      </c>
      <c r="Z12" s="6">
        <f>J20*(100-X12)/100</f>
        <v>3.5193605335425659</v>
      </c>
      <c r="AA12" s="6">
        <f>L20*(100-Y12)/100</f>
        <v>0.2669597008377379</v>
      </c>
      <c r="AB12" s="6">
        <f t="shared" si="12"/>
        <v>13.183115363474601</v>
      </c>
      <c r="AC12" s="6">
        <f>AB12/AD20-1</f>
        <v>0</v>
      </c>
      <c r="AD12" s="6">
        <f t="shared" si="13"/>
        <v>11.894540177571066</v>
      </c>
      <c r="AE12" s="6">
        <f t="shared" si="14"/>
        <v>0.36142437674767686</v>
      </c>
      <c r="AF12" s="6">
        <f t="shared" si="15"/>
        <v>0.21417188120830996</v>
      </c>
      <c r="AG12" s="6">
        <f t="shared" si="16"/>
        <v>2.2475302381488992E-2</v>
      </c>
      <c r="AH12" s="6">
        <f t="shared" si="17"/>
        <v>-0.36170214096592146</v>
      </c>
      <c r="AI12" s="6">
        <f t="shared" si="18"/>
        <v>-0.64705891516736047</v>
      </c>
      <c r="AJ12" s="6">
        <f t="shared" si="18"/>
        <v>-0.79085512500702126</v>
      </c>
      <c r="AK12" s="6">
        <f t="shared" si="18"/>
        <v>-0.97805223411922138</v>
      </c>
    </row>
    <row r="13" spans="1:37">
      <c r="A13" s="6" t="s">
        <v>399</v>
      </c>
      <c r="B13" s="6" t="s">
        <v>216</v>
      </c>
      <c r="C13" s="6">
        <v>0.6</v>
      </c>
      <c r="D13" s="6">
        <v>14</v>
      </c>
      <c r="E13" s="6">
        <v>0.5</v>
      </c>
      <c r="F13" s="6">
        <v>0.09</v>
      </c>
      <c r="G13" s="15">
        <v>0.1</v>
      </c>
      <c r="H13" s="6">
        <v>7</v>
      </c>
      <c r="I13" s="6">
        <v>0.3</v>
      </c>
      <c r="J13" s="6">
        <f t="shared" si="0"/>
        <v>3.7045900353079646</v>
      </c>
      <c r="K13" s="6">
        <f t="shared" si="1"/>
        <v>0.30151794841258023</v>
      </c>
      <c r="L13" s="6">
        <f t="shared" si="2"/>
        <v>0.15016483172122758</v>
      </c>
      <c r="M13" s="6">
        <f t="shared" si="3"/>
        <v>7.1469076669032461E-2</v>
      </c>
      <c r="N13" s="6">
        <f t="shared" si="4"/>
        <v>2.9053938428874737</v>
      </c>
      <c r="O13" s="6">
        <f t="shared" si="5"/>
        <v>0.11127868839233997</v>
      </c>
      <c r="P13" s="6">
        <f t="shared" si="6"/>
        <v>54.537559112695632</v>
      </c>
      <c r="Q13" s="6">
        <f t="shared" si="7"/>
        <v>95.298896714249807</v>
      </c>
      <c r="R13" s="58">
        <v>100</v>
      </c>
      <c r="S13" s="62">
        <f t="shared" si="8"/>
        <v>0.01</v>
      </c>
      <c r="T13" s="6">
        <f>(J13/J20-1)*100</f>
        <v>5.2631578947368585</v>
      </c>
      <c r="U13" s="6">
        <f>(K13/K20-1)*100</f>
        <v>149.99999999999991</v>
      </c>
      <c r="V13" s="6">
        <f>(L13/L20-1)*100</f>
        <v>-43.75</v>
      </c>
      <c r="W13" s="6">
        <f t="shared" si="9"/>
        <v>-1153.8461538461531</v>
      </c>
      <c r="X13" s="6">
        <f t="shared" si="10"/>
        <v>-2.0769230769230758</v>
      </c>
      <c r="Y13" s="6">
        <f t="shared" si="11"/>
        <v>-0.17307692307692296</v>
      </c>
      <c r="Z13" s="6">
        <f>J20*(100-X13)/100</f>
        <v>3.5924549446238347</v>
      </c>
      <c r="AA13" s="6">
        <f>L20*(100-Y13)/100</f>
        <v>0.26742174647380318</v>
      </c>
      <c r="AB13" s="6">
        <f t="shared" si="12"/>
        <v>13.433667949572509</v>
      </c>
      <c r="AC13" s="6">
        <f>AB13/AD20-1</f>
        <v>1.9005567287387448E-2</v>
      </c>
      <c r="AD13" s="6">
        <f t="shared" si="13"/>
        <v>24.670157405332588</v>
      </c>
      <c r="AE13" s="6">
        <f t="shared" si="14"/>
        <v>2.00791320415376</v>
      </c>
      <c r="AF13" s="6">
        <f t="shared" si="15"/>
        <v>0.47593751379624433</v>
      </c>
      <c r="AG13" s="6">
        <f t="shared" si="16"/>
        <v>6.659348853774516E-2</v>
      </c>
      <c r="AH13" s="6">
        <f t="shared" si="17"/>
        <v>0.32387704095957082</v>
      </c>
      <c r="AI13" s="6">
        <f t="shared" si="18"/>
        <v>0.96078380462577484</v>
      </c>
      <c r="AJ13" s="6">
        <f t="shared" si="18"/>
        <v>-0.53523361112671397</v>
      </c>
      <c r="AK13" s="6">
        <f t="shared" si="18"/>
        <v>-0.9349695825754708</v>
      </c>
    </row>
    <row r="14" spans="1:37">
      <c r="A14" s="6" t="s">
        <v>400</v>
      </c>
      <c r="B14" s="6" t="s">
        <v>216</v>
      </c>
      <c r="C14" s="6">
        <v>1.2</v>
      </c>
      <c r="D14" s="6">
        <v>13.7</v>
      </c>
      <c r="E14" s="6">
        <v>0.2</v>
      </c>
      <c r="F14" s="6">
        <v>0.1</v>
      </c>
      <c r="G14" s="15">
        <v>0.1</v>
      </c>
      <c r="H14" s="6">
        <v>6.5</v>
      </c>
      <c r="I14" s="6">
        <v>0.3</v>
      </c>
      <c r="J14" s="6">
        <f t="shared" si="0"/>
        <v>3.6252059631227933</v>
      </c>
      <c r="K14" s="6">
        <f t="shared" si="1"/>
        <v>0.12060717936503212</v>
      </c>
      <c r="L14" s="6">
        <f t="shared" si="2"/>
        <v>0.1668498130235862</v>
      </c>
      <c r="M14" s="6">
        <f t="shared" si="3"/>
        <v>7.1469076669032461E-2</v>
      </c>
      <c r="N14" s="6">
        <f t="shared" si="4"/>
        <v>2.6978657112526543</v>
      </c>
      <c r="O14" s="6">
        <f t="shared" si="5"/>
        <v>0.11127868839233997</v>
      </c>
      <c r="P14" s="6">
        <f t="shared" si="6"/>
        <v>55.722511158972644</v>
      </c>
      <c r="Q14" s="6">
        <f t="shared" si="7"/>
        <v>95.200893232793661</v>
      </c>
      <c r="R14" s="58">
        <v>115</v>
      </c>
      <c r="S14" s="62">
        <f t="shared" si="8"/>
        <v>1.15E-2</v>
      </c>
      <c r="T14" s="6">
        <f>(J14/J20-1)*100</f>
        <v>3.007518796992481</v>
      </c>
      <c r="U14" s="6">
        <f>(K14/K20-1)*100</f>
        <v>0</v>
      </c>
      <c r="V14" s="6">
        <f>(L14/L20-1)*100</f>
        <v>-37.5</v>
      </c>
      <c r="W14" s="6">
        <f t="shared" si="9"/>
        <v>0</v>
      </c>
      <c r="X14" s="6">
        <f t="shared" si="10"/>
        <v>0</v>
      </c>
      <c r="Y14" s="6">
        <f t="shared" si="11"/>
        <v>0</v>
      </c>
      <c r="Z14" s="6">
        <f>J20*(100-X14)/100</f>
        <v>3.5193605335425659</v>
      </c>
      <c r="AA14" s="6">
        <f>L20*(100-Y14)/100</f>
        <v>0.2669597008377379</v>
      </c>
      <c r="AB14" s="6">
        <f t="shared" si="12"/>
        <v>13.183115363474601</v>
      </c>
      <c r="AC14" s="6">
        <f>AB14/AD20-1</f>
        <v>0</v>
      </c>
      <c r="AD14" s="6">
        <f t="shared" si="13"/>
        <v>21.727360057696483</v>
      </c>
      <c r="AE14" s="6">
        <f t="shared" si="14"/>
        <v>0.72284875349535371</v>
      </c>
      <c r="AF14" s="6">
        <f t="shared" si="15"/>
        <v>0.42834376241661992</v>
      </c>
      <c r="AG14" s="6">
        <f t="shared" si="16"/>
        <v>6.8924260636566245E-2</v>
      </c>
      <c r="AH14" s="6">
        <f t="shared" si="17"/>
        <v>0.16595742250225021</v>
      </c>
      <c r="AI14" s="6">
        <f t="shared" si="18"/>
        <v>-0.29411783033472094</v>
      </c>
      <c r="AJ14" s="6">
        <f t="shared" si="18"/>
        <v>-0.58171025001404253</v>
      </c>
      <c r="AK14" s="6">
        <f t="shared" si="18"/>
        <v>-0.93269351796561228</v>
      </c>
    </row>
    <row r="15" spans="1:37">
      <c r="A15" s="6" t="s">
        <v>401</v>
      </c>
      <c r="B15" s="6" t="s">
        <v>216</v>
      </c>
      <c r="C15" s="6">
        <v>2</v>
      </c>
      <c r="D15" s="6">
        <v>12.6</v>
      </c>
      <c r="E15" s="6">
        <v>0.8</v>
      </c>
      <c r="F15" s="6">
        <v>0.1</v>
      </c>
      <c r="G15" s="24">
        <v>0.1</v>
      </c>
      <c r="H15" s="6">
        <v>6.6</v>
      </c>
      <c r="I15" s="6">
        <v>0.4</v>
      </c>
      <c r="J15" s="6">
        <f t="shared" si="0"/>
        <v>3.3341310317771673</v>
      </c>
      <c r="K15" s="6">
        <f t="shared" si="1"/>
        <v>0.4824287174601285</v>
      </c>
      <c r="L15" s="6">
        <f t="shared" si="2"/>
        <v>0.1668498130235862</v>
      </c>
      <c r="M15" s="6">
        <f t="shared" si="3"/>
        <v>7.1469076669032461E-2</v>
      </c>
      <c r="N15" s="6">
        <f t="shared" si="4"/>
        <v>2.7393713375796178</v>
      </c>
      <c r="O15" s="6">
        <f t="shared" si="5"/>
        <v>0.14837158452311996</v>
      </c>
      <c r="P15" s="6">
        <f t="shared" si="6"/>
        <v>52.978695354642824</v>
      </c>
      <c r="Q15" s="6">
        <f t="shared" si="7"/>
        <v>93.814225880666001</v>
      </c>
      <c r="R15" s="58">
        <v>100</v>
      </c>
      <c r="S15" s="62">
        <f t="shared" si="8"/>
        <v>0.01</v>
      </c>
      <c r="T15" s="6">
        <f>(J15/J20-1)*100</f>
        <v>-5.2631578947368585</v>
      </c>
      <c r="U15" s="6">
        <f>(K15/K20-1)*100</f>
        <v>300</v>
      </c>
      <c r="V15" s="6">
        <f>(L15/L20-1)*100</f>
        <v>-37.5</v>
      </c>
      <c r="W15" s="6">
        <f t="shared" si="9"/>
        <v>-2307.6923076923076</v>
      </c>
      <c r="X15" s="6">
        <f t="shared" si="10"/>
        <v>-4.1538461538461533</v>
      </c>
      <c r="Y15" s="6">
        <f t="shared" si="11"/>
        <v>-0.34615384615384609</v>
      </c>
      <c r="Z15" s="6">
        <f>J20*(100-X15)/100</f>
        <v>3.6655493557051035</v>
      </c>
      <c r="AA15" s="6">
        <f>L20*(100-Y15)/100</f>
        <v>0.26788379210986851</v>
      </c>
      <c r="AB15" s="6">
        <f t="shared" si="12"/>
        <v>13.683356230084026</v>
      </c>
      <c r="AC15" s="6">
        <f>AB15/AD20-1</f>
        <v>3.7945573016481493E-2</v>
      </c>
      <c r="AD15" s="6">
        <f t="shared" si="13"/>
        <v>19.982827498319391</v>
      </c>
      <c r="AE15" s="6">
        <f t="shared" si="14"/>
        <v>2.8913950139814149</v>
      </c>
      <c r="AF15" s="6">
        <f t="shared" si="15"/>
        <v>0.42834376241661992</v>
      </c>
      <c r="AG15" s="6">
        <f t="shared" si="16"/>
        <v>5.9934139683970648E-2</v>
      </c>
      <c r="AH15" s="6">
        <f t="shared" si="17"/>
        <v>7.2340403177252099E-2</v>
      </c>
      <c r="AI15" s="6">
        <f t="shared" si="18"/>
        <v>1.8235286786611162</v>
      </c>
      <c r="AJ15" s="6">
        <f t="shared" si="18"/>
        <v>-0.58171025001404253</v>
      </c>
      <c r="AK15" s="6">
        <f t="shared" si="18"/>
        <v>-0.94147262431792378</v>
      </c>
    </row>
    <row r="16" spans="1:37">
      <c r="A16" s="6" t="s">
        <v>402</v>
      </c>
      <c r="B16" s="6" t="s">
        <v>216</v>
      </c>
      <c r="C16" s="6">
        <v>3.2</v>
      </c>
      <c r="D16" s="6">
        <v>11.5</v>
      </c>
      <c r="E16" s="6">
        <v>0.8</v>
      </c>
      <c r="F16" s="6">
        <v>0.1</v>
      </c>
      <c r="G16" s="24">
        <v>0.1</v>
      </c>
      <c r="H16" s="6">
        <v>6.5</v>
      </c>
      <c r="I16" s="6">
        <v>0.3</v>
      </c>
      <c r="J16" s="6">
        <f t="shared" si="0"/>
        <v>3.0430561004315417</v>
      </c>
      <c r="K16" s="6">
        <f t="shared" si="1"/>
        <v>0.4824287174601285</v>
      </c>
      <c r="L16" s="6">
        <f t="shared" si="2"/>
        <v>0.1668498130235862</v>
      </c>
      <c r="M16" s="6">
        <f t="shared" si="3"/>
        <v>7.1469076669032461E-2</v>
      </c>
      <c r="N16" s="6">
        <f t="shared" si="4"/>
        <v>2.6978657112526543</v>
      </c>
      <c r="O16" s="6">
        <f t="shared" si="5"/>
        <v>0.11127868839233997</v>
      </c>
      <c r="P16" s="6">
        <f t="shared" si="6"/>
        <v>51.371131711626973</v>
      </c>
      <c r="Q16" s="6">
        <f t="shared" si="7"/>
        <v>94.334814741334313</v>
      </c>
      <c r="R16" s="58">
        <v>90</v>
      </c>
      <c r="S16" s="62">
        <f t="shared" si="8"/>
        <v>8.9999999999999993E-3</v>
      </c>
      <c r="T16" s="6">
        <f>(J16/J20-1)*100</f>
        <v>-13.533834586466176</v>
      </c>
      <c r="U16" s="6">
        <f>(K16/K20-1)*100</f>
        <v>300</v>
      </c>
      <c r="V16" s="6">
        <f>(L16/L20-1)*100</f>
        <v>-37.5</v>
      </c>
      <c r="W16" s="6">
        <f t="shared" si="9"/>
        <v>-2307.6923076923076</v>
      </c>
      <c r="X16" s="6">
        <f t="shared" si="10"/>
        <v>-4.1538461538461533</v>
      </c>
      <c r="Y16" s="6">
        <f t="shared" si="11"/>
        <v>-0.34615384615384609</v>
      </c>
      <c r="Z16" s="6">
        <f>J20*(100-X16)/100</f>
        <v>3.6655493557051035</v>
      </c>
      <c r="AA16" s="6">
        <f>L20*(100-Y16)/100</f>
        <v>0.26788379210986851</v>
      </c>
      <c r="AB16" s="6">
        <f t="shared" si="12"/>
        <v>13.683356230084026</v>
      </c>
      <c r="AC16" s="6">
        <f>AB16/AD20-1</f>
        <v>3.7945573016481493E-2</v>
      </c>
      <c r="AD16" s="6">
        <f t="shared" si="13"/>
        <v>18.238294938942303</v>
      </c>
      <c r="AE16" s="6">
        <f t="shared" si="14"/>
        <v>2.8913950139814149</v>
      </c>
      <c r="AF16" s="6">
        <f t="shared" si="15"/>
        <v>0.42834376241661992</v>
      </c>
      <c r="AG16" s="6">
        <f t="shared" si="16"/>
        <v>5.3940725715573574E-2</v>
      </c>
      <c r="AH16" s="6">
        <f t="shared" si="17"/>
        <v>-2.1276616147746119E-2</v>
      </c>
      <c r="AI16" s="6">
        <f t="shared" si="18"/>
        <v>1.8235286786611162</v>
      </c>
      <c r="AJ16" s="6">
        <f t="shared" si="18"/>
        <v>-0.58171025001404253</v>
      </c>
      <c r="AK16" s="6">
        <f t="shared" si="18"/>
        <v>-0.94732536188613137</v>
      </c>
    </row>
    <row r="17" spans="1:37">
      <c r="A17" s="6" t="s">
        <v>403</v>
      </c>
      <c r="B17" s="6" t="s">
        <v>216</v>
      </c>
      <c r="C17" s="6">
        <v>4.9000000000000004</v>
      </c>
      <c r="D17" s="6">
        <v>12.8</v>
      </c>
      <c r="E17" s="6">
        <v>0.6</v>
      </c>
      <c r="F17" s="6">
        <v>0.2</v>
      </c>
      <c r="G17" s="24">
        <v>0.2</v>
      </c>
      <c r="H17" s="6">
        <v>5.5</v>
      </c>
      <c r="I17" s="6">
        <v>0.2</v>
      </c>
      <c r="J17" s="6">
        <f t="shared" si="0"/>
        <v>3.3870537465672821</v>
      </c>
      <c r="K17" s="6">
        <f t="shared" si="1"/>
        <v>0.36182153809509626</v>
      </c>
      <c r="L17" s="6">
        <f t="shared" si="2"/>
        <v>0.3336996260471724</v>
      </c>
      <c r="M17" s="6">
        <f t="shared" si="3"/>
        <v>0.14293815333806492</v>
      </c>
      <c r="N17" s="6">
        <f t="shared" si="4"/>
        <v>2.282809447983015</v>
      </c>
      <c r="O17" s="6">
        <f t="shared" si="5"/>
        <v>7.4185792261559982E-2</v>
      </c>
      <c r="P17" s="6">
        <f t="shared" si="6"/>
        <v>57.534587148444572</v>
      </c>
      <c r="Q17" s="6">
        <f t="shared" si="7"/>
        <v>93.975770227103155</v>
      </c>
      <c r="R17" s="58">
        <v>130</v>
      </c>
      <c r="S17" s="62">
        <f t="shared" si="8"/>
        <v>1.2999999999999999E-2</v>
      </c>
      <c r="T17" s="6">
        <f>(J17/J20-1)*100</f>
        <v>-3.7593984962405846</v>
      </c>
      <c r="U17" s="6">
        <f>(K17/K20-1)*100</f>
        <v>199.99999999999991</v>
      </c>
      <c r="V17" s="6">
        <f>(L17/L20-1)*100</f>
        <v>25</v>
      </c>
      <c r="W17" s="6">
        <f t="shared" si="9"/>
        <v>-1538.4615384615377</v>
      </c>
      <c r="X17" s="6">
        <f t="shared" si="10"/>
        <v>-2.7692307692307678</v>
      </c>
      <c r="Y17" s="6">
        <f t="shared" si="11"/>
        <v>-0.23076923076923062</v>
      </c>
      <c r="Z17" s="6">
        <f>J20*(100-X17)/100</f>
        <v>3.6168197483175906</v>
      </c>
      <c r="AA17" s="6">
        <f>L20*(100-Y17)/100</f>
        <v>0.26757576168582498</v>
      </c>
      <c r="AB17" s="6">
        <f t="shared" si="12"/>
        <v>13.51699318925715</v>
      </c>
      <c r="AC17" s="6">
        <f>AB17/AD20-1</f>
        <v>2.5326170376055224E-2</v>
      </c>
      <c r="AD17" s="6">
        <f t="shared" si="13"/>
        <v>10.15000761819398</v>
      </c>
      <c r="AE17" s="6">
        <f t="shared" si="14"/>
        <v>1.0842731302430302</v>
      </c>
      <c r="AF17" s="6">
        <f t="shared" si="15"/>
        <v>0.42834376241661992</v>
      </c>
      <c r="AG17" s="6">
        <f t="shared" si="16"/>
        <v>3.8957190794580918E-2</v>
      </c>
      <c r="AH17" s="6">
        <f t="shared" si="17"/>
        <v>-0.45531916029091946</v>
      </c>
      <c r="AI17" s="6">
        <f t="shared" si="18"/>
        <v>5.8823254497918365E-2</v>
      </c>
      <c r="AJ17" s="6">
        <f t="shared" si="18"/>
        <v>-0.58171025001404253</v>
      </c>
      <c r="AK17" s="6">
        <f t="shared" si="18"/>
        <v>-0.96195720580665045</v>
      </c>
    </row>
    <row r="18" spans="1:37">
      <c r="A18" s="6" t="s">
        <v>404</v>
      </c>
      <c r="B18" s="6" t="s">
        <v>216</v>
      </c>
      <c r="C18" s="6">
        <v>5.3</v>
      </c>
      <c r="D18" s="6">
        <v>12.3</v>
      </c>
      <c r="E18" s="6">
        <v>0.2</v>
      </c>
      <c r="F18" s="6">
        <v>0.1</v>
      </c>
      <c r="G18" s="24">
        <v>0.2</v>
      </c>
      <c r="H18" s="6">
        <v>5.2</v>
      </c>
      <c r="I18" s="6">
        <v>2.5</v>
      </c>
      <c r="J18" s="6">
        <f t="shared" si="0"/>
        <v>3.2547469595919973</v>
      </c>
      <c r="K18" s="6">
        <f t="shared" si="1"/>
        <v>0.12060717936503212</v>
      </c>
      <c r="L18" s="6">
        <f t="shared" si="2"/>
        <v>0.1668498130235862</v>
      </c>
      <c r="M18" s="6">
        <f t="shared" si="3"/>
        <v>0.14293815333806492</v>
      </c>
      <c r="N18" s="6">
        <f t="shared" si="4"/>
        <v>2.1582925690021235</v>
      </c>
      <c r="O18" s="6">
        <f t="shared" si="5"/>
        <v>0.92732240326949966</v>
      </c>
      <c r="P18" s="6">
        <f t="shared" si="6"/>
        <v>50.202010038391542</v>
      </c>
      <c r="Q18" s="6">
        <f t="shared" si="7"/>
        <v>75.254134181296976</v>
      </c>
      <c r="R18" s="58">
        <v>90</v>
      </c>
      <c r="S18" s="62">
        <f t="shared" si="8"/>
        <v>8.9999999999999993E-3</v>
      </c>
      <c r="T18" s="6">
        <f>(J18/J20-1)*100</f>
        <v>-7.5187969924811915</v>
      </c>
      <c r="U18" s="6">
        <f>(K18/K20-1)*100</f>
        <v>0</v>
      </c>
      <c r="V18" s="6">
        <f>(L18/L20-1)*100</f>
        <v>-37.5</v>
      </c>
      <c r="W18" s="6">
        <f t="shared" si="9"/>
        <v>0</v>
      </c>
      <c r="X18" s="6">
        <f t="shared" si="10"/>
        <v>0</v>
      </c>
      <c r="Y18" s="6">
        <f t="shared" si="11"/>
        <v>0</v>
      </c>
      <c r="Z18" s="6">
        <f>J20*(100-X18)/100</f>
        <v>3.5193605335425659</v>
      </c>
      <c r="AA18" s="6">
        <f>L20*(100-Y18)/100</f>
        <v>0.2669597008377379</v>
      </c>
      <c r="AB18" s="6">
        <f t="shared" si="12"/>
        <v>13.183115363474601</v>
      </c>
      <c r="AC18" s="6">
        <f>AB18/AD20-1</f>
        <v>0</v>
      </c>
      <c r="AD18" s="6">
        <f t="shared" si="13"/>
        <v>19.507045891216553</v>
      </c>
      <c r="AE18" s="6">
        <f t="shared" si="14"/>
        <v>0.72284875349535371</v>
      </c>
      <c r="AF18" s="6">
        <f t="shared" si="15"/>
        <v>0.85668752483323984</v>
      </c>
      <c r="AG18" s="6">
        <f t="shared" si="16"/>
        <v>5.3940725715573574E-2</v>
      </c>
      <c r="AH18" s="6">
        <f t="shared" si="17"/>
        <v>4.680848881588906E-2</v>
      </c>
      <c r="AI18" s="6">
        <f t="shared" si="18"/>
        <v>-0.29411783033472094</v>
      </c>
      <c r="AJ18" s="6">
        <f t="shared" si="18"/>
        <v>-0.16342050002808506</v>
      </c>
      <c r="AK18" s="6">
        <f t="shared" si="18"/>
        <v>-0.94732536188613137</v>
      </c>
    </row>
    <row r="19" spans="1:37">
      <c r="A19" s="6" t="s">
        <v>405</v>
      </c>
      <c r="B19" s="6" t="s">
        <v>216</v>
      </c>
      <c r="C19" s="6">
        <v>5.5</v>
      </c>
      <c r="D19" s="6">
        <v>12.5</v>
      </c>
      <c r="E19" s="6">
        <v>0.3</v>
      </c>
      <c r="F19" s="6">
        <v>0.1</v>
      </c>
      <c r="G19" s="24">
        <v>0.4</v>
      </c>
      <c r="H19" s="6">
        <v>5.9</v>
      </c>
      <c r="I19" s="6">
        <v>2.5</v>
      </c>
      <c r="J19" s="6">
        <f t="shared" si="0"/>
        <v>3.3076696743821108</v>
      </c>
      <c r="K19" s="6">
        <f t="shared" si="1"/>
        <v>0.18091076904754813</v>
      </c>
      <c r="L19" s="6">
        <f t="shared" si="2"/>
        <v>0.1668498130235862</v>
      </c>
      <c r="M19" s="6">
        <f t="shared" si="3"/>
        <v>0.28587630667612984</v>
      </c>
      <c r="N19" s="6">
        <f t="shared" si="4"/>
        <v>2.4488319532908709</v>
      </c>
      <c r="O19" s="6">
        <f t="shared" si="5"/>
        <v>0.92732240326949966</v>
      </c>
      <c r="P19" s="6">
        <f t="shared" si="6"/>
        <v>47.457846308386145</v>
      </c>
      <c r="Q19" s="6">
        <f t="shared" si="7"/>
        <v>73.164476228696188</v>
      </c>
      <c r="R19" s="58">
        <v>105</v>
      </c>
      <c r="S19" s="62">
        <f t="shared" si="8"/>
        <v>1.0500000000000001E-2</v>
      </c>
      <c r="T19" s="6">
        <f>(J19/J20-1)*100</f>
        <v>-6.0150375939849621</v>
      </c>
      <c r="U19" s="6">
        <f>(K19/K20-1)*100</f>
        <v>49.999999999999957</v>
      </c>
      <c r="V19" s="6">
        <f>(L19/L20-1)*100</f>
        <v>-37.5</v>
      </c>
      <c r="W19" s="6">
        <f t="shared" si="9"/>
        <v>-384.6153846153843</v>
      </c>
      <c r="X19" s="6">
        <f t="shared" si="10"/>
        <v>-0.69230769230769174</v>
      </c>
      <c r="Y19" s="6">
        <f t="shared" si="11"/>
        <v>-5.769230769230764E-2</v>
      </c>
      <c r="Z19" s="6">
        <f>J20*(100-X19)/100</f>
        <v>3.5437253372363222</v>
      </c>
      <c r="AA19" s="6">
        <f>L20*(100-Y19)/100</f>
        <v>0.26711371604975964</v>
      </c>
      <c r="AB19" s="6">
        <f t="shared" si="12"/>
        <v>13.266729202989241</v>
      </c>
      <c r="AC19" s="6">
        <f>AB19/AD20-1</f>
        <v>6.3424947145880317E-3</v>
      </c>
      <c r="AD19" s="6">
        <f t="shared" si="13"/>
        <v>19.824233629285114</v>
      </c>
      <c r="AE19" s="6">
        <f t="shared" si="14"/>
        <v>1.0842731302430302</v>
      </c>
      <c r="AF19" s="6">
        <f t="shared" si="15"/>
        <v>1.7133750496664797</v>
      </c>
      <c r="AG19" s="6">
        <f t="shared" si="16"/>
        <v>6.2930846668169185E-2</v>
      </c>
      <c r="AH19" s="6">
        <f t="shared" si="17"/>
        <v>6.3829765056797827E-2</v>
      </c>
      <c r="AI19" s="6">
        <f t="shared" si="18"/>
        <v>5.8823254497918365E-2</v>
      </c>
      <c r="AJ19" s="6">
        <f t="shared" si="18"/>
        <v>0.67315899994382988</v>
      </c>
      <c r="AK19" s="6">
        <f t="shared" si="18"/>
        <v>-0.93854625553381987</v>
      </c>
    </row>
    <row r="20" spans="1:37" s="2" customFormat="1">
      <c r="B20" s="2" t="s">
        <v>42</v>
      </c>
      <c r="D20" s="2">
        <v>13.3</v>
      </c>
      <c r="E20" s="2">
        <v>0.2</v>
      </c>
      <c r="F20" s="2">
        <v>0.16</v>
      </c>
      <c r="G20" s="2">
        <v>0.7</v>
      </c>
      <c r="H20" s="2">
        <v>3.9249999999999998</v>
      </c>
      <c r="I20" s="2">
        <v>4.0999999999999996</v>
      </c>
      <c r="J20" s="2">
        <f t="shared" si="0"/>
        <v>3.5193605335425659</v>
      </c>
      <c r="K20" s="2">
        <f t="shared" si="1"/>
        <v>0.12060717936503212</v>
      </c>
      <c r="L20" s="2">
        <f t="shared" si="2"/>
        <v>0.2669597008377379</v>
      </c>
      <c r="M20" s="2">
        <f t="shared" si="3"/>
        <v>0.50028353668322711</v>
      </c>
      <c r="N20" s="2">
        <f t="shared" si="4"/>
        <v>1.6290958333333332</v>
      </c>
      <c r="O20" s="2">
        <f t="shared" si="5"/>
        <v>1.5208087413619793</v>
      </c>
      <c r="P20" s="2">
        <f t="shared" si="6"/>
        <v>49.087616359722645</v>
      </c>
      <c r="Q20" s="2">
        <f t="shared" si="7"/>
        <v>63.521171521971588</v>
      </c>
      <c r="R20" s="59">
        <v>69</v>
      </c>
      <c r="S20" s="63">
        <f t="shared" si="8"/>
        <v>6.8999999999999999E-3</v>
      </c>
      <c r="AD20" s="2">
        <f t="shared" si="13"/>
        <v>13.183115363474601</v>
      </c>
      <c r="AE20" s="2">
        <f>K20/L20</f>
        <v>0.45178047093459611</v>
      </c>
      <c r="AF20" s="2">
        <f t="shared" si="15"/>
        <v>1.8740039605727119</v>
      </c>
      <c r="AG20" s="2">
        <f t="shared" si="16"/>
        <v>2.5846597738712344E-2</v>
      </c>
    </row>
    <row r="21" spans="1:37">
      <c r="AB21" s="39"/>
      <c r="AE21" s="39"/>
      <c r="AF21" s="39"/>
      <c r="AG21" s="39" t="s">
        <v>97</v>
      </c>
      <c r="AH21" s="6">
        <f>_xlfn.VAR.P(AH3:AH19)</f>
        <v>0.17279327683074236</v>
      </c>
    </row>
    <row r="22" spans="1:37">
      <c r="AG22" s="39" t="s">
        <v>98</v>
      </c>
      <c r="AH22" s="6">
        <f>AVERAGE(AH3:AH19)</f>
        <v>-0.29786486012401081</v>
      </c>
    </row>
  </sheetData>
  <phoneticPr fontId="22" type="noConversion"/>
  <pageMargins left="0.7" right="0.7" top="0.75" bottom="0.75" header="0.3" footer="0.3"/>
  <pageSetup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7"/>
  <sheetViews>
    <sheetView workbookViewId="0">
      <selection activeCell="F16" sqref="F16"/>
    </sheetView>
  </sheetViews>
  <sheetFormatPr defaultRowHeight="14.5"/>
  <cols>
    <col min="1" max="1" width="12.08984375" style="6" customWidth="1"/>
    <col min="2" max="2" width="8.7265625" style="6"/>
    <col min="3" max="3" width="7.26953125" style="6" customWidth="1"/>
    <col min="4" max="18" width="8.7265625" style="6"/>
    <col min="19" max="19" width="13.26953125" style="6" customWidth="1"/>
    <col min="20" max="21" width="12.54296875" style="6" customWidth="1"/>
    <col min="22" max="22" width="17.90625" style="6" customWidth="1"/>
    <col min="23" max="24" width="20" style="6" customWidth="1"/>
    <col min="25" max="26" width="11.90625" style="6" customWidth="1"/>
    <col min="27" max="27" width="13.81640625" style="6" customWidth="1"/>
    <col min="28" max="28" width="18.36328125" style="6" customWidth="1"/>
    <col min="29" max="33" width="8.7265625" style="6"/>
    <col min="34" max="34" width="11" style="6" customWidth="1"/>
    <col min="35" max="35" width="13.1796875" style="6" customWidth="1"/>
    <col min="36" max="36" width="14.1796875" style="6" customWidth="1"/>
    <col min="37" max="16384" width="8.7265625" style="6"/>
  </cols>
  <sheetData>
    <row r="1" spans="1:36">
      <c r="A1" s="81" t="s">
        <v>187</v>
      </c>
      <c r="B1" s="81"/>
      <c r="C1" s="81"/>
      <c r="D1" s="81"/>
      <c r="E1" s="81"/>
      <c r="F1" s="81"/>
      <c r="G1" s="81"/>
      <c r="H1" s="81"/>
      <c r="I1" s="81"/>
      <c r="J1" s="81"/>
      <c r="K1" s="81"/>
      <c r="L1" s="81"/>
      <c r="M1" s="81"/>
      <c r="N1" s="81"/>
    </row>
    <row r="2" spans="1:36">
      <c r="A2" s="1" t="s">
        <v>197</v>
      </c>
      <c r="B2" s="1" t="s">
        <v>0</v>
      </c>
      <c r="C2" s="1" t="s">
        <v>1</v>
      </c>
      <c r="D2" s="1" t="s">
        <v>2</v>
      </c>
      <c r="E2" s="1" t="s">
        <v>3</v>
      </c>
      <c r="F2" s="1" t="s">
        <v>48</v>
      </c>
      <c r="G2" s="1" t="s">
        <v>49</v>
      </c>
      <c r="H2" s="1" t="s">
        <v>50</v>
      </c>
      <c r="I2" s="1" t="s">
        <v>4</v>
      </c>
      <c r="J2" s="1" t="s">
        <v>5</v>
      </c>
      <c r="K2" s="1" t="s">
        <v>6</v>
      </c>
      <c r="L2" s="1" t="s">
        <v>45</v>
      </c>
      <c r="M2" s="1" t="s">
        <v>46</v>
      </c>
      <c r="N2" s="1" t="s">
        <v>47</v>
      </c>
      <c r="O2" s="1" t="s">
        <v>51</v>
      </c>
      <c r="P2" s="1" t="s">
        <v>52</v>
      </c>
      <c r="Q2" s="1" t="s">
        <v>110</v>
      </c>
      <c r="R2" s="1" t="s">
        <v>120</v>
      </c>
      <c r="S2" s="1" t="s">
        <v>7</v>
      </c>
      <c r="T2" s="1" t="s">
        <v>8</v>
      </c>
      <c r="U2" s="1" t="s">
        <v>9</v>
      </c>
      <c r="V2" s="1" t="s">
        <v>10</v>
      </c>
      <c r="W2" s="1" t="s">
        <v>11</v>
      </c>
      <c r="X2" s="1" t="s">
        <v>12</v>
      </c>
      <c r="Y2" s="1" t="s">
        <v>13</v>
      </c>
      <c r="Z2" s="1" t="s">
        <v>14</v>
      </c>
      <c r="AA2" s="1" t="s">
        <v>15</v>
      </c>
      <c r="AB2" s="1" t="s">
        <v>460</v>
      </c>
      <c r="AC2" s="1" t="s">
        <v>16</v>
      </c>
      <c r="AD2" s="1" t="s">
        <v>17</v>
      </c>
      <c r="AE2" s="1" t="s">
        <v>107</v>
      </c>
      <c r="AF2" s="1" t="s">
        <v>134</v>
      </c>
      <c r="AG2" s="1" t="s">
        <v>459</v>
      </c>
      <c r="AH2" s="1" t="s">
        <v>461</v>
      </c>
      <c r="AI2" s="1" t="s">
        <v>462</v>
      </c>
      <c r="AJ2" s="1" t="s">
        <v>465</v>
      </c>
    </row>
    <row r="3" spans="1:36">
      <c r="A3" s="6" t="s">
        <v>406</v>
      </c>
      <c r="B3" s="6">
        <v>0.05</v>
      </c>
      <c r="C3" s="6">
        <v>18.7</v>
      </c>
      <c r="D3" s="6">
        <v>0.5</v>
      </c>
      <c r="E3" s="6">
        <v>1.2</v>
      </c>
      <c r="F3" s="24">
        <v>0.4</v>
      </c>
      <c r="G3" s="6">
        <v>6.1</v>
      </c>
      <c r="H3" s="6">
        <v>0.1</v>
      </c>
      <c r="I3" s="6">
        <f t="shared" ref="I3:I15" si="0">C3*26.98/101.96</f>
        <v>4.9482738328756382</v>
      </c>
      <c r="J3" s="6">
        <f t="shared" ref="J3:J15" si="1">D3*24.305/40.3044</f>
        <v>0.30151794841258023</v>
      </c>
      <c r="K3" s="6">
        <f t="shared" ref="K3:K15" si="2">E3*79.866/47.867</f>
        <v>2.0021977562830342</v>
      </c>
      <c r="L3" s="6">
        <f t="shared" ref="L3:L15" si="3">F3*40.078/56.0774</f>
        <v>0.28587630667612984</v>
      </c>
      <c r="M3" s="6">
        <f t="shared" ref="M3:M15" si="4">G3*39.0983/94.2</f>
        <v>2.5318432059447984</v>
      </c>
      <c r="N3" s="6">
        <f t="shared" ref="N3:N15" si="5">H3*22.989769/61.9789</f>
        <v>3.7092896130779991E-2</v>
      </c>
      <c r="O3" s="6">
        <f t="shared" ref="O3:O15" si="6">100*(I3/(I3+L3+M3+N3))</f>
        <v>63.41431684399361</v>
      </c>
      <c r="P3" s="6">
        <f t="shared" ref="P3:P15" si="7">100*(I3/(I3+L3+N3))</f>
        <v>93.872997305936394</v>
      </c>
      <c r="Q3" s="60">
        <v>780</v>
      </c>
      <c r="R3" s="62">
        <f t="shared" ref="R3:R15" si="8">Q3/10000</f>
        <v>7.8E-2</v>
      </c>
      <c r="S3" s="6">
        <f>(I3/I15-1)*100</f>
        <v>18.354430379746844</v>
      </c>
      <c r="T3" s="6">
        <f>(J3/J15-1)*100</f>
        <v>-66.666666666666657</v>
      </c>
      <c r="U3" s="6">
        <f>(K3/K15-1)*100</f>
        <v>90.476190476190467</v>
      </c>
      <c r="V3" s="6">
        <f t="shared" ref="V3:V14" si="9">T3/-0.13</f>
        <v>512.8205128205127</v>
      </c>
      <c r="W3" s="6">
        <f t="shared" ref="W3:W14" si="10">V3*0.0018</f>
        <v>0.9230769230769228</v>
      </c>
      <c r="X3" s="6">
        <f t="shared" ref="X3:X14" si="11">V3*0.00015</f>
        <v>7.69230769230769E-2</v>
      </c>
      <c r="Y3" s="6">
        <f>I15*(100-W3)/100</f>
        <v>4.1423015964028131</v>
      </c>
      <c r="Z3" s="6">
        <f>K15*(100-X3)/100</f>
        <v>1.0503452421854786</v>
      </c>
      <c r="AA3" s="6">
        <f t="shared" ref="AA3:AA14" si="12">Y3/Z3</f>
        <v>3.9437524254252119</v>
      </c>
      <c r="AB3" s="6">
        <f>AA3/AC15-1</f>
        <v>-8.4680523479599978E-3</v>
      </c>
      <c r="AC3" s="6">
        <f t="shared" ref="AC3:AC15" si="13">I3/K3</f>
        <v>2.4714211257842114</v>
      </c>
      <c r="AD3" s="6">
        <f t="shared" ref="AD3:AD14" si="14">J3/K3</f>
        <v>0.15059349031153199</v>
      </c>
      <c r="AE3" s="6">
        <f t="shared" ref="AE3:AE15" si="15">L3/K3</f>
        <v>0.14278125413887333</v>
      </c>
      <c r="AF3" s="6">
        <f t="shared" ref="AF3:AF15" si="16">R3/K3</f>
        <v>3.8957190794580925E-2</v>
      </c>
      <c r="AG3" s="6">
        <f t="shared" ref="AG3:AG14" si="17">AC3/18.63478-1</f>
        <v>-0.86737588928958587</v>
      </c>
      <c r="AH3" s="6">
        <f t="shared" ref="AH3:AJ14" si="18">AD3/1.024036-1</f>
        <v>-0.85294121465306683</v>
      </c>
      <c r="AI3" s="6">
        <f t="shared" si="18"/>
        <v>-0.8605700833380141</v>
      </c>
      <c r="AJ3" s="6">
        <f t="shared" si="18"/>
        <v>-0.96195720580665045</v>
      </c>
    </row>
    <row r="4" spans="1:36">
      <c r="A4" s="6" t="s">
        <v>407</v>
      </c>
      <c r="B4" s="6">
        <v>0.15</v>
      </c>
      <c r="C4" s="6">
        <v>20.8</v>
      </c>
      <c r="D4" s="6">
        <v>0.6</v>
      </c>
      <c r="E4" s="6">
        <v>0.7</v>
      </c>
      <c r="F4" s="24">
        <v>0.5</v>
      </c>
      <c r="G4" s="6">
        <v>6.7</v>
      </c>
      <c r="H4" s="6">
        <v>0.1</v>
      </c>
      <c r="I4" s="6">
        <f t="shared" si="0"/>
        <v>5.5039623381718332</v>
      </c>
      <c r="J4" s="6">
        <f t="shared" si="1"/>
        <v>0.36182153809509626</v>
      </c>
      <c r="K4" s="6">
        <f t="shared" si="2"/>
        <v>1.1679486911651034</v>
      </c>
      <c r="L4" s="6">
        <f t="shared" si="3"/>
        <v>0.35734538334516225</v>
      </c>
      <c r="M4" s="6">
        <f t="shared" si="4"/>
        <v>2.7808769639065818</v>
      </c>
      <c r="N4" s="6">
        <f t="shared" si="5"/>
        <v>3.7092896130779991E-2</v>
      </c>
      <c r="O4" s="6">
        <f t="shared" si="6"/>
        <v>63.414982254619147</v>
      </c>
      <c r="P4" s="6">
        <f t="shared" si="7"/>
        <v>93.312792652709973</v>
      </c>
      <c r="Q4" s="60">
        <v>1100</v>
      </c>
      <c r="R4" s="62">
        <f t="shared" si="8"/>
        <v>0.11</v>
      </c>
      <c r="S4" s="6">
        <f>(I4/I15-1)*100</f>
        <v>31.645569620253177</v>
      </c>
      <c r="T4" s="6">
        <f>(J4/J15-1)*100</f>
        <v>-60</v>
      </c>
      <c r="U4" s="6">
        <f>(K4/K15-1)*100</f>
        <v>11.111111111111116</v>
      </c>
      <c r="V4" s="6">
        <f t="shared" si="9"/>
        <v>461.53846153846155</v>
      </c>
      <c r="W4" s="6">
        <f t="shared" si="10"/>
        <v>0.83076923076923082</v>
      </c>
      <c r="X4" s="6">
        <f t="shared" si="11"/>
        <v>6.9230769230769221E-2</v>
      </c>
      <c r="Y4" s="6">
        <f>I15*(100-W4)/100</f>
        <v>4.1461608836044306</v>
      </c>
      <c r="Z4" s="6">
        <f>K15*(100-X4)/100</f>
        <v>1.0504261001717901</v>
      </c>
      <c r="AA4" s="6">
        <f t="shared" si="12"/>
        <v>3.9471228703536156</v>
      </c>
      <c r="AB4" s="6">
        <f>AA4/AC15-1</f>
        <v>-7.6206604572396364E-3</v>
      </c>
      <c r="AC4" s="6">
        <f t="shared" si="13"/>
        <v>4.7125035370186339</v>
      </c>
      <c r="AD4" s="6">
        <f t="shared" si="14"/>
        <v>0.3097923229265801</v>
      </c>
      <c r="AE4" s="6">
        <f t="shared" si="15"/>
        <v>0.30595983029758561</v>
      </c>
      <c r="AF4" s="6">
        <f t="shared" si="16"/>
        <v>9.4182219503382444E-2</v>
      </c>
      <c r="AG4" s="6">
        <f t="shared" si="17"/>
        <v>-0.7471124672779268</v>
      </c>
      <c r="AH4" s="6">
        <f t="shared" si="18"/>
        <v>-0.6974790701434519</v>
      </c>
      <c r="AI4" s="6">
        <f t="shared" si="18"/>
        <v>-0.70122160715288762</v>
      </c>
      <c r="AJ4" s="6">
        <f t="shared" si="18"/>
        <v>-0.90802840964245157</v>
      </c>
    </row>
    <row r="5" spans="1:36">
      <c r="A5" s="6" t="s">
        <v>408</v>
      </c>
      <c r="B5" s="6">
        <v>0.45</v>
      </c>
      <c r="C5" s="6">
        <v>20</v>
      </c>
      <c r="D5" s="6">
        <v>0.7</v>
      </c>
      <c r="E5" s="6">
        <v>0.7</v>
      </c>
      <c r="F5" s="24">
        <v>0.6</v>
      </c>
      <c r="G5" s="6">
        <v>8.6</v>
      </c>
      <c r="H5" s="6">
        <v>0.2</v>
      </c>
      <c r="I5" s="6">
        <f t="shared" si="0"/>
        <v>5.2922714790113776</v>
      </c>
      <c r="J5" s="6">
        <f t="shared" si="1"/>
        <v>0.4221251277776123</v>
      </c>
      <c r="K5" s="6">
        <f t="shared" si="2"/>
        <v>1.1679486911651034</v>
      </c>
      <c r="L5" s="6">
        <f t="shared" si="3"/>
        <v>0.42881446001419471</v>
      </c>
      <c r="M5" s="6">
        <f t="shared" si="4"/>
        <v>3.569483864118896</v>
      </c>
      <c r="N5" s="6">
        <f t="shared" si="5"/>
        <v>7.4185792261559982E-2</v>
      </c>
      <c r="O5" s="6">
        <f t="shared" si="6"/>
        <v>56.512649210061106</v>
      </c>
      <c r="P5" s="6">
        <f t="shared" si="7"/>
        <v>91.320506171260433</v>
      </c>
      <c r="Q5" s="60">
        <v>370</v>
      </c>
      <c r="R5" s="62">
        <f t="shared" si="8"/>
        <v>3.6999999999999998E-2</v>
      </c>
      <c r="S5" s="6">
        <f>(I5/I15-1)*100</f>
        <v>26.582278481012665</v>
      </c>
      <c r="T5" s="6">
        <f>(J5/J15-1)*100</f>
        <v>-53.333333333333336</v>
      </c>
      <c r="U5" s="6">
        <f>(K5/K15-1)*100</f>
        <v>11.111111111111116</v>
      </c>
      <c r="V5" s="6">
        <f t="shared" si="9"/>
        <v>410.25641025641028</v>
      </c>
      <c r="W5" s="6">
        <f t="shared" si="10"/>
        <v>0.7384615384615385</v>
      </c>
      <c r="X5" s="6">
        <f t="shared" si="11"/>
        <v>6.1538461538461535E-2</v>
      </c>
      <c r="Y5" s="6">
        <f>I15*(100-W5)/100</f>
        <v>4.150020170806048</v>
      </c>
      <c r="Z5" s="6">
        <f>K15*(100-X5)/100</f>
        <v>1.0505069581581017</v>
      </c>
      <c r="AA5" s="6">
        <f t="shared" si="12"/>
        <v>3.9504927964327377</v>
      </c>
      <c r="AB5" s="6">
        <f>AA5/AC15-1</f>
        <v>-6.7733990147784695E-3</v>
      </c>
      <c r="AC5" s="6">
        <f t="shared" si="13"/>
        <v>4.5312534009794545</v>
      </c>
      <c r="AD5" s="6">
        <f t="shared" si="14"/>
        <v>0.36142437674767675</v>
      </c>
      <c r="AE5" s="6">
        <f t="shared" si="15"/>
        <v>0.36715179635710277</v>
      </c>
      <c r="AF5" s="6">
        <f t="shared" si="16"/>
        <v>3.1679473832955912E-2</v>
      </c>
      <c r="AG5" s="6">
        <f t="shared" si="17"/>
        <v>-0.75683891084416044</v>
      </c>
      <c r="AH5" s="6">
        <f t="shared" si="18"/>
        <v>-0.64705891516736058</v>
      </c>
      <c r="AI5" s="6">
        <f t="shared" si="18"/>
        <v>-0.64146592858346507</v>
      </c>
      <c r="AJ5" s="6">
        <f t="shared" si="18"/>
        <v>-0.96906410142518828</v>
      </c>
    </row>
    <row r="6" spans="1:36">
      <c r="A6" s="6" t="s">
        <v>409</v>
      </c>
      <c r="B6" s="6">
        <v>0.7</v>
      </c>
      <c r="C6" s="6">
        <v>20.5</v>
      </c>
      <c r="D6" s="6">
        <v>0.8</v>
      </c>
      <c r="E6" s="6">
        <v>0.7</v>
      </c>
      <c r="F6" s="24">
        <v>0.6</v>
      </c>
      <c r="G6" s="6">
        <v>7.8</v>
      </c>
      <c r="H6" s="6">
        <v>0.2</v>
      </c>
      <c r="I6" s="6">
        <f t="shared" si="0"/>
        <v>5.4245782659866624</v>
      </c>
      <c r="J6" s="6">
        <f t="shared" si="1"/>
        <v>0.4824287174601285</v>
      </c>
      <c r="K6" s="6">
        <f t="shared" si="2"/>
        <v>1.1679486911651034</v>
      </c>
      <c r="L6" s="6">
        <f t="shared" si="3"/>
        <v>0.42881446001419471</v>
      </c>
      <c r="M6" s="6">
        <f t="shared" si="4"/>
        <v>3.2374388535031846</v>
      </c>
      <c r="N6" s="6">
        <f t="shared" si="5"/>
        <v>7.4185792261559982E-2</v>
      </c>
      <c r="O6" s="6">
        <f t="shared" si="6"/>
        <v>59.187866710411271</v>
      </c>
      <c r="P6" s="6">
        <f t="shared" si="7"/>
        <v>91.514237209578084</v>
      </c>
      <c r="Q6" s="60">
        <v>480</v>
      </c>
      <c r="R6" s="62">
        <f t="shared" si="8"/>
        <v>4.8000000000000001E-2</v>
      </c>
      <c r="S6" s="6">
        <f>(I6/I15-1)*100</f>
        <v>29.746835443037977</v>
      </c>
      <c r="T6" s="6">
        <f>(J6/J15-1)*100</f>
        <v>-46.666666666666643</v>
      </c>
      <c r="U6" s="6">
        <f>(K6/K15-1)*100</f>
        <v>11.111111111111116</v>
      </c>
      <c r="V6" s="6">
        <f t="shared" si="9"/>
        <v>358.97435897435878</v>
      </c>
      <c r="W6" s="6">
        <f t="shared" si="10"/>
        <v>0.64615384615384575</v>
      </c>
      <c r="X6" s="6">
        <f t="shared" si="11"/>
        <v>5.3846153846153814E-2</v>
      </c>
      <c r="Y6" s="6">
        <f>I15*(100-W6)/100</f>
        <v>4.1538794580076654</v>
      </c>
      <c r="Z6" s="6">
        <f>K15*(100-X6)/100</f>
        <v>1.0505878161444131</v>
      </c>
      <c r="AA6" s="6">
        <f t="shared" si="12"/>
        <v>3.9538622037823785</v>
      </c>
      <c r="AB6" s="6">
        <f>AA6/AC15-1</f>
        <v>-5.9262679904565907E-3</v>
      </c>
      <c r="AC6" s="6">
        <f t="shared" si="13"/>
        <v>4.6445347360039415</v>
      </c>
      <c r="AD6" s="6">
        <f t="shared" si="14"/>
        <v>0.41305643056877356</v>
      </c>
      <c r="AE6" s="6">
        <f t="shared" si="15"/>
        <v>0.36715179635710277</v>
      </c>
      <c r="AF6" s="6">
        <f t="shared" si="16"/>
        <v>4.1097695783294162E-2</v>
      </c>
      <c r="AG6" s="6">
        <f t="shared" si="17"/>
        <v>-0.75075988361526447</v>
      </c>
      <c r="AH6" s="6">
        <f t="shared" si="18"/>
        <v>-0.59663876019126905</v>
      </c>
      <c r="AI6" s="6">
        <f t="shared" si="18"/>
        <v>-0.64146592858346507</v>
      </c>
      <c r="AJ6" s="6">
        <f t="shared" si="18"/>
        <v>-0.95986694238943338</v>
      </c>
    </row>
    <row r="7" spans="1:36">
      <c r="A7" s="6" t="s">
        <v>410</v>
      </c>
      <c r="B7" s="6">
        <v>1.25</v>
      </c>
      <c r="C7" s="6">
        <v>18.600000000000001</v>
      </c>
      <c r="D7" s="6">
        <v>1</v>
      </c>
      <c r="E7" s="6">
        <v>0.6</v>
      </c>
      <c r="F7" s="24">
        <v>0.5</v>
      </c>
      <c r="G7" s="6">
        <v>8.3000000000000007</v>
      </c>
      <c r="H7" s="6">
        <v>0.1</v>
      </c>
      <c r="I7" s="6">
        <f t="shared" si="0"/>
        <v>4.9218124754805812</v>
      </c>
      <c r="J7" s="6">
        <f t="shared" si="1"/>
        <v>0.60303589682516046</v>
      </c>
      <c r="K7" s="6">
        <f t="shared" si="2"/>
        <v>1.0010988781415171</v>
      </c>
      <c r="L7" s="6">
        <f t="shared" si="3"/>
        <v>0.35734538334516225</v>
      </c>
      <c r="M7" s="6">
        <f t="shared" si="4"/>
        <v>3.4449669851380049</v>
      </c>
      <c r="N7" s="6">
        <f t="shared" si="5"/>
        <v>3.7092896130779991E-2</v>
      </c>
      <c r="O7" s="6">
        <f t="shared" si="6"/>
        <v>56.177264639327149</v>
      </c>
      <c r="P7" s="6">
        <f t="shared" si="7"/>
        <v>92.580517781103651</v>
      </c>
      <c r="Q7" s="60">
        <v>520</v>
      </c>
      <c r="R7" s="62">
        <f t="shared" si="8"/>
        <v>5.1999999999999998E-2</v>
      </c>
      <c r="S7" s="6">
        <f>(I7/I15-1)*100</f>
        <v>17.721518987341778</v>
      </c>
      <c r="T7" s="6">
        <f>(J7/J15-1)*100</f>
        <v>-33.333333333333329</v>
      </c>
      <c r="U7" s="6">
        <f>(K7/K15-1)*100</f>
        <v>-4.7619047619047672</v>
      </c>
      <c r="V7" s="6">
        <f t="shared" si="9"/>
        <v>256.41025641025635</v>
      </c>
      <c r="W7" s="6">
        <f t="shared" si="10"/>
        <v>0.4615384615384614</v>
      </c>
      <c r="X7" s="6">
        <f t="shared" si="11"/>
        <v>3.846153846153845E-2</v>
      </c>
      <c r="Y7" s="6">
        <f>I15*(100-W7)/100</f>
        <v>4.1615980324109003</v>
      </c>
      <c r="Z7" s="6">
        <f>K15*(100-X7)/100</f>
        <v>1.0507495321170359</v>
      </c>
      <c r="AA7" s="6">
        <f t="shared" si="12"/>
        <v>3.9605994627722261</v>
      </c>
      <c r="AB7" s="6">
        <f>AA7/AC15-1</f>
        <v>-4.2323970757985885E-3</v>
      </c>
      <c r="AC7" s="6">
        <f t="shared" si="13"/>
        <v>4.9164099400627093</v>
      </c>
      <c r="AD7" s="6">
        <f t="shared" si="14"/>
        <v>0.60237396124612796</v>
      </c>
      <c r="AE7" s="6">
        <f t="shared" si="15"/>
        <v>0.35695313534718326</v>
      </c>
      <c r="AF7" s="6">
        <f t="shared" si="16"/>
        <v>5.1942921059441233E-2</v>
      </c>
      <c r="AG7" s="6">
        <f t="shared" si="17"/>
        <v>-0.73617021826591411</v>
      </c>
      <c r="AH7" s="6">
        <f t="shared" si="18"/>
        <v>-0.41176485861226753</v>
      </c>
      <c r="AI7" s="6">
        <f t="shared" si="18"/>
        <v>-0.65142520834503537</v>
      </c>
      <c r="AJ7" s="6">
        <f t="shared" si="18"/>
        <v>-0.94927627440886719</v>
      </c>
    </row>
    <row r="8" spans="1:36">
      <c r="A8" s="6" t="s">
        <v>411</v>
      </c>
      <c r="B8" s="6">
        <v>1.7</v>
      </c>
      <c r="C8" s="6">
        <v>18.7</v>
      </c>
      <c r="D8" s="6">
        <v>1.1000000000000001</v>
      </c>
      <c r="E8" s="6">
        <v>0.7</v>
      </c>
      <c r="F8" s="24">
        <v>1.1000000000000001</v>
      </c>
      <c r="G8" s="6">
        <v>8.3000000000000007</v>
      </c>
      <c r="H8" s="6">
        <v>0.2</v>
      </c>
      <c r="I8" s="6">
        <f t="shared" si="0"/>
        <v>4.9482738328756382</v>
      </c>
      <c r="J8" s="6">
        <f t="shared" si="1"/>
        <v>0.6633394865076766</v>
      </c>
      <c r="K8" s="6">
        <f t="shared" si="2"/>
        <v>1.1679486911651034</v>
      </c>
      <c r="L8" s="6">
        <f t="shared" si="3"/>
        <v>0.78615984335935707</v>
      </c>
      <c r="M8" s="6">
        <f t="shared" si="4"/>
        <v>3.4449669851380049</v>
      </c>
      <c r="N8" s="6">
        <f t="shared" si="5"/>
        <v>7.4185792261559982E-2</v>
      </c>
      <c r="O8" s="6">
        <f t="shared" si="6"/>
        <v>53.474119009631018</v>
      </c>
      <c r="P8" s="6">
        <f t="shared" si="7"/>
        <v>85.188466204628128</v>
      </c>
      <c r="Q8" s="60">
        <v>380</v>
      </c>
      <c r="R8" s="62">
        <f t="shared" si="8"/>
        <v>3.7999999999999999E-2</v>
      </c>
      <c r="S8" s="6">
        <f>(I8/I15-1)*100</f>
        <v>18.354430379746844</v>
      </c>
      <c r="T8" s="6">
        <f>(J8/J15-1)*100</f>
        <v>-26.66666666666665</v>
      </c>
      <c r="U8" s="6">
        <f>(K8/K15-1)*100</f>
        <v>11.111111111111116</v>
      </c>
      <c r="V8" s="6">
        <f t="shared" si="9"/>
        <v>205.128205128205</v>
      </c>
      <c r="W8" s="6">
        <f t="shared" si="10"/>
        <v>0.36923076923076897</v>
      </c>
      <c r="X8" s="6">
        <f t="shared" si="11"/>
        <v>3.0769230769230747E-2</v>
      </c>
      <c r="Y8" s="6">
        <f>I15*(100-W8)/100</f>
        <v>4.1654573196125178</v>
      </c>
      <c r="Z8" s="6">
        <f>K15*(100-X8)/100</f>
        <v>1.0508303901033471</v>
      </c>
      <c r="AA8" s="6">
        <f t="shared" si="12"/>
        <v>3.963967314651847</v>
      </c>
      <c r="AB8" s="6">
        <f>AA8/AC15-1</f>
        <v>-3.3856571252693923E-3</v>
      </c>
      <c r="AC8" s="6">
        <f t="shared" si="13"/>
        <v>4.2367219299157908</v>
      </c>
      <c r="AD8" s="6">
        <f t="shared" si="14"/>
        <v>0.56795259203206361</v>
      </c>
      <c r="AE8" s="6">
        <f t="shared" si="15"/>
        <v>0.67311162665468849</v>
      </c>
      <c r="AF8" s="6">
        <f t="shared" si="16"/>
        <v>3.2535675828441211E-2</v>
      </c>
      <c r="AG8" s="6">
        <f t="shared" si="17"/>
        <v>-0.77264438163929006</v>
      </c>
      <c r="AH8" s="6">
        <f t="shared" si="18"/>
        <v>-0.44537829526299499</v>
      </c>
      <c r="AI8" s="6">
        <f t="shared" si="18"/>
        <v>-0.34268753573635247</v>
      </c>
      <c r="AJ8" s="6">
        <f t="shared" si="18"/>
        <v>-0.96822799605830145</v>
      </c>
    </row>
    <row r="9" spans="1:36">
      <c r="A9" s="6" t="s">
        <v>412</v>
      </c>
      <c r="B9" s="6">
        <v>2.2000000000000002</v>
      </c>
      <c r="C9" s="6">
        <v>15.9</v>
      </c>
      <c r="D9" s="6">
        <v>1.2</v>
      </c>
      <c r="E9" s="6">
        <v>0.5</v>
      </c>
      <c r="F9" s="24">
        <v>1.7</v>
      </c>
      <c r="G9" s="6">
        <v>7.3</v>
      </c>
      <c r="H9" s="6">
        <v>0.2</v>
      </c>
      <c r="I9" s="6">
        <f t="shared" si="0"/>
        <v>4.2073558258140453</v>
      </c>
      <c r="J9" s="6">
        <f t="shared" si="1"/>
        <v>0.72364307619019252</v>
      </c>
      <c r="K9" s="6">
        <f t="shared" si="2"/>
        <v>0.83424906511793095</v>
      </c>
      <c r="L9" s="6">
        <f t="shared" si="3"/>
        <v>1.2149743033735516</v>
      </c>
      <c r="M9" s="6">
        <f t="shared" si="4"/>
        <v>3.0299107218683652</v>
      </c>
      <c r="N9" s="6">
        <f t="shared" si="5"/>
        <v>7.4185792261559982E-2</v>
      </c>
      <c r="O9" s="6">
        <f t="shared" si="6"/>
        <v>49.344889738909643</v>
      </c>
      <c r="P9" s="6">
        <f t="shared" si="7"/>
        <v>76.545868072456614</v>
      </c>
      <c r="Q9" s="60">
        <v>540</v>
      </c>
      <c r="R9" s="62">
        <f t="shared" si="8"/>
        <v>5.3999999999999999E-2</v>
      </c>
      <c r="S9" s="6">
        <f>(I9/I15-1)*100</f>
        <v>0.63291139240506666</v>
      </c>
      <c r="T9" s="6">
        <f>(J9/J15-1)*100</f>
        <v>-19.999999999999996</v>
      </c>
      <c r="U9" s="6">
        <f>(K9/K15-1)*100</f>
        <v>-20.634920634920629</v>
      </c>
      <c r="V9" s="6">
        <f t="shared" si="9"/>
        <v>153.84615384615381</v>
      </c>
      <c r="W9" s="6">
        <f t="shared" si="10"/>
        <v>0.27692307692307683</v>
      </c>
      <c r="X9" s="6">
        <f t="shared" si="11"/>
        <v>2.3076923076923071E-2</v>
      </c>
      <c r="Y9" s="6">
        <f>I15*(100-W9)/100</f>
        <v>4.1693166068141361</v>
      </c>
      <c r="Z9" s="6">
        <f>K15*(100-X9)/100</f>
        <v>1.0509112480896585</v>
      </c>
      <c r="AA9" s="6">
        <f t="shared" si="12"/>
        <v>3.9673346482808136</v>
      </c>
      <c r="AB9" s="6">
        <f>AA9/AC15-1</f>
        <v>-2.5390474724934498E-3</v>
      </c>
      <c r="AC9" s="6">
        <f t="shared" si="13"/>
        <v>5.0432850352901335</v>
      </c>
      <c r="AD9" s="6">
        <f t="shared" si="14"/>
        <v>0.86741850419442423</v>
      </c>
      <c r="AE9" s="6">
        <f t="shared" si="15"/>
        <v>1.4563687922165074</v>
      </c>
      <c r="AF9" s="6">
        <f t="shared" si="16"/>
        <v>6.4728870858688295E-2</v>
      </c>
      <c r="AG9" s="6">
        <f t="shared" si="17"/>
        <v>-0.72936170776955067</v>
      </c>
      <c r="AH9" s="6">
        <f t="shared" si="18"/>
        <v>-0.15294139640166526</v>
      </c>
      <c r="AI9" s="6">
        <f t="shared" si="18"/>
        <v>0.42218514995225509</v>
      </c>
      <c r="AJ9" s="6">
        <f t="shared" si="18"/>
        <v>-0.93679043426335762</v>
      </c>
    </row>
    <row r="10" spans="1:36">
      <c r="A10" s="6" t="s">
        <v>413</v>
      </c>
      <c r="B10" s="6">
        <v>3.2</v>
      </c>
      <c r="C10" s="6">
        <v>17.5</v>
      </c>
      <c r="D10" s="6">
        <v>1.1000000000000001</v>
      </c>
      <c r="E10" s="6">
        <v>0.7</v>
      </c>
      <c r="F10" s="24">
        <v>1.6</v>
      </c>
      <c r="G10" s="6">
        <v>7.7</v>
      </c>
      <c r="H10" s="6">
        <v>0.2</v>
      </c>
      <c r="I10" s="6">
        <f t="shared" si="0"/>
        <v>4.6307375441349556</v>
      </c>
      <c r="J10" s="6">
        <f t="shared" si="1"/>
        <v>0.6633394865076766</v>
      </c>
      <c r="K10" s="6">
        <f t="shared" si="2"/>
        <v>1.1679486911651034</v>
      </c>
      <c r="L10" s="6">
        <f t="shared" si="3"/>
        <v>1.1435052267045194</v>
      </c>
      <c r="M10" s="6">
        <f t="shared" si="4"/>
        <v>3.1959332271762211</v>
      </c>
      <c r="N10" s="6">
        <f t="shared" si="5"/>
        <v>7.4185792261559982E-2</v>
      </c>
      <c r="O10" s="6">
        <f t="shared" si="6"/>
        <v>51.200268758742354</v>
      </c>
      <c r="P10" s="6">
        <f t="shared" si="7"/>
        <v>79.179175981583356</v>
      </c>
      <c r="Q10" s="60">
        <v>320</v>
      </c>
      <c r="R10" s="62">
        <f t="shared" si="8"/>
        <v>3.2000000000000001E-2</v>
      </c>
      <c r="S10" s="6">
        <f>(I10/I15-1)*100</f>
        <v>10.759493670886089</v>
      </c>
      <c r="T10" s="6">
        <f>(J10/J15-1)*100</f>
        <v>-26.66666666666665</v>
      </c>
      <c r="U10" s="6">
        <f>(K10/K15-1)*100</f>
        <v>11.111111111111116</v>
      </c>
      <c r="V10" s="6">
        <f t="shared" si="9"/>
        <v>205.128205128205</v>
      </c>
      <c r="W10" s="6">
        <f t="shared" si="10"/>
        <v>0.36923076923076897</v>
      </c>
      <c r="X10" s="6">
        <f t="shared" si="11"/>
        <v>3.0769230769230747E-2</v>
      </c>
      <c r="Y10" s="6">
        <f>I15*(100-W10)/100</f>
        <v>4.1654573196125178</v>
      </c>
      <c r="Z10" s="6">
        <f>K15*(100-X10)/100</f>
        <v>1.0508303901033471</v>
      </c>
      <c r="AA10" s="6">
        <f t="shared" si="12"/>
        <v>3.963967314651847</v>
      </c>
      <c r="AB10" s="6">
        <f>AA10/AC15-1</f>
        <v>-3.3856571252693923E-3</v>
      </c>
      <c r="AC10" s="6">
        <f t="shared" si="13"/>
        <v>3.964846725857023</v>
      </c>
      <c r="AD10" s="6">
        <f t="shared" si="14"/>
        <v>0.56795259203206361</v>
      </c>
      <c r="AE10" s="6">
        <f t="shared" si="15"/>
        <v>0.97907145695227416</v>
      </c>
      <c r="AF10" s="6">
        <f t="shared" si="16"/>
        <v>2.739846385552944E-2</v>
      </c>
      <c r="AG10" s="6">
        <f t="shared" si="17"/>
        <v>-0.78723404698864041</v>
      </c>
      <c r="AH10" s="6">
        <f t="shared" si="18"/>
        <v>-0.44537829526299499</v>
      </c>
      <c r="AI10" s="6">
        <f t="shared" si="18"/>
        <v>-4.3909142889239972E-2</v>
      </c>
      <c r="AJ10" s="6">
        <f t="shared" si="18"/>
        <v>-0.97324462825962232</v>
      </c>
    </row>
    <row r="11" spans="1:36">
      <c r="A11" s="6" t="s">
        <v>414</v>
      </c>
      <c r="B11" s="6">
        <v>4.2</v>
      </c>
      <c r="C11" s="6">
        <v>16.3</v>
      </c>
      <c r="D11" s="6">
        <v>1.6</v>
      </c>
      <c r="E11" s="6">
        <v>0.6</v>
      </c>
      <c r="F11" s="24">
        <v>1.9</v>
      </c>
      <c r="G11" s="6">
        <v>7.6</v>
      </c>
      <c r="H11" s="6">
        <v>0.1</v>
      </c>
      <c r="I11" s="6">
        <f t="shared" si="0"/>
        <v>4.3132012553942722</v>
      </c>
      <c r="J11" s="6">
        <f t="shared" si="1"/>
        <v>0.964857434920257</v>
      </c>
      <c r="K11" s="6">
        <f t="shared" si="2"/>
        <v>1.0010988781415171</v>
      </c>
      <c r="L11" s="6">
        <f t="shared" si="3"/>
        <v>1.3579124567116165</v>
      </c>
      <c r="M11" s="6">
        <f t="shared" si="4"/>
        <v>3.1544276008492571</v>
      </c>
      <c r="N11" s="6">
        <f t="shared" si="5"/>
        <v>3.7092896130779991E-2</v>
      </c>
      <c r="O11" s="6">
        <f t="shared" si="6"/>
        <v>48.667260248340177</v>
      </c>
      <c r="P11" s="6">
        <f t="shared" si="7"/>
        <v>75.561407486031243</v>
      </c>
      <c r="Q11" s="60">
        <v>440</v>
      </c>
      <c r="R11" s="62">
        <f t="shared" si="8"/>
        <v>4.3999999999999997E-2</v>
      </c>
      <c r="S11" s="6">
        <f>(I11/I15-1)*100</f>
        <v>3.1645569620253111</v>
      </c>
      <c r="T11" s="6">
        <f>(J11/J15-1)*100</f>
        <v>6.6666666666667096</v>
      </c>
      <c r="U11" s="6">
        <f>(K11/K15-1)*100</f>
        <v>-4.7619047619047672</v>
      </c>
      <c r="V11" s="6">
        <f t="shared" si="9"/>
        <v>-51.282051282051611</v>
      </c>
      <c r="W11" s="6">
        <f t="shared" si="10"/>
        <v>-9.2307692307692896E-2</v>
      </c>
      <c r="X11" s="6">
        <f t="shared" si="11"/>
        <v>-7.6923076923077413E-3</v>
      </c>
      <c r="Y11" s="6">
        <f>I15*(100-W11)/100</f>
        <v>4.1847537556206058</v>
      </c>
      <c r="Z11" s="6">
        <f>K15*(100-X11)/100</f>
        <v>1.0512346800349044</v>
      </c>
      <c r="AA11" s="6">
        <f t="shared" si="12"/>
        <v>3.9807988026818699</v>
      </c>
      <c r="AB11" s="6">
        <f>AA11/AC15-1</f>
        <v>8.4608876240288566E-4</v>
      </c>
      <c r="AC11" s="6">
        <f t="shared" si="13"/>
        <v>4.308466775431298</v>
      </c>
      <c r="AD11" s="6">
        <f t="shared" si="14"/>
        <v>0.9637983379938051</v>
      </c>
      <c r="AE11" s="6">
        <f t="shared" si="15"/>
        <v>1.3564219143192964</v>
      </c>
      <c r="AF11" s="6">
        <f t="shared" si="16"/>
        <v>4.395170243491181E-2</v>
      </c>
      <c r="AG11" s="6">
        <f t="shared" si="17"/>
        <v>-0.76879433106098927</v>
      </c>
      <c r="AH11" s="6">
        <f t="shared" si="18"/>
        <v>-5.8823773779627664E-2</v>
      </c>
      <c r="AI11" s="6">
        <f t="shared" si="18"/>
        <v>0.32458420828886525</v>
      </c>
      <c r="AJ11" s="6">
        <f t="shared" si="18"/>
        <v>-0.95707992449981072</v>
      </c>
    </row>
    <row r="12" spans="1:36">
      <c r="A12" s="6" t="s">
        <v>415</v>
      </c>
      <c r="B12" s="6">
        <v>4.9000000000000004</v>
      </c>
      <c r="C12" s="6">
        <v>15.3</v>
      </c>
      <c r="D12" s="6">
        <v>2.2000000000000002</v>
      </c>
      <c r="E12" s="6">
        <v>0.5</v>
      </c>
      <c r="F12" s="24">
        <v>1.8</v>
      </c>
      <c r="G12" s="6">
        <v>6.9</v>
      </c>
      <c r="H12" s="6">
        <v>0.1</v>
      </c>
      <c r="I12" s="6">
        <f t="shared" si="0"/>
        <v>4.0485876814437036</v>
      </c>
      <c r="J12" s="6">
        <f t="shared" si="1"/>
        <v>1.3266789730153532</v>
      </c>
      <c r="K12" s="6">
        <f t="shared" si="2"/>
        <v>0.83424906511793095</v>
      </c>
      <c r="L12" s="6">
        <f t="shared" si="3"/>
        <v>1.2864433800425843</v>
      </c>
      <c r="M12" s="6">
        <f t="shared" si="4"/>
        <v>2.8638882165605097</v>
      </c>
      <c r="N12" s="6">
        <f t="shared" si="5"/>
        <v>3.7092896130779991E-2</v>
      </c>
      <c r="O12" s="6">
        <f t="shared" si="6"/>
        <v>49.157135708677878</v>
      </c>
      <c r="P12" s="6">
        <f t="shared" si="7"/>
        <v>75.362886511642415</v>
      </c>
      <c r="Q12" s="60">
        <v>420</v>
      </c>
      <c r="R12" s="62">
        <f t="shared" si="8"/>
        <v>4.2000000000000003E-2</v>
      </c>
      <c r="S12" s="6">
        <f>(I12/I15-1)*100</f>
        <v>-3.1645569620253222</v>
      </c>
      <c r="T12" s="6">
        <f>(J12/J15-1)*100</f>
        <v>46.6666666666667</v>
      </c>
      <c r="U12" s="6">
        <f>(K12/K15-1)*100</f>
        <v>-20.634920634920629</v>
      </c>
      <c r="V12" s="6">
        <f t="shared" si="9"/>
        <v>-358.97435897435923</v>
      </c>
      <c r="W12" s="6">
        <f t="shared" si="10"/>
        <v>-0.64615384615384663</v>
      </c>
      <c r="X12" s="6">
        <f t="shared" si="11"/>
        <v>-5.3846153846153877E-2</v>
      </c>
      <c r="Y12" s="6">
        <f>I15*(100-W12)/100</f>
        <v>4.2079094788303113</v>
      </c>
      <c r="Z12" s="6">
        <f>K15*(100-X12)/100</f>
        <v>1.0517198279527731</v>
      </c>
      <c r="AA12" s="6">
        <f t="shared" si="12"/>
        <v>4.0009795070814862</v>
      </c>
      <c r="AB12" s="6">
        <f>AA12/AC15-1</f>
        <v>5.9198892903820077E-3</v>
      </c>
      <c r="AC12" s="6">
        <f t="shared" si="13"/>
        <v>4.8529723924489963</v>
      </c>
      <c r="AD12" s="6">
        <f t="shared" si="14"/>
        <v>1.5902672576897781</v>
      </c>
      <c r="AE12" s="6">
        <f t="shared" si="15"/>
        <v>1.5420375446998318</v>
      </c>
      <c r="AF12" s="6">
        <f t="shared" si="16"/>
        <v>5.0344677334535348E-2</v>
      </c>
      <c r="AG12" s="6">
        <f t="shared" si="17"/>
        <v>-0.73957447351409589</v>
      </c>
      <c r="AH12" s="6">
        <f t="shared" si="18"/>
        <v>0.55294077326361402</v>
      </c>
      <c r="AI12" s="6">
        <f t="shared" si="18"/>
        <v>0.50584309994944698</v>
      </c>
      <c r="AJ12" s="6">
        <f t="shared" si="18"/>
        <v>-0.95083700442705599</v>
      </c>
    </row>
    <row r="13" spans="1:36">
      <c r="A13" s="6" t="s">
        <v>416</v>
      </c>
      <c r="B13" s="6">
        <v>7.2</v>
      </c>
      <c r="C13" s="6">
        <v>17.100000000000001</v>
      </c>
      <c r="D13" s="6">
        <v>1.2</v>
      </c>
      <c r="E13" s="6">
        <v>0.5</v>
      </c>
      <c r="F13" s="24">
        <v>1.9</v>
      </c>
      <c r="G13" s="6">
        <v>4.9000000000000004</v>
      </c>
      <c r="H13" s="6">
        <v>4.2</v>
      </c>
      <c r="I13" s="6">
        <f t="shared" si="0"/>
        <v>4.5248921145547278</v>
      </c>
      <c r="J13" s="6">
        <f t="shared" si="1"/>
        <v>0.72364307619019252</v>
      </c>
      <c r="K13" s="6">
        <f t="shared" si="2"/>
        <v>0.83424906511793095</v>
      </c>
      <c r="L13" s="6">
        <f t="shared" si="3"/>
        <v>1.3579124567116165</v>
      </c>
      <c r="M13" s="6">
        <f t="shared" si="4"/>
        <v>2.0337756900212316</v>
      </c>
      <c r="N13" s="6">
        <f t="shared" si="5"/>
        <v>1.5579016374927595</v>
      </c>
      <c r="O13" s="6">
        <f t="shared" si="6"/>
        <v>47.758728792729279</v>
      </c>
      <c r="P13" s="6">
        <f t="shared" si="7"/>
        <v>60.812670028929283</v>
      </c>
      <c r="Q13" s="60">
        <v>400</v>
      </c>
      <c r="R13" s="62">
        <f t="shared" si="8"/>
        <v>0.04</v>
      </c>
      <c r="S13" s="6">
        <f>(I13/I15-1)*100</f>
        <v>8.2278481012658222</v>
      </c>
      <c r="T13" s="6">
        <f>(J13/J15-1)*100</f>
        <v>-19.999999999999996</v>
      </c>
      <c r="U13" s="6">
        <f>(K13/K15-1)*100</f>
        <v>-20.634920634920629</v>
      </c>
      <c r="V13" s="6">
        <f t="shared" si="9"/>
        <v>153.84615384615381</v>
      </c>
      <c r="W13" s="6">
        <f t="shared" si="10"/>
        <v>0.27692307692307683</v>
      </c>
      <c r="X13" s="6">
        <f t="shared" si="11"/>
        <v>2.3076923076923071E-2</v>
      </c>
      <c r="Y13" s="6">
        <f>I15*(100-W13)/100</f>
        <v>4.1693166068141361</v>
      </c>
      <c r="Z13" s="6">
        <f>K15*(100-X13)/100</f>
        <v>1.0509112480896585</v>
      </c>
      <c r="AA13" s="6">
        <f t="shared" si="12"/>
        <v>3.9673346482808136</v>
      </c>
      <c r="AB13" s="6">
        <f>AA13/AC15-1</f>
        <v>-2.5390474724934498E-3</v>
      </c>
      <c r="AC13" s="6">
        <f t="shared" si="13"/>
        <v>5.423910320972408</v>
      </c>
      <c r="AD13" s="6">
        <f t="shared" si="14"/>
        <v>0.86741850419442423</v>
      </c>
      <c r="AE13" s="6">
        <f t="shared" si="15"/>
        <v>1.6277062971831555</v>
      </c>
      <c r="AF13" s="6">
        <f t="shared" si="16"/>
        <v>4.7947311747176521E-2</v>
      </c>
      <c r="AG13" s="6">
        <f t="shared" si="17"/>
        <v>-0.70893617628046002</v>
      </c>
      <c r="AH13" s="6">
        <f t="shared" si="18"/>
        <v>-0.15294139640166526</v>
      </c>
      <c r="AI13" s="6">
        <f t="shared" si="18"/>
        <v>0.58950104994663821</v>
      </c>
      <c r="AJ13" s="6">
        <f t="shared" si="18"/>
        <v>-0.95317809945433896</v>
      </c>
    </row>
    <row r="14" spans="1:36">
      <c r="A14" s="6" t="s">
        <v>417</v>
      </c>
      <c r="B14" s="6">
        <v>8</v>
      </c>
      <c r="C14" s="6">
        <v>17.899999999999999</v>
      </c>
      <c r="D14" s="6">
        <v>1.3</v>
      </c>
      <c r="E14" s="6">
        <v>0.7</v>
      </c>
      <c r="F14" s="24">
        <v>2.5</v>
      </c>
      <c r="G14" s="6">
        <v>3.6</v>
      </c>
      <c r="H14" s="6">
        <v>4.9000000000000004</v>
      </c>
      <c r="I14" s="6">
        <f t="shared" si="0"/>
        <v>4.7365829737151826</v>
      </c>
      <c r="J14" s="6">
        <f t="shared" si="1"/>
        <v>0.78394666587270878</v>
      </c>
      <c r="K14" s="6">
        <f t="shared" si="2"/>
        <v>1.1679486911651034</v>
      </c>
      <c r="L14" s="6">
        <f t="shared" si="3"/>
        <v>1.7867269167258113</v>
      </c>
      <c r="M14" s="6">
        <f t="shared" si="4"/>
        <v>1.4942025477707006</v>
      </c>
      <c r="N14" s="6">
        <f t="shared" si="5"/>
        <v>1.8175519104082196</v>
      </c>
      <c r="O14" s="6">
        <f t="shared" si="6"/>
        <v>48.160162514644192</v>
      </c>
      <c r="P14" s="6">
        <f t="shared" si="7"/>
        <v>56.787692768545014</v>
      </c>
      <c r="Q14" s="60">
        <v>630</v>
      </c>
      <c r="R14" s="62">
        <f t="shared" si="8"/>
        <v>6.3E-2</v>
      </c>
      <c r="S14" s="6">
        <f>(I14/I15-1)*100</f>
        <v>13.291139240506311</v>
      </c>
      <c r="T14" s="6">
        <f>(J14/J15-1)*100</f>
        <v>-13.333333333333307</v>
      </c>
      <c r="U14" s="6">
        <f>(K14/K15-1)*100</f>
        <v>11.111111111111116</v>
      </c>
      <c r="V14" s="6">
        <f t="shared" si="9"/>
        <v>102.56410256410236</v>
      </c>
      <c r="W14" s="6">
        <f t="shared" si="10"/>
        <v>0.18461538461538424</v>
      </c>
      <c r="X14" s="6">
        <f t="shared" si="11"/>
        <v>1.5384615384615353E-2</v>
      </c>
      <c r="Y14" s="6">
        <f>I15*(100-W14)/100</f>
        <v>4.1731758940157535</v>
      </c>
      <c r="Z14" s="6">
        <f>K15*(100-X14)/100</f>
        <v>1.0509921060759699</v>
      </c>
      <c r="AA14" s="6">
        <f t="shared" si="12"/>
        <v>3.970701463778739</v>
      </c>
      <c r="AB14" s="6">
        <f>AA14/AC15-1</f>
        <v>-1.6925680873978166E-3</v>
      </c>
      <c r="AC14" s="6">
        <f t="shared" si="13"/>
        <v>4.0554717938766114</v>
      </c>
      <c r="AD14" s="6">
        <f t="shared" si="14"/>
        <v>0.67121669967425701</v>
      </c>
      <c r="AE14" s="6">
        <f t="shared" si="15"/>
        <v>1.5297991514879281</v>
      </c>
      <c r="AF14" s="6">
        <f t="shared" si="16"/>
        <v>5.3940725715573581E-2</v>
      </c>
      <c r="AG14" s="6">
        <f t="shared" si="17"/>
        <v>-0.7823708252055237</v>
      </c>
      <c r="AH14" s="6">
        <f t="shared" si="18"/>
        <v>-0.34453798531081226</v>
      </c>
      <c r="AI14" s="6">
        <f t="shared" si="18"/>
        <v>0.49389196423556214</v>
      </c>
      <c r="AJ14" s="6">
        <f t="shared" si="18"/>
        <v>-0.94732536188613137</v>
      </c>
    </row>
    <row r="15" spans="1:36" s="2" customFormat="1">
      <c r="A15" s="2" t="s">
        <v>42</v>
      </c>
      <c r="C15" s="2">
        <v>15.8</v>
      </c>
      <c r="D15" s="2">
        <v>1.5</v>
      </c>
      <c r="E15" s="2">
        <v>0.63</v>
      </c>
      <c r="F15" s="2">
        <v>2.5</v>
      </c>
      <c r="G15" s="2">
        <v>3.48</v>
      </c>
      <c r="H15" s="2">
        <v>4.7</v>
      </c>
      <c r="I15" s="2">
        <f t="shared" si="0"/>
        <v>4.1808944684189884</v>
      </c>
      <c r="J15" s="2">
        <f t="shared" si="1"/>
        <v>0.90455384523774063</v>
      </c>
      <c r="K15" s="2">
        <f t="shared" si="2"/>
        <v>1.051153822048593</v>
      </c>
      <c r="L15" s="2">
        <f t="shared" si="3"/>
        <v>1.7867269167258113</v>
      </c>
      <c r="M15" s="2">
        <f t="shared" si="4"/>
        <v>1.4443957961783438</v>
      </c>
      <c r="N15" s="2">
        <f t="shared" si="5"/>
        <v>1.7433661181466593</v>
      </c>
      <c r="O15" s="2">
        <f t="shared" si="6"/>
        <v>45.66596866196862</v>
      </c>
      <c r="P15" s="2">
        <f t="shared" si="7"/>
        <v>54.219961666833981</v>
      </c>
      <c r="Q15" s="61">
        <v>246</v>
      </c>
      <c r="R15" s="63">
        <f t="shared" si="8"/>
        <v>2.46E-2</v>
      </c>
      <c r="AC15" s="2">
        <f t="shared" si="13"/>
        <v>3.9774335408597441</v>
      </c>
      <c r="AD15" s="2">
        <f>J15/K15</f>
        <v>0.86053423035161136</v>
      </c>
      <c r="AE15" s="2">
        <f t="shared" si="15"/>
        <v>1.6997768349865869</v>
      </c>
      <c r="AF15" s="2">
        <f t="shared" si="16"/>
        <v>2.3402854543264729E-2</v>
      </c>
    </row>
    <row r="16" spans="1:36">
      <c r="AA16" s="39"/>
      <c r="AD16" s="39"/>
      <c r="AE16" s="39"/>
      <c r="AF16" s="39" t="s">
        <v>97</v>
      </c>
      <c r="AG16" s="6">
        <f>_xlfn.VAR.P(AG3:AG14)</f>
        <v>1.4783464487391695E-3</v>
      </c>
    </row>
    <row r="17" spans="32:33">
      <c r="AF17" s="39" t="s">
        <v>98</v>
      </c>
      <c r="AG17" s="6">
        <f>AVERAGE(AG3:AG14)</f>
        <v>-0.76226444264595006</v>
      </c>
    </row>
  </sheetData>
  <phoneticPr fontId="22" type="noConversion"/>
  <pageMargins left="0.7" right="0.7" top="0.75" bottom="0.75" header="0.3" footer="0.3"/>
  <pageSetup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3"/>
  <sheetViews>
    <sheetView topLeftCell="A43" zoomScale="60" zoomScaleNormal="60" workbookViewId="0">
      <selection activeCell="Q77" sqref="Q77"/>
    </sheetView>
  </sheetViews>
  <sheetFormatPr defaultRowHeight="14.5"/>
  <cols>
    <col min="1" max="1" width="11.7265625" style="6" customWidth="1"/>
    <col min="2" max="2" width="9.90625" style="6" customWidth="1"/>
    <col min="3" max="18" width="8.7265625" style="6"/>
    <col min="19" max="19" width="9.1796875" style="6" bestFit="1" customWidth="1"/>
    <col min="20" max="23" width="8.7265625" style="6"/>
    <col min="24" max="24" width="11.26953125" style="6" customWidth="1"/>
    <col min="25" max="25" width="12.36328125" style="6" customWidth="1"/>
    <col min="26" max="26" width="11.1796875" style="6" customWidth="1"/>
    <col min="27" max="27" width="15.90625" style="6" customWidth="1"/>
    <col min="28" max="29" width="19.1796875" style="6" customWidth="1"/>
    <col min="30" max="30" width="11.54296875" style="6" customWidth="1"/>
    <col min="31" max="31" width="11.1796875" style="6" customWidth="1"/>
    <col min="32" max="32" width="13.7265625" style="6" customWidth="1"/>
    <col min="33" max="33" width="16.81640625" style="6" customWidth="1"/>
    <col min="34" max="41" width="8.7265625" style="6"/>
    <col min="42" max="42" width="11.90625" style="6" customWidth="1"/>
    <col min="43" max="16384" width="8.7265625" style="6"/>
  </cols>
  <sheetData>
    <row r="1" spans="1:47">
      <c r="A1" s="81" t="s">
        <v>544</v>
      </c>
      <c r="B1" s="81"/>
      <c r="C1" s="81"/>
    </row>
    <row r="2" spans="1:47">
      <c r="A2" s="1" t="s">
        <v>196</v>
      </c>
      <c r="B2" s="1" t="s">
        <v>18</v>
      </c>
      <c r="C2" s="1" t="s">
        <v>1</v>
      </c>
      <c r="D2" s="1" t="s">
        <v>2</v>
      </c>
      <c r="E2" s="1" t="s">
        <v>3</v>
      </c>
      <c r="F2" s="1" t="s">
        <v>48</v>
      </c>
      <c r="G2" s="1" t="s">
        <v>49</v>
      </c>
      <c r="H2" s="1" t="s">
        <v>50</v>
      </c>
      <c r="I2" s="1" t="s">
        <v>114</v>
      </c>
      <c r="J2" s="1" t="s">
        <v>115</v>
      </c>
      <c r="K2" s="1" t="s">
        <v>116</v>
      </c>
      <c r="L2" s="1" t="s">
        <v>117</v>
      </c>
      <c r="M2" s="1" t="s">
        <v>118</v>
      </c>
      <c r="N2" s="1" t="s">
        <v>119</v>
      </c>
      <c r="O2" s="1" t="s">
        <v>51</v>
      </c>
      <c r="P2" s="1" t="s">
        <v>52</v>
      </c>
      <c r="Q2" s="1" t="s">
        <v>110</v>
      </c>
      <c r="R2" s="1" t="s">
        <v>109</v>
      </c>
      <c r="S2" s="1" t="s">
        <v>378</v>
      </c>
      <c r="T2" s="1" t="s">
        <v>108</v>
      </c>
      <c r="U2" s="1" t="s">
        <v>120</v>
      </c>
      <c r="V2" s="1" t="s">
        <v>121</v>
      </c>
      <c r="W2" s="1" t="s">
        <v>122</v>
      </c>
      <c r="X2" s="1" t="s">
        <v>7</v>
      </c>
      <c r="Y2" s="1" t="s">
        <v>8</v>
      </c>
      <c r="Z2" s="1" t="s">
        <v>9</v>
      </c>
      <c r="AA2" s="1" t="s">
        <v>10</v>
      </c>
      <c r="AB2" s="1" t="s">
        <v>11</v>
      </c>
      <c r="AC2" s="1" t="s">
        <v>12</v>
      </c>
      <c r="AD2" s="1" t="s">
        <v>13</v>
      </c>
      <c r="AE2" s="1" t="s">
        <v>14</v>
      </c>
      <c r="AF2" s="1" t="s">
        <v>15</v>
      </c>
      <c r="AG2" s="1" t="s">
        <v>460</v>
      </c>
      <c r="AH2" s="1" t="s">
        <v>16</v>
      </c>
      <c r="AI2" s="1" t="s">
        <v>17</v>
      </c>
      <c r="AJ2" s="1" t="s">
        <v>107</v>
      </c>
      <c r="AK2" s="1" t="s">
        <v>134</v>
      </c>
      <c r="AL2" s="1" t="s">
        <v>136</v>
      </c>
      <c r="AM2" s="1" t="s">
        <v>135</v>
      </c>
      <c r="AN2" s="1" t="s">
        <v>106</v>
      </c>
      <c r="AO2" s="1" t="s">
        <v>459</v>
      </c>
      <c r="AP2" s="1" t="s">
        <v>461</v>
      </c>
      <c r="AQ2" s="1" t="s">
        <v>462</v>
      </c>
      <c r="AR2" s="1" t="s">
        <v>465</v>
      </c>
      <c r="AS2" s="1" t="s">
        <v>464</v>
      </c>
      <c r="AT2" s="1" t="s">
        <v>463</v>
      </c>
      <c r="AU2" s="1" t="s">
        <v>466</v>
      </c>
    </row>
    <row r="3" spans="1:47">
      <c r="A3" s="6" t="s">
        <v>240</v>
      </c>
      <c r="B3" s="6">
        <v>0</v>
      </c>
      <c r="C3" s="6">
        <v>27.64</v>
      </c>
      <c r="D3" s="6">
        <v>0.18</v>
      </c>
      <c r="E3" s="6">
        <v>1.04</v>
      </c>
      <c r="F3" s="6">
        <v>0.16</v>
      </c>
      <c r="G3" s="6">
        <v>0.45</v>
      </c>
      <c r="H3" s="6">
        <v>0</v>
      </c>
      <c r="I3" s="6">
        <f t="shared" ref="I3:I11" si="0">C3*26.98/101.96</f>
        <v>7.3139191839937236</v>
      </c>
      <c r="J3" s="6">
        <f t="shared" ref="J3:J11" si="1">D3*24.305/40.3044</f>
        <v>0.10854646142852888</v>
      </c>
      <c r="K3" s="6">
        <f t="shared" ref="K3:K11" si="2">E3*79.866/47.867</f>
        <v>1.7352380554452966</v>
      </c>
      <c r="L3" s="6">
        <f t="shared" ref="L3:L11" si="3">F3*40.078/56.0774</f>
        <v>0.11435052267045193</v>
      </c>
      <c r="M3" s="6">
        <f t="shared" ref="M3:M11" si="4">G3*39.0983/94.2</f>
        <v>0.18677531847133758</v>
      </c>
      <c r="N3" s="6">
        <f t="shared" ref="N3:N11" si="5">H3*22.989769/61.9789</f>
        <v>0</v>
      </c>
      <c r="O3" s="6">
        <f t="shared" ref="O3:O11" si="6">100*(I3/(I3+L3+M3+N3))</f>
        <v>96.045645952875631</v>
      </c>
      <c r="P3" s="6">
        <f t="shared" ref="P3:P11" si="7">100*(I3/(I3+L3+N3))</f>
        <v>98.460603516215045</v>
      </c>
      <c r="Q3" s="6">
        <v>111.5</v>
      </c>
      <c r="R3" s="6">
        <v>7</v>
      </c>
      <c r="S3" s="6">
        <v>16</v>
      </c>
      <c r="T3" s="6">
        <v>42.9</v>
      </c>
      <c r="U3" s="6">
        <f>Q3/10000</f>
        <v>1.115E-2</v>
      </c>
      <c r="V3" s="6">
        <f>R3/10000</f>
        <v>6.9999999999999999E-4</v>
      </c>
      <c r="W3" s="6">
        <f>T3/10000</f>
        <v>4.2899999999999995E-3</v>
      </c>
      <c r="X3" s="6">
        <f>I3/I51-1</f>
        <v>0.66172344689378759</v>
      </c>
      <c r="Y3" s="6">
        <f>J3/J51-1</f>
        <v>-0.97509225092250928</v>
      </c>
      <c r="Z3" s="6">
        <f>K3/K51-1</f>
        <v>0.62500000000000022</v>
      </c>
      <c r="AA3" s="6">
        <f t="shared" ref="AA3:AA11" si="8">Y3/-0.61</f>
        <v>1.598511886758212</v>
      </c>
      <c r="AB3" s="6">
        <f t="shared" ref="AB3:AB11" si="9">AA3*0.0032</f>
        <v>5.1152380376262782E-3</v>
      </c>
      <c r="AC3" s="6">
        <f t="shared" ref="AC3:AC11" si="10">AA3*0.000044</f>
        <v>7.0334523017361321E-5</v>
      </c>
      <c r="AD3" s="6">
        <f>I51*(100-AB3)/100</f>
        <v>4.4011806376618106</v>
      </c>
      <c r="AE3" s="6">
        <f>K51*(100-AC3)/100</f>
        <v>1.0678380522916227</v>
      </c>
      <c r="AF3" s="6">
        <f t="shared" ref="AF3:AF11" si="11">AD3/AE3</f>
        <v>4.1215806350192361</v>
      </c>
      <c r="AG3" s="6">
        <f>AF3/AH51-1</f>
        <v>-5.0449070629232651E-5</v>
      </c>
      <c r="AH3" s="6">
        <f t="shared" ref="AH3:AH11" si="12">I3/K3</f>
        <v>4.2149370577956962</v>
      </c>
      <c r="AI3" s="6">
        <f t="shared" ref="AI3:AI11" si="13">J3/K3</f>
        <v>6.2554219052482513E-2</v>
      </c>
      <c r="AJ3" s="6">
        <f>L3/K3</f>
        <v>6.5899040371787662E-2</v>
      </c>
      <c r="AK3" s="6">
        <f>U3/K3</f>
        <v>6.4256313218872367E-3</v>
      </c>
      <c r="AL3" s="6">
        <f>V3/K3</f>
        <v>4.034028632574947E-4</v>
      </c>
      <c r="AM3" s="6">
        <f>W3/K3</f>
        <v>2.4722832619637888E-3</v>
      </c>
      <c r="AN3" s="6">
        <f>W3/V3</f>
        <v>6.1285714285714281</v>
      </c>
      <c r="AO3" s="6">
        <f t="shared" ref="AO3:AU3" si="14">AH3/AH51-1</f>
        <v>2.2599044242330724E-2</v>
      </c>
      <c r="AP3" s="6">
        <f t="shared" si="14"/>
        <v>-0.98467215441385181</v>
      </c>
      <c r="AQ3" s="6">
        <f t="shared" si="14"/>
        <v>-0.98411910669975189</v>
      </c>
      <c r="AR3" s="6">
        <f t="shared" si="14"/>
        <v>0.72834721953109804</v>
      </c>
      <c r="AS3" s="6">
        <f t="shared" si="14"/>
        <v>0.19658119658119633</v>
      </c>
      <c r="AT3" s="6">
        <f t="shared" si="14"/>
        <v>-0.5018867924528303</v>
      </c>
      <c r="AU3" s="6">
        <f t="shared" si="14"/>
        <v>-0.58371967654986523</v>
      </c>
    </row>
    <row r="4" spans="1:47">
      <c r="A4" s="6" t="s">
        <v>240</v>
      </c>
      <c r="B4" s="6">
        <v>0</v>
      </c>
      <c r="C4" s="6">
        <v>27.64</v>
      </c>
      <c r="D4" s="6">
        <v>0.18</v>
      </c>
      <c r="E4" s="6">
        <v>1.04</v>
      </c>
      <c r="F4" s="6">
        <v>0.16</v>
      </c>
      <c r="G4" s="6">
        <v>0.45</v>
      </c>
      <c r="H4" s="6">
        <v>0</v>
      </c>
      <c r="I4" s="6">
        <f t="shared" si="0"/>
        <v>7.3139191839937236</v>
      </c>
      <c r="J4" s="6">
        <f t="shared" si="1"/>
        <v>0.10854646142852888</v>
      </c>
      <c r="K4" s="6">
        <f t="shared" si="2"/>
        <v>1.7352380554452966</v>
      </c>
      <c r="L4" s="6">
        <f t="shared" si="3"/>
        <v>0.11435052267045193</v>
      </c>
      <c r="M4" s="6">
        <f t="shared" si="4"/>
        <v>0.18677531847133758</v>
      </c>
      <c r="N4" s="6">
        <f t="shared" si="5"/>
        <v>0</v>
      </c>
      <c r="O4" s="6">
        <f t="shared" si="6"/>
        <v>96.045645952875631</v>
      </c>
      <c r="P4" s="6">
        <f t="shared" si="7"/>
        <v>98.460603516215045</v>
      </c>
      <c r="Q4" s="6">
        <v>111.5</v>
      </c>
      <c r="R4" s="6">
        <v>7</v>
      </c>
      <c r="S4" s="6">
        <v>16</v>
      </c>
      <c r="T4" s="6">
        <v>42.9</v>
      </c>
      <c r="U4" s="6">
        <f t="shared" ref="U4:U51" si="15">Q4/10000</f>
        <v>1.115E-2</v>
      </c>
      <c r="V4" s="6">
        <f t="shared" ref="V4:V51" si="16">R4/10000</f>
        <v>6.9999999999999999E-4</v>
      </c>
      <c r="W4" s="6">
        <f t="shared" ref="W4:W51" si="17">T4/10000</f>
        <v>4.2899999999999995E-3</v>
      </c>
      <c r="X4" s="6">
        <f>I4/I51-1</f>
        <v>0.66172344689378759</v>
      </c>
      <c r="Y4" s="6">
        <f>J4/J51-1</f>
        <v>-0.97509225092250928</v>
      </c>
      <c r="Z4" s="6">
        <f>K4/K51-1</f>
        <v>0.62500000000000022</v>
      </c>
      <c r="AA4" s="6">
        <f t="shared" si="8"/>
        <v>1.598511886758212</v>
      </c>
      <c r="AB4" s="6">
        <f t="shared" si="9"/>
        <v>5.1152380376262782E-3</v>
      </c>
      <c r="AC4" s="6">
        <f t="shared" si="10"/>
        <v>7.0334523017361321E-5</v>
      </c>
      <c r="AD4" s="6">
        <f>I51*(100-AB4)/100</f>
        <v>4.4011806376618106</v>
      </c>
      <c r="AE4" s="6">
        <f>K51*(100-AC4)/100</f>
        <v>1.0678380522916227</v>
      </c>
      <c r="AF4" s="6">
        <f t="shared" si="11"/>
        <v>4.1215806350192361</v>
      </c>
      <c r="AG4" s="6">
        <f>AF4/AH51-1</f>
        <v>-5.0449070629232651E-5</v>
      </c>
      <c r="AH4" s="6">
        <f t="shared" si="12"/>
        <v>4.2149370577956962</v>
      </c>
      <c r="AI4" s="6">
        <f t="shared" si="13"/>
        <v>6.2554219052482513E-2</v>
      </c>
      <c r="AJ4" s="6">
        <f t="shared" ref="AJ4:AJ51" si="18">L4/K4</f>
        <v>6.5899040371787662E-2</v>
      </c>
      <c r="AK4" s="6">
        <f t="shared" ref="AK4:AK51" si="19">U4/K4</f>
        <v>6.4256313218872367E-3</v>
      </c>
      <c r="AL4" s="6">
        <f t="shared" ref="AL4:AL51" si="20">V4/K4</f>
        <v>4.034028632574947E-4</v>
      </c>
      <c r="AM4" s="6">
        <f t="shared" ref="AM4:AM51" si="21">W4/K4</f>
        <v>2.4722832619637888E-3</v>
      </c>
      <c r="AN4" s="6">
        <f t="shared" ref="AN4:AN51" si="22">W4/V4</f>
        <v>6.1285714285714281</v>
      </c>
      <c r="AO4" s="6">
        <f t="shared" ref="AO4:AU4" si="23">AH4/AH51-1</f>
        <v>2.2599044242330724E-2</v>
      </c>
      <c r="AP4" s="6">
        <f t="shared" si="23"/>
        <v>-0.98467215441385181</v>
      </c>
      <c r="AQ4" s="6">
        <f t="shared" si="23"/>
        <v>-0.98411910669975189</v>
      </c>
      <c r="AR4" s="6">
        <f t="shared" si="23"/>
        <v>0.72834721953109804</v>
      </c>
      <c r="AS4" s="6">
        <f t="shared" si="23"/>
        <v>0.19658119658119633</v>
      </c>
      <c r="AT4" s="6">
        <f t="shared" si="23"/>
        <v>-0.5018867924528303</v>
      </c>
      <c r="AU4" s="6">
        <f t="shared" si="23"/>
        <v>-0.58371967654986523</v>
      </c>
    </row>
    <row r="5" spans="1:47">
      <c r="A5" s="6" t="s">
        <v>240</v>
      </c>
      <c r="B5" s="6">
        <v>5</v>
      </c>
      <c r="C5" s="6">
        <v>27.81</v>
      </c>
      <c r="D5" s="6">
        <v>0.15</v>
      </c>
      <c r="E5" s="6">
        <v>0.99</v>
      </c>
      <c r="F5" s="6">
        <v>0.13</v>
      </c>
      <c r="G5" s="6">
        <v>0.39</v>
      </c>
      <c r="H5" s="6">
        <v>0.04</v>
      </c>
      <c r="I5" s="6">
        <f t="shared" si="0"/>
        <v>7.3589034915653206</v>
      </c>
      <c r="J5" s="6">
        <f t="shared" si="1"/>
        <v>9.0455384523774066E-2</v>
      </c>
      <c r="K5" s="6">
        <f t="shared" si="2"/>
        <v>1.6518131489335033</v>
      </c>
      <c r="L5" s="6">
        <f t="shared" si="3"/>
        <v>9.2909799669742194E-2</v>
      </c>
      <c r="M5" s="6">
        <f t="shared" si="4"/>
        <v>0.16187194267515925</v>
      </c>
      <c r="N5" s="6">
        <f t="shared" si="5"/>
        <v>1.4837158452311995E-2</v>
      </c>
      <c r="O5" s="6">
        <f t="shared" si="6"/>
        <v>96.465647121031623</v>
      </c>
      <c r="P5" s="6">
        <f t="shared" si="7"/>
        <v>98.556957248125016</v>
      </c>
      <c r="Q5" s="6">
        <v>85.2</v>
      </c>
      <c r="R5" s="6">
        <v>4.5999999999999996</v>
      </c>
      <c r="S5" s="6">
        <v>14.7</v>
      </c>
      <c r="T5" s="6">
        <v>41.8</v>
      </c>
      <c r="U5" s="6">
        <f t="shared" si="15"/>
        <v>8.5199999999999998E-3</v>
      </c>
      <c r="V5" s="6">
        <f t="shared" si="16"/>
        <v>4.5999999999999996E-4</v>
      </c>
      <c r="W5" s="6">
        <f t="shared" si="17"/>
        <v>4.1799999999999997E-3</v>
      </c>
      <c r="X5" s="6">
        <f>I5/I51-1</f>
        <v>0.67194388777555103</v>
      </c>
      <c r="Y5" s="6">
        <f>J5/J51-1</f>
        <v>-0.97924354243542433</v>
      </c>
      <c r="Z5" s="6">
        <f>K5/K51-1</f>
        <v>0.546875</v>
      </c>
      <c r="AA5" s="6">
        <f t="shared" si="8"/>
        <v>1.6053172826810236</v>
      </c>
      <c r="AB5" s="6">
        <f t="shared" si="9"/>
        <v>5.1370153045792758E-3</v>
      </c>
      <c r="AC5" s="6">
        <f t="shared" si="10"/>
        <v>7.0633960437965039E-5</v>
      </c>
      <c r="AD5" s="6">
        <f>I51*(100-AB5)/100</f>
        <v>4.4011796791559252</v>
      </c>
      <c r="AE5" s="6">
        <f>K51*(100-AC5)/100</f>
        <v>1.0678380490941137</v>
      </c>
      <c r="AF5" s="6">
        <f t="shared" si="11"/>
        <v>4.1215797497472657</v>
      </c>
      <c r="AG5" s="6">
        <f>AF5/AH51-1</f>
        <v>-5.0663849227028379E-5</v>
      </c>
      <c r="AH5" s="6">
        <f t="shared" si="12"/>
        <v>4.4550459574175276</v>
      </c>
      <c r="AI5" s="6">
        <f t="shared" si="13"/>
        <v>5.4761269204193455E-2</v>
      </c>
      <c r="AJ5" s="6">
        <f t="shared" si="18"/>
        <v>5.6247160721374333E-2</v>
      </c>
      <c r="AK5" s="6">
        <f t="shared" si="19"/>
        <v>5.1579683849235346E-3</v>
      </c>
      <c r="AL5" s="6">
        <f t="shared" si="20"/>
        <v>2.784818611578434E-4</v>
      </c>
      <c r="AM5" s="6">
        <f t="shared" si="21"/>
        <v>2.5305525644343163E-3</v>
      </c>
      <c r="AN5" s="6">
        <f t="shared" si="22"/>
        <v>9.0869565217391308</v>
      </c>
      <c r="AO5" s="6">
        <f t="shared" ref="AO5:AU5" si="24">AH5/AH51-1</f>
        <v>8.0852614319548266E-2</v>
      </c>
      <c r="AP5" s="6">
        <f t="shared" si="24"/>
        <v>-0.9865816839986582</v>
      </c>
      <c r="AQ5" s="6">
        <f t="shared" si="24"/>
        <v>-0.98644509612251552</v>
      </c>
      <c r="AR5" s="6">
        <f t="shared" si="24"/>
        <v>0.38737500954125625</v>
      </c>
      <c r="AS5" s="6">
        <f t="shared" si="24"/>
        <v>-0.17396184062850739</v>
      </c>
      <c r="AT5" s="6">
        <f t="shared" si="24"/>
        <v>-0.49014675052410905</v>
      </c>
      <c r="AU5" s="6">
        <f t="shared" si="24"/>
        <v>-0.38277276456111564</v>
      </c>
    </row>
    <row r="6" spans="1:47">
      <c r="A6" s="6" t="s">
        <v>240</v>
      </c>
      <c r="B6" s="6">
        <v>5</v>
      </c>
      <c r="C6" s="6">
        <v>27.81</v>
      </c>
      <c r="D6" s="6">
        <v>0.15</v>
      </c>
      <c r="E6" s="6">
        <v>0.99</v>
      </c>
      <c r="F6" s="6">
        <v>0.13</v>
      </c>
      <c r="G6" s="6">
        <v>0.39</v>
      </c>
      <c r="H6" s="6">
        <v>0.04</v>
      </c>
      <c r="I6" s="6">
        <f t="shared" si="0"/>
        <v>7.3589034915653206</v>
      </c>
      <c r="J6" s="6">
        <f t="shared" si="1"/>
        <v>9.0455384523774066E-2</v>
      </c>
      <c r="K6" s="6">
        <f t="shared" si="2"/>
        <v>1.6518131489335033</v>
      </c>
      <c r="L6" s="6">
        <f t="shared" si="3"/>
        <v>9.2909799669742194E-2</v>
      </c>
      <c r="M6" s="6">
        <f t="shared" si="4"/>
        <v>0.16187194267515925</v>
      </c>
      <c r="N6" s="6">
        <f t="shared" si="5"/>
        <v>1.4837158452311995E-2</v>
      </c>
      <c r="O6" s="6">
        <f t="shared" si="6"/>
        <v>96.465647121031623</v>
      </c>
      <c r="P6" s="6">
        <f t="shared" si="7"/>
        <v>98.556957248125016</v>
      </c>
      <c r="Q6" s="6">
        <v>85.2</v>
      </c>
      <c r="R6" s="6">
        <v>4.5999999999999996</v>
      </c>
      <c r="S6" s="6">
        <v>14.7</v>
      </c>
      <c r="T6" s="6">
        <v>41.8</v>
      </c>
      <c r="U6" s="6">
        <f t="shared" si="15"/>
        <v>8.5199999999999998E-3</v>
      </c>
      <c r="V6" s="6">
        <f t="shared" si="16"/>
        <v>4.5999999999999996E-4</v>
      </c>
      <c r="W6" s="6">
        <f t="shared" si="17"/>
        <v>4.1799999999999997E-3</v>
      </c>
      <c r="X6" s="6">
        <f>I6/I51-1</f>
        <v>0.67194388777555103</v>
      </c>
      <c r="Y6" s="6">
        <f>J6/J51-1</f>
        <v>-0.97924354243542433</v>
      </c>
      <c r="Z6" s="6">
        <f>K6/K51-1</f>
        <v>0.546875</v>
      </c>
      <c r="AA6" s="6">
        <f t="shared" si="8"/>
        <v>1.6053172826810236</v>
      </c>
      <c r="AB6" s="6">
        <f t="shared" si="9"/>
        <v>5.1370153045792758E-3</v>
      </c>
      <c r="AC6" s="6">
        <f t="shared" si="10"/>
        <v>7.0633960437965039E-5</v>
      </c>
      <c r="AD6" s="6">
        <f>I51*(100-AB6)/100</f>
        <v>4.4011796791559252</v>
      </c>
      <c r="AE6" s="6">
        <f>K51*(100-AC6)/100</f>
        <v>1.0678380490941137</v>
      </c>
      <c r="AF6" s="6">
        <f t="shared" si="11"/>
        <v>4.1215797497472657</v>
      </c>
      <c r="AG6" s="6">
        <f>AF6/AH51-1</f>
        <v>-5.0663849227028379E-5</v>
      </c>
      <c r="AH6" s="6">
        <f t="shared" si="12"/>
        <v>4.4550459574175276</v>
      </c>
      <c r="AI6" s="6">
        <f t="shared" si="13"/>
        <v>5.4761269204193455E-2</v>
      </c>
      <c r="AJ6" s="6">
        <f t="shared" si="18"/>
        <v>5.6247160721374333E-2</v>
      </c>
      <c r="AK6" s="6">
        <f t="shared" si="19"/>
        <v>5.1579683849235346E-3</v>
      </c>
      <c r="AL6" s="6">
        <f t="shared" si="20"/>
        <v>2.784818611578434E-4</v>
      </c>
      <c r="AM6" s="6">
        <f t="shared" si="21"/>
        <v>2.5305525644343163E-3</v>
      </c>
      <c r="AN6" s="6">
        <f t="shared" si="22"/>
        <v>9.0869565217391308</v>
      </c>
      <c r="AO6" s="6">
        <f t="shared" ref="AO6:AU6" si="25">AH6/AH51-1</f>
        <v>8.0852614319548266E-2</v>
      </c>
      <c r="AP6" s="6">
        <f t="shared" si="25"/>
        <v>-0.9865816839986582</v>
      </c>
      <c r="AQ6" s="6">
        <f t="shared" si="25"/>
        <v>-0.98644509612251552</v>
      </c>
      <c r="AR6" s="6">
        <f t="shared" si="25"/>
        <v>0.38737500954125625</v>
      </c>
      <c r="AS6" s="6">
        <f t="shared" si="25"/>
        <v>-0.17396184062850739</v>
      </c>
      <c r="AT6" s="6">
        <f t="shared" si="25"/>
        <v>-0.49014675052410905</v>
      </c>
      <c r="AU6" s="6">
        <f t="shared" si="25"/>
        <v>-0.38277276456111564</v>
      </c>
    </row>
    <row r="7" spans="1:47">
      <c r="A7" s="6" t="s">
        <v>240</v>
      </c>
      <c r="B7" s="6">
        <v>10</v>
      </c>
      <c r="C7" s="6">
        <v>28.97</v>
      </c>
      <c r="D7" s="6">
        <v>0.17</v>
      </c>
      <c r="E7" s="6">
        <v>0.96</v>
      </c>
      <c r="F7" s="6">
        <v>0.14000000000000001</v>
      </c>
      <c r="G7" s="6">
        <v>0.67</v>
      </c>
      <c r="H7" s="6">
        <v>0.01</v>
      </c>
      <c r="I7" s="6">
        <f t="shared" si="0"/>
        <v>7.66585523734798</v>
      </c>
      <c r="J7" s="6">
        <f t="shared" si="1"/>
        <v>0.10251610246027729</v>
      </c>
      <c r="K7" s="6">
        <f t="shared" si="2"/>
        <v>1.6017582050264274</v>
      </c>
      <c r="L7" s="6">
        <f t="shared" si="3"/>
        <v>0.10005670733664544</v>
      </c>
      <c r="M7" s="6">
        <f t="shared" si="4"/>
        <v>0.27808769639065822</v>
      </c>
      <c r="N7" s="6">
        <f t="shared" si="5"/>
        <v>3.7092896130779987E-3</v>
      </c>
      <c r="O7" s="6">
        <f t="shared" si="6"/>
        <v>95.25512544465596</v>
      </c>
      <c r="P7" s="6">
        <f t="shared" si="7"/>
        <v>98.664465180211536</v>
      </c>
      <c r="Q7" s="6">
        <v>63.3</v>
      </c>
      <c r="R7" s="6">
        <v>0</v>
      </c>
      <c r="S7" s="6">
        <v>22.9</v>
      </c>
      <c r="T7" s="6">
        <v>60.5</v>
      </c>
      <c r="U7" s="6">
        <f t="shared" si="15"/>
        <v>6.3299999999999997E-3</v>
      </c>
      <c r="V7" s="6">
        <f t="shared" si="16"/>
        <v>0</v>
      </c>
      <c r="W7" s="6">
        <f t="shared" si="17"/>
        <v>6.0499999999999998E-3</v>
      </c>
      <c r="X7" s="6">
        <f>I7/I51-1</f>
        <v>0.7416833667334668</v>
      </c>
      <c r="Y7" s="6">
        <f>J7/J51-1</f>
        <v>-0.97647601476014756</v>
      </c>
      <c r="Z7" s="6">
        <f>K7/K51-1</f>
        <v>0.5</v>
      </c>
      <c r="AA7" s="6">
        <f t="shared" si="8"/>
        <v>1.6007803520658157</v>
      </c>
      <c r="AB7" s="6">
        <f t="shared" si="9"/>
        <v>5.1224971266106102E-3</v>
      </c>
      <c r="AC7" s="6">
        <f t="shared" si="10"/>
        <v>7.0434335490895885E-5</v>
      </c>
      <c r="AD7" s="6">
        <f>I51*(100-AB7)/100</f>
        <v>4.4011803181598488</v>
      </c>
      <c r="AE7" s="6">
        <f>K51*(100-AC7)/100</f>
        <v>1.0678380512257863</v>
      </c>
      <c r="AF7" s="6">
        <f t="shared" si="11"/>
        <v>4.1215803399285802</v>
      </c>
      <c r="AG7" s="6">
        <f>AF7/AH51-1</f>
        <v>-5.0520663494979523E-5</v>
      </c>
      <c r="AH7" s="6">
        <f t="shared" si="12"/>
        <v>4.7859004020032483</v>
      </c>
      <c r="AI7" s="6">
        <f t="shared" si="13"/>
        <v>6.4002233382401102E-2</v>
      </c>
      <c r="AJ7" s="6">
        <f t="shared" si="18"/>
        <v>6.2466798685757073E-2</v>
      </c>
      <c r="AK7" s="6">
        <f t="shared" si="19"/>
        <v>3.9519073354118148E-3</v>
      </c>
      <c r="AL7" s="6">
        <f t="shared" si="20"/>
        <v>0</v>
      </c>
      <c r="AM7" s="6">
        <f t="shared" si="21"/>
        <v>3.7770994280002337E-3</v>
      </c>
      <c r="AN7" s="6" t="s">
        <v>137</v>
      </c>
      <c r="AO7" s="6">
        <f t="shared" ref="AO7:AU7" si="26">AH7/AH51-1</f>
        <v>0.16112224448897816</v>
      </c>
      <c r="AP7" s="6">
        <f t="shared" si="26"/>
        <v>-0.98431734317343178</v>
      </c>
      <c r="AQ7" s="6">
        <f t="shared" si="26"/>
        <v>-0.98494623655913982</v>
      </c>
      <c r="AR7" s="6">
        <f t="shared" si="26"/>
        <v>6.2972292191435741E-2</v>
      </c>
      <c r="AS7" s="6">
        <f t="shared" si="26"/>
        <v>-1</v>
      </c>
      <c r="AT7" s="6">
        <f t="shared" si="26"/>
        <v>-0.23899371069182385</v>
      </c>
      <c r="AU7" s="6" t="e">
        <f t="shared" si="26"/>
        <v>#VALUE!</v>
      </c>
    </row>
    <row r="8" spans="1:47">
      <c r="A8" s="6" t="s">
        <v>240</v>
      </c>
      <c r="B8" s="6">
        <v>10</v>
      </c>
      <c r="C8" s="6">
        <v>28.97</v>
      </c>
      <c r="D8" s="6">
        <v>0.17</v>
      </c>
      <c r="E8" s="6">
        <v>0.96</v>
      </c>
      <c r="F8" s="6">
        <v>0.14000000000000001</v>
      </c>
      <c r="G8" s="6">
        <v>0.67</v>
      </c>
      <c r="H8" s="6">
        <v>0.01</v>
      </c>
      <c r="I8" s="6">
        <f t="shared" si="0"/>
        <v>7.66585523734798</v>
      </c>
      <c r="J8" s="6">
        <f t="shared" si="1"/>
        <v>0.10251610246027729</v>
      </c>
      <c r="K8" s="6">
        <f t="shared" si="2"/>
        <v>1.6017582050264274</v>
      </c>
      <c r="L8" s="6">
        <f t="shared" si="3"/>
        <v>0.10005670733664544</v>
      </c>
      <c r="M8" s="6">
        <f t="shared" si="4"/>
        <v>0.27808769639065822</v>
      </c>
      <c r="N8" s="6">
        <f t="shared" si="5"/>
        <v>3.7092896130779987E-3</v>
      </c>
      <c r="O8" s="6">
        <f t="shared" si="6"/>
        <v>95.25512544465596</v>
      </c>
      <c r="P8" s="6">
        <f t="shared" si="7"/>
        <v>98.664465180211536</v>
      </c>
      <c r="Q8" s="6">
        <v>63.3</v>
      </c>
      <c r="R8" s="6">
        <v>0</v>
      </c>
      <c r="S8" s="6">
        <v>22.9</v>
      </c>
      <c r="T8" s="6">
        <v>60.5</v>
      </c>
      <c r="U8" s="6">
        <f t="shared" si="15"/>
        <v>6.3299999999999997E-3</v>
      </c>
      <c r="V8" s="6">
        <f t="shared" si="16"/>
        <v>0</v>
      </c>
      <c r="W8" s="6">
        <f t="shared" si="17"/>
        <v>6.0499999999999998E-3</v>
      </c>
      <c r="X8" s="6">
        <f>I8/I51-1</f>
        <v>0.7416833667334668</v>
      </c>
      <c r="Y8" s="6">
        <f>J8/J51-1</f>
        <v>-0.97647601476014756</v>
      </c>
      <c r="Z8" s="6">
        <f>K8/K51-1</f>
        <v>0.5</v>
      </c>
      <c r="AA8" s="6">
        <f t="shared" si="8"/>
        <v>1.6007803520658157</v>
      </c>
      <c r="AB8" s="6">
        <f t="shared" si="9"/>
        <v>5.1224971266106102E-3</v>
      </c>
      <c r="AC8" s="6">
        <f t="shared" si="10"/>
        <v>7.0434335490895885E-5</v>
      </c>
      <c r="AD8" s="6">
        <f>I51*(100-AB8)/100</f>
        <v>4.4011803181598488</v>
      </c>
      <c r="AE8" s="6">
        <f>K51*(100-AC8)/100</f>
        <v>1.0678380512257863</v>
      </c>
      <c r="AF8" s="6">
        <f t="shared" si="11"/>
        <v>4.1215803399285802</v>
      </c>
      <c r="AG8" s="6">
        <f>AF8/AH51-1</f>
        <v>-5.0520663494979523E-5</v>
      </c>
      <c r="AH8" s="6">
        <f t="shared" si="12"/>
        <v>4.7859004020032483</v>
      </c>
      <c r="AI8" s="6">
        <f t="shared" si="13"/>
        <v>6.4002233382401102E-2</v>
      </c>
      <c r="AJ8" s="6">
        <f t="shared" si="18"/>
        <v>6.2466798685757073E-2</v>
      </c>
      <c r="AK8" s="6">
        <f t="shared" si="19"/>
        <v>3.9519073354118148E-3</v>
      </c>
      <c r="AL8" s="6">
        <f t="shared" si="20"/>
        <v>0</v>
      </c>
      <c r="AM8" s="6">
        <f t="shared" si="21"/>
        <v>3.7770994280002337E-3</v>
      </c>
      <c r="AN8" s="6" t="s">
        <v>137</v>
      </c>
      <c r="AO8" s="6">
        <f t="shared" ref="AO8:AU8" si="27">AH8/AH51-1</f>
        <v>0.16112224448897816</v>
      </c>
      <c r="AP8" s="6">
        <f t="shared" si="27"/>
        <v>-0.98431734317343178</v>
      </c>
      <c r="AQ8" s="6">
        <f t="shared" si="27"/>
        <v>-0.98494623655913982</v>
      </c>
      <c r="AR8" s="6">
        <f t="shared" si="27"/>
        <v>6.2972292191435741E-2</v>
      </c>
      <c r="AS8" s="6">
        <f t="shared" si="27"/>
        <v>-1</v>
      </c>
      <c r="AT8" s="6">
        <f t="shared" si="27"/>
        <v>-0.23899371069182385</v>
      </c>
      <c r="AU8" s="6" t="e">
        <f t="shared" si="27"/>
        <v>#VALUE!</v>
      </c>
    </row>
    <row r="9" spans="1:47">
      <c r="A9" s="6" t="s">
        <v>240</v>
      </c>
      <c r="B9" s="6">
        <v>20</v>
      </c>
      <c r="C9" s="6">
        <v>29.26</v>
      </c>
      <c r="D9" s="6">
        <v>0.2</v>
      </c>
      <c r="E9" s="6">
        <v>1.1499999999999999</v>
      </c>
      <c r="F9" s="6">
        <v>0.14000000000000001</v>
      </c>
      <c r="G9" s="6">
        <v>0.94</v>
      </c>
      <c r="H9" s="6">
        <v>0.1</v>
      </c>
      <c r="I9" s="6">
        <f t="shared" si="0"/>
        <v>7.7425931737936464</v>
      </c>
      <c r="J9" s="6">
        <f t="shared" si="1"/>
        <v>0.12060717936503212</v>
      </c>
      <c r="K9" s="6">
        <f t="shared" si="2"/>
        <v>1.9187728497712411</v>
      </c>
      <c r="L9" s="6">
        <f t="shared" si="3"/>
        <v>0.10005670733664544</v>
      </c>
      <c r="M9" s="6">
        <f t="shared" si="4"/>
        <v>0.39015288747346066</v>
      </c>
      <c r="N9" s="6">
        <f t="shared" si="5"/>
        <v>3.7092896130779991E-2</v>
      </c>
      <c r="O9" s="6">
        <f t="shared" si="6"/>
        <v>93.623831396211301</v>
      </c>
      <c r="P9" s="6">
        <f t="shared" si="7"/>
        <v>98.259465983290667</v>
      </c>
      <c r="Q9" s="6">
        <v>75</v>
      </c>
      <c r="R9" s="6">
        <v>6</v>
      </c>
      <c r="S9" s="6">
        <v>30.8</v>
      </c>
      <c r="T9" s="6">
        <v>65.599999999999994</v>
      </c>
      <c r="U9" s="6">
        <f t="shared" si="15"/>
        <v>7.4999999999999997E-3</v>
      </c>
      <c r="V9" s="6">
        <f t="shared" si="16"/>
        <v>5.9999999999999995E-4</v>
      </c>
      <c r="W9" s="6">
        <f t="shared" si="17"/>
        <v>6.5599999999999999E-3</v>
      </c>
      <c r="X9" s="6">
        <f>I9/I51-1</f>
        <v>0.75911823647294607</v>
      </c>
      <c r="Y9" s="6">
        <f>J9/J51-1</f>
        <v>-0.97232472324723251</v>
      </c>
      <c r="Z9" s="6">
        <f>K9/K51-1</f>
        <v>0.796875</v>
      </c>
      <c r="AA9" s="6">
        <f t="shared" si="8"/>
        <v>1.5939749561430041</v>
      </c>
      <c r="AB9" s="6">
        <f t="shared" si="9"/>
        <v>5.1007198596576134E-3</v>
      </c>
      <c r="AC9" s="6">
        <f t="shared" si="10"/>
        <v>7.0134898070292181E-5</v>
      </c>
      <c r="AD9" s="6">
        <f>I51*(100-AB9)/100</f>
        <v>4.4011812766657359</v>
      </c>
      <c r="AE9" s="6">
        <f>K51*(100-AC9)/100</f>
        <v>1.0678380544232953</v>
      </c>
      <c r="AF9" s="6">
        <f t="shared" si="11"/>
        <v>4.1215812252005488</v>
      </c>
      <c r="AG9" s="6">
        <f>AF9/AH51-1</f>
        <v>-5.0305884897627884E-5</v>
      </c>
      <c r="AH9" s="6">
        <f t="shared" si="12"/>
        <v>4.0351796590809226</v>
      </c>
      <c r="AI9" s="6">
        <f t="shared" si="13"/>
        <v>6.2856413347422077E-2</v>
      </c>
      <c r="AJ9" s="6">
        <f t="shared" si="18"/>
        <v>5.2146197163762426E-2</v>
      </c>
      <c r="AK9" s="6">
        <f t="shared" si="19"/>
        <v>3.9087482402589552E-3</v>
      </c>
      <c r="AL9" s="6">
        <f t="shared" si="20"/>
        <v>3.1269985922071644E-4</v>
      </c>
      <c r="AM9" s="6">
        <f t="shared" si="21"/>
        <v>3.4188517941465E-3</v>
      </c>
      <c r="AN9" s="6">
        <f t="shared" si="22"/>
        <v>10.933333333333334</v>
      </c>
      <c r="AO9" s="6">
        <f t="shared" ref="AO9:AU9" si="28">AH9/AH51-1</f>
        <v>-2.1012459702012376E-2</v>
      </c>
      <c r="AP9" s="6">
        <f t="shared" si="28"/>
        <v>-0.98459810685063376</v>
      </c>
      <c r="AQ9" s="6">
        <f t="shared" si="28"/>
        <v>-0.98743338008415149</v>
      </c>
      <c r="AR9" s="6">
        <f t="shared" si="28"/>
        <v>5.1363487022231702E-2</v>
      </c>
      <c r="AS9" s="6">
        <f t="shared" si="28"/>
        <v>-7.2463768115942018E-2</v>
      </c>
      <c r="AT9" s="6">
        <f t="shared" si="28"/>
        <v>-0.31117309269893345</v>
      </c>
      <c r="AU9" s="6">
        <f t="shared" si="28"/>
        <v>-0.25735849056603766</v>
      </c>
    </row>
    <row r="10" spans="1:47">
      <c r="A10" s="6" t="s">
        <v>240</v>
      </c>
      <c r="B10" s="6">
        <v>20</v>
      </c>
      <c r="C10" s="6">
        <v>29.26</v>
      </c>
      <c r="D10" s="6">
        <v>0.2</v>
      </c>
      <c r="E10" s="6">
        <v>1.1499999999999999</v>
      </c>
      <c r="F10" s="6">
        <v>0.14000000000000001</v>
      </c>
      <c r="G10" s="6">
        <v>0.94</v>
      </c>
      <c r="H10" s="6">
        <v>0.1</v>
      </c>
      <c r="I10" s="6">
        <f t="shared" si="0"/>
        <v>7.7425931737936464</v>
      </c>
      <c r="J10" s="6">
        <f t="shared" si="1"/>
        <v>0.12060717936503212</v>
      </c>
      <c r="K10" s="6">
        <f t="shared" si="2"/>
        <v>1.9187728497712411</v>
      </c>
      <c r="L10" s="6">
        <f t="shared" si="3"/>
        <v>0.10005670733664544</v>
      </c>
      <c r="M10" s="6">
        <f t="shared" si="4"/>
        <v>0.39015288747346066</v>
      </c>
      <c r="N10" s="6">
        <f t="shared" si="5"/>
        <v>3.7092896130779991E-2</v>
      </c>
      <c r="O10" s="6">
        <f t="shared" si="6"/>
        <v>93.623831396211301</v>
      </c>
      <c r="P10" s="6">
        <f t="shared" si="7"/>
        <v>98.259465983290667</v>
      </c>
      <c r="Q10" s="6">
        <v>75</v>
      </c>
      <c r="R10" s="6">
        <v>6</v>
      </c>
      <c r="S10" s="6">
        <v>30.8</v>
      </c>
      <c r="T10" s="6">
        <v>65.599999999999994</v>
      </c>
      <c r="U10" s="6">
        <f t="shared" si="15"/>
        <v>7.4999999999999997E-3</v>
      </c>
      <c r="V10" s="6">
        <f t="shared" si="16"/>
        <v>5.9999999999999995E-4</v>
      </c>
      <c r="W10" s="6">
        <f t="shared" si="17"/>
        <v>6.5599999999999999E-3</v>
      </c>
      <c r="X10" s="6">
        <f>I10/I51-1</f>
        <v>0.75911823647294607</v>
      </c>
      <c r="Y10" s="6">
        <f>J10/J51-1</f>
        <v>-0.97232472324723251</v>
      </c>
      <c r="Z10" s="6">
        <f>K10/K51-1</f>
        <v>0.796875</v>
      </c>
      <c r="AA10" s="6">
        <f t="shared" si="8"/>
        <v>1.5939749561430041</v>
      </c>
      <c r="AB10" s="6">
        <f t="shared" si="9"/>
        <v>5.1007198596576134E-3</v>
      </c>
      <c r="AC10" s="6">
        <f t="shared" si="10"/>
        <v>7.0134898070292181E-5</v>
      </c>
      <c r="AD10" s="6">
        <f>I51*(100-AB10)/100</f>
        <v>4.4011812766657359</v>
      </c>
      <c r="AE10" s="6">
        <f>K51*(100-AC10)/100</f>
        <v>1.0678380544232953</v>
      </c>
      <c r="AF10" s="6">
        <f t="shared" si="11"/>
        <v>4.1215812252005488</v>
      </c>
      <c r="AG10" s="6">
        <f>AF10/AH51-1</f>
        <v>-5.0305884897627884E-5</v>
      </c>
      <c r="AH10" s="6">
        <f t="shared" si="12"/>
        <v>4.0351796590809226</v>
      </c>
      <c r="AI10" s="6">
        <f t="shared" si="13"/>
        <v>6.2856413347422077E-2</v>
      </c>
      <c r="AJ10" s="6">
        <f t="shared" si="18"/>
        <v>5.2146197163762426E-2</v>
      </c>
      <c r="AK10" s="6">
        <f t="shared" si="19"/>
        <v>3.9087482402589552E-3</v>
      </c>
      <c r="AL10" s="6">
        <f t="shared" si="20"/>
        <v>3.1269985922071644E-4</v>
      </c>
      <c r="AM10" s="6">
        <f t="shared" si="21"/>
        <v>3.4188517941465E-3</v>
      </c>
      <c r="AN10" s="6">
        <f t="shared" si="22"/>
        <v>10.933333333333334</v>
      </c>
      <c r="AO10" s="6">
        <f t="shared" ref="AO10:AU10" si="29">AH10/AH51-1</f>
        <v>-2.1012459702012376E-2</v>
      </c>
      <c r="AP10" s="6">
        <f t="shared" si="29"/>
        <v>-0.98459810685063376</v>
      </c>
      <c r="AQ10" s="6">
        <f t="shared" si="29"/>
        <v>-0.98743338008415149</v>
      </c>
      <c r="AR10" s="6">
        <f t="shared" si="29"/>
        <v>5.1363487022231702E-2</v>
      </c>
      <c r="AS10" s="6">
        <f t="shared" si="29"/>
        <v>-7.2463768115942018E-2</v>
      </c>
      <c r="AT10" s="6">
        <f t="shared" si="29"/>
        <v>-0.31117309269893345</v>
      </c>
      <c r="AU10" s="6">
        <f t="shared" si="29"/>
        <v>-0.25735849056603766</v>
      </c>
    </row>
    <row r="11" spans="1:47">
      <c r="A11" s="6" t="s">
        <v>240</v>
      </c>
      <c r="B11" s="6">
        <v>25</v>
      </c>
      <c r="C11" s="6">
        <v>26.36</v>
      </c>
      <c r="D11" s="6">
        <v>0.13</v>
      </c>
      <c r="E11" s="6">
        <v>0.71</v>
      </c>
      <c r="F11" s="6">
        <v>0.11</v>
      </c>
      <c r="G11" s="6">
        <v>0.52</v>
      </c>
      <c r="H11" s="6">
        <v>-0.01</v>
      </c>
      <c r="I11" s="6">
        <f t="shared" si="0"/>
        <v>6.9752138093369958</v>
      </c>
      <c r="J11" s="6">
        <f t="shared" si="1"/>
        <v>7.8394666587270873E-2</v>
      </c>
      <c r="K11" s="6">
        <f t="shared" si="2"/>
        <v>1.184633672467462</v>
      </c>
      <c r="L11" s="6">
        <f t="shared" si="3"/>
        <v>7.861598433593571E-2</v>
      </c>
      <c r="M11" s="6">
        <f t="shared" si="4"/>
        <v>0.21582925690021232</v>
      </c>
      <c r="N11" s="6">
        <f t="shared" si="5"/>
        <v>-3.7092896130779987E-3</v>
      </c>
      <c r="O11" s="6">
        <f t="shared" si="6"/>
        <v>95.998651777291471</v>
      </c>
      <c r="P11" s="6">
        <f t="shared" si="7"/>
        <v>98.93751185274462</v>
      </c>
      <c r="Q11" s="6">
        <v>57.3</v>
      </c>
      <c r="R11" s="6">
        <v>5.3</v>
      </c>
      <c r="S11" s="6">
        <v>15.4</v>
      </c>
      <c r="T11" s="6">
        <v>64.599999999999994</v>
      </c>
      <c r="U11" s="6">
        <f t="shared" si="15"/>
        <v>5.7299999999999999E-3</v>
      </c>
      <c r="V11" s="6">
        <f t="shared" si="16"/>
        <v>5.2999999999999998E-4</v>
      </c>
      <c r="W11" s="6">
        <f t="shared" si="17"/>
        <v>6.4599999999999996E-3</v>
      </c>
      <c r="X11" s="6">
        <f>I11/I51-1</f>
        <v>0.58476953907815643</v>
      </c>
      <c r="Y11" s="6">
        <f>J11/J51-1</f>
        <v>-0.9820110701107011</v>
      </c>
      <c r="Z11" s="6">
        <f>K11/K51-1</f>
        <v>0.109375</v>
      </c>
      <c r="AA11" s="6">
        <f t="shared" si="8"/>
        <v>1.6098542132962312</v>
      </c>
      <c r="AB11" s="6">
        <f t="shared" si="9"/>
        <v>5.1515334825479406E-3</v>
      </c>
      <c r="AC11" s="6">
        <f t="shared" si="10"/>
        <v>7.0833585385034179E-5</v>
      </c>
      <c r="AD11" s="6">
        <f>I51*(100-AB11)/100</f>
        <v>4.4011790401520008</v>
      </c>
      <c r="AE11" s="6">
        <f>K51*(100-AC11)/100</f>
        <v>1.0678380469624411</v>
      </c>
      <c r="AF11" s="6">
        <f t="shared" si="11"/>
        <v>4.1215791595659477</v>
      </c>
      <c r="AG11" s="6">
        <f>AF11/AH51-1</f>
        <v>-5.0807034959965414E-5</v>
      </c>
      <c r="AH11" s="6">
        <f t="shared" si="12"/>
        <v>5.888076602455838</v>
      </c>
      <c r="AI11" s="6">
        <f t="shared" si="13"/>
        <v>6.6176294334081676E-2</v>
      </c>
      <c r="AJ11" s="6">
        <f t="shared" si="18"/>
        <v>6.6363118120884773E-2</v>
      </c>
      <c r="AK11" s="6">
        <f t="shared" si="19"/>
        <v>4.8369383153401661E-3</v>
      </c>
      <c r="AL11" s="6">
        <f t="shared" si="20"/>
        <v>4.4739569059865412E-4</v>
      </c>
      <c r="AM11" s="6">
        <f t="shared" si="21"/>
        <v>5.4531625684288787E-3</v>
      </c>
      <c r="AN11" s="6">
        <f t="shared" si="22"/>
        <v>12.188679245283019</v>
      </c>
      <c r="AO11" s="6">
        <f t="shared" ref="AO11:AU11" si="30">AH11/AH51-1</f>
        <v>0.4285246549436903</v>
      </c>
      <c r="AP11" s="6">
        <f t="shared" si="30"/>
        <v>-0.98378462657866017</v>
      </c>
      <c r="AQ11" s="6">
        <f t="shared" si="30"/>
        <v>-0.98400726942298955</v>
      </c>
      <c r="AR11" s="6">
        <f t="shared" si="30"/>
        <v>0.30102529534891942</v>
      </c>
      <c r="AS11" s="6">
        <f t="shared" si="30"/>
        <v>0.32707355242566494</v>
      </c>
      <c r="AT11" s="6">
        <f t="shared" si="30"/>
        <v>9.8697847462131394E-2</v>
      </c>
      <c r="AU11" s="6">
        <f t="shared" si="30"/>
        <v>-0.17208971164115339</v>
      </c>
    </row>
    <row r="12" spans="1:47">
      <c r="A12" s="6" t="s">
        <v>240</v>
      </c>
      <c r="B12" s="6">
        <v>25</v>
      </c>
      <c r="C12" s="6">
        <v>26.36</v>
      </c>
      <c r="D12" s="6">
        <v>0.13</v>
      </c>
      <c r="E12" s="6">
        <v>0.71</v>
      </c>
      <c r="F12" s="6">
        <v>0.11</v>
      </c>
      <c r="G12" s="6">
        <v>0.52</v>
      </c>
      <c r="H12" s="6">
        <v>-0.01</v>
      </c>
      <c r="I12" s="6">
        <f t="shared" ref="I12:I29" si="31">C12*26.98/101.96</f>
        <v>6.9752138093369958</v>
      </c>
      <c r="J12" s="6">
        <f t="shared" ref="J12:J29" si="32">D12*24.305/40.3044</f>
        <v>7.8394666587270873E-2</v>
      </c>
      <c r="K12" s="6">
        <f t="shared" ref="K12:K29" si="33">E12*79.866/47.867</f>
        <v>1.184633672467462</v>
      </c>
      <c r="L12" s="6">
        <f t="shared" ref="L12:L29" si="34">F12*40.078/56.0774</f>
        <v>7.861598433593571E-2</v>
      </c>
      <c r="M12" s="6">
        <f t="shared" ref="M12:M29" si="35">G12*39.0983/94.2</f>
        <v>0.21582925690021232</v>
      </c>
      <c r="N12" s="6">
        <f t="shared" ref="N12:N29" si="36">H12*22.989769/61.9789</f>
        <v>-3.7092896130779987E-3</v>
      </c>
      <c r="O12" s="6">
        <f t="shared" ref="O12:O29" si="37">100*(I12/(I12+L12+M12+N12))</f>
        <v>95.998651777291471</v>
      </c>
      <c r="P12" s="6">
        <f t="shared" ref="P12:P29" si="38">100*(I12/(I12+L12+N12))</f>
        <v>98.93751185274462</v>
      </c>
      <c r="Q12" s="6">
        <v>57.3</v>
      </c>
      <c r="R12" s="6">
        <v>5.3</v>
      </c>
      <c r="S12" s="6">
        <v>15.4</v>
      </c>
      <c r="T12" s="6">
        <v>64.599999999999994</v>
      </c>
      <c r="U12" s="6">
        <f t="shared" si="15"/>
        <v>5.7299999999999999E-3</v>
      </c>
      <c r="V12" s="6">
        <f t="shared" si="16"/>
        <v>5.2999999999999998E-4</v>
      </c>
      <c r="W12" s="6">
        <f t="shared" si="17"/>
        <v>6.4599999999999996E-3</v>
      </c>
      <c r="X12" s="6">
        <f>I12/I51-1</f>
        <v>0.58476953907815643</v>
      </c>
      <c r="Y12" s="6">
        <f>J12/J51-1</f>
        <v>-0.9820110701107011</v>
      </c>
      <c r="Z12" s="6">
        <f>K12/K51-1</f>
        <v>0.109375</v>
      </c>
      <c r="AA12" s="6">
        <f t="shared" ref="AA12:AA29" si="39">Y12/-0.61</f>
        <v>1.6098542132962312</v>
      </c>
      <c r="AB12" s="6">
        <f t="shared" ref="AB12:AB29" si="40">AA12*0.0032</f>
        <v>5.1515334825479406E-3</v>
      </c>
      <c r="AC12" s="6">
        <f t="shared" ref="AC12:AC29" si="41">AA12*0.000044</f>
        <v>7.0833585385034179E-5</v>
      </c>
      <c r="AD12" s="6">
        <f>I51*(100-AB12)/100</f>
        <v>4.4011790401520008</v>
      </c>
      <c r="AE12" s="6">
        <f>K51*(100-AC12)/100</f>
        <v>1.0678380469624411</v>
      </c>
      <c r="AF12" s="6">
        <f t="shared" ref="AF12:AF29" si="42">AD12/AE12</f>
        <v>4.1215791595659477</v>
      </c>
      <c r="AG12" s="6">
        <f>AF12/AH51-1</f>
        <v>-5.0807034959965414E-5</v>
      </c>
      <c r="AH12" s="6">
        <f t="shared" ref="AH12:AH29" si="43">I12/K12</f>
        <v>5.888076602455838</v>
      </c>
      <c r="AI12" s="6">
        <f t="shared" ref="AI12:AI29" si="44">J12/K12</f>
        <v>6.6176294334081676E-2</v>
      </c>
      <c r="AJ12" s="6">
        <f t="shared" si="18"/>
        <v>6.6363118120884773E-2</v>
      </c>
      <c r="AK12" s="6">
        <f t="shared" si="19"/>
        <v>4.8369383153401661E-3</v>
      </c>
      <c r="AL12" s="6">
        <f t="shared" si="20"/>
        <v>4.4739569059865412E-4</v>
      </c>
      <c r="AM12" s="6">
        <f t="shared" si="21"/>
        <v>5.4531625684288787E-3</v>
      </c>
      <c r="AN12" s="6">
        <f t="shared" si="22"/>
        <v>12.188679245283019</v>
      </c>
      <c r="AO12" s="6">
        <f t="shared" ref="AO12:AU12" si="45">AH12/AH51-1</f>
        <v>0.4285246549436903</v>
      </c>
      <c r="AP12" s="6">
        <f t="shared" si="45"/>
        <v>-0.98378462657866017</v>
      </c>
      <c r="AQ12" s="6">
        <f t="shared" si="45"/>
        <v>-0.98400726942298955</v>
      </c>
      <c r="AR12" s="6">
        <f t="shared" si="45"/>
        <v>0.30102529534891942</v>
      </c>
      <c r="AS12" s="6">
        <f t="shared" si="45"/>
        <v>0.32707355242566494</v>
      </c>
      <c r="AT12" s="6">
        <f t="shared" si="45"/>
        <v>9.8697847462131394E-2</v>
      </c>
      <c r="AU12" s="6">
        <f t="shared" si="45"/>
        <v>-0.17208971164115339</v>
      </c>
    </row>
    <row r="13" spans="1:47">
      <c r="A13" s="6" t="s">
        <v>240</v>
      </c>
      <c r="B13" s="6">
        <v>30</v>
      </c>
      <c r="C13" s="6">
        <v>23.19</v>
      </c>
      <c r="D13" s="6">
        <v>0.11</v>
      </c>
      <c r="E13" s="6">
        <v>0.53</v>
      </c>
      <c r="F13" s="6">
        <v>0.1</v>
      </c>
      <c r="G13" s="6">
        <v>0.33</v>
      </c>
      <c r="H13" s="6">
        <v>0.08</v>
      </c>
      <c r="I13" s="6">
        <f t="shared" si="31"/>
        <v>6.136388779913692</v>
      </c>
      <c r="J13" s="6">
        <f t="shared" si="32"/>
        <v>6.6333948650767652E-2</v>
      </c>
      <c r="K13" s="6">
        <f t="shared" si="33"/>
        <v>0.88430400902500683</v>
      </c>
      <c r="L13" s="6">
        <f t="shared" si="34"/>
        <v>7.1469076669032461E-2</v>
      </c>
      <c r="M13" s="6">
        <f t="shared" si="35"/>
        <v>0.1369685668789809</v>
      </c>
      <c r="N13" s="6">
        <f t="shared" si="36"/>
        <v>2.9674316904623989E-2</v>
      </c>
      <c r="O13" s="6">
        <f t="shared" si="37"/>
        <v>96.264617886938169</v>
      </c>
      <c r="P13" s="6">
        <f t="shared" si="38"/>
        <v>98.37847099204447</v>
      </c>
      <c r="Q13" s="6">
        <v>58</v>
      </c>
      <c r="R13" s="6">
        <v>2.4</v>
      </c>
      <c r="S13" s="6">
        <v>11.6</v>
      </c>
      <c r="T13" s="6">
        <v>57.9</v>
      </c>
      <c r="U13" s="6">
        <f t="shared" si="15"/>
        <v>5.7999999999999996E-3</v>
      </c>
      <c r="V13" s="6">
        <f t="shared" si="16"/>
        <v>2.3999999999999998E-4</v>
      </c>
      <c r="W13" s="6">
        <f t="shared" si="17"/>
        <v>5.79E-3</v>
      </c>
      <c r="X13" s="6">
        <f>I13/I51-1</f>
        <v>0.39418837675350704</v>
      </c>
      <c r="Y13" s="6">
        <f>J13/J51-1</f>
        <v>-0.98477859778597787</v>
      </c>
      <c r="Z13" s="6">
        <f>K13/K51-1</f>
        <v>-0.171875</v>
      </c>
      <c r="AA13" s="6">
        <f t="shared" si="39"/>
        <v>1.6143911439114391</v>
      </c>
      <c r="AB13" s="6">
        <f t="shared" si="40"/>
        <v>5.1660516605166054E-3</v>
      </c>
      <c r="AC13" s="6">
        <f t="shared" si="41"/>
        <v>7.103321033210332E-5</v>
      </c>
      <c r="AD13" s="6">
        <f>I51*(100-AB13)/100</f>
        <v>4.4011784011480763</v>
      </c>
      <c r="AE13" s="6">
        <f>K51*(100-AC13)/100</f>
        <v>1.0678380448307683</v>
      </c>
      <c r="AF13" s="6">
        <f t="shared" si="42"/>
        <v>4.1215785693846279</v>
      </c>
      <c r="AG13" s="6">
        <f>AF13/AH51-1</f>
        <v>-5.0950220693235515E-5</v>
      </c>
      <c r="AH13" s="6">
        <f t="shared" si="43"/>
        <v>6.9392298545376878</v>
      </c>
      <c r="AI13" s="6">
        <f t="shared" si="44"/>
        <v>7.5012606494800849E-2</v>
      </c>
      <c r="AJ13" s="6">
        <f t="shared" si="18"/>
        <v>8.0819577814456589E-2</v>
      </c>
      <c r="AK13" s="6">
        <f t="shared" si="19"/>
        <v>6.5588303805099949E-3</v>
      </c>
      <c r="AL13" s="6">
        <f t="shared" si="20"/>
        <v>2.7139987781420671E-4</v>
      </c>
      <c r="AM13" s="6">
        <f t="shared" si="21"/>
        <v>6.5475220522677371E-3</v>
      </c>
      <c r="AN13" s="6">
        <f t="shared" si="22"/>
        <v>24.125000000000004</v>
      </c>
      <c r="AO13" s="6">
        <f t="shared" ref="AO13:AU13" si="46">AH13/AH51-1</f>
        <v>0.68354822853253694</v>
      </c>
      <c r="AP13" s="6">
        <f t="shared" si="46"/>
        <v>-0.98161943883589775</v>
      </c>
      <c r="AQ13" s="6">
        <f t="shared" si="46"/>
        <v>-0.98052343274497866</v>
      </c>
      <c r="AR13" s="6">
        <f t="shared" si="46"/>
        <v>0.7641747065253548</v>
      </c>
      <c r="AS13" s="6">
        <f t="shared" si="46"/>
        <v>-0.19496855345911956</v>
      </c>
      <c r="AT13" s="6">
        <f t="shared" si="46"/>
        <v>0.31918832324670698</v>
      </c>
      <c r="AU13" s="6">
        <f t="shared" si="46"/>
        <v>0.63867924528301923</v>
      </c>
    </row>
    <row r="14" spans="1:47">
      <c r="A14" s="6" t="s">
        <v>240</v>
      </c>
      <c r="B14" s="6">
        <v>30</v>
      </c>
      <c r="C14" s="6">
        <v>23.19</v>
      </c>
      <c r="D14" s="6">
        <v>0.11</v>
      </c>
      <c r="E14" s="6">
        <v>0.53</v>
      </c>
      <c r="F14" s="6">
        <v>0.1</v>
      </c>
      <c r="G14" s="6">
        <v>0.33</v>
      </c>
      <c r="H14" s="6">
        <v>0.08</v>
      </c>
      <c r="I14" s="6">
        <f t="shared" si="31"/>
        <v>6.136388779913692</v>
      </c>
      <c r="J14" s="6">
        <f t="shared" si="32"/>
        <v>6.6333948650767652E-2</v>
      </c>
      <c r="K14" s="6">
        <f t="shared" si="33"/>
        <v>0.88430400902500683</v>
      </c>
      <c r="L14" s="6">
        <f t="shared" si="34"/>
        <v>7.1469076669032461E-2</v>
      </c>
      <c r="M14" s="6">
        <f t="shared" si="35"/>
        <v>0.1369685668789809</v>
      </c>
      <c r="N14" s="6">
        <f t="shared" si="36"/>
        <v>2.9674316904623989E-2</v>
      </c>
      <c r="O14" s="6">
        <f t="shared" si="37"/>
        <v>96.264617886938169</v>
      </c>
      <c r="P14" s="6">
        <f t="shared" si="38"/>
        <v>98.37847099204447</v>
      </c>
      <c r="Q14" s="6">
        <v>58</v>
      </c>
      <c r="R14" s="6">
        <v>2.4</v>
      </c>
      <c r="S14" s="6">
        <v>11.6</v>
      </c>
      <c r="T14" s="6">
        <v>57.9</v>
      </c>
      <c r="U14" s="6">
        <f t="shared" si="15"/>
        <v>5.7999999999999996E-3</v>
      </c>
      <c r="V14" s="6">
        <f t="shared" si="16"/>
        <v>2.3999999999999998E-4</v>
      </c>
      <c r="W14" s="6">
        <f t="shared" si="17"/>
        <v>5.79E-3</v>
      </c>
      <c r="X14" s="6">
        <f>I14/I51-1</f>
        <v>0.39418837675350704</v>
      </c>
      <c r="Y14" s="6">
        <f>J14/J51-1</f>
        <v>-0.98477859778597787</v>
      </c>
      <c r="Z14" s="6">
        <f>K14/K51-1</f>
        <v>-0.171875</v>
      </c>
      <c r="AA14" s="6">
        <f t="shared" si="39"/>
        <v>1.6143911439114391</v>
      </c>
      <c r="AB14" s="6">
        <f t="shared" si="40"/>
        <v>5.1660516605166054E-3</v>
      </c>
      <c r="AC14" s="6">
        <f t="shared" si="41"/>
        <v>7.103321033210332E-5</v>
      </c>
      <c r="AD14" s="6">
        <f>I51*(100-AB14)/100</f>
        <v>4.4011784011480763</v>
      </c>
      <c r="AE14" s="6">
        <f>K51*(100-AC14)/100</f>
        <v>1.0678380448307683</v>
      </c>
      <c r="AF14" s="6">
        <f t="shared" si="42"/>
        <v>4.1215785693846279</v>
      </c>
      <c r="AG14" s="6">
        <f>AF14/AH51-1</f>
        <v>-5.0950220693235515E-5</v>
      </c>
      <c r="AH14" s="6">
        <f t="shared" si="43"/>
        <v>6.9392298545376878</v>
      </c>
      <c r="AI14" s="6">
        <f t="shared" si="44"/>
        <v>7.5012606494800849E-2</v>
      </c>
      <c r="AJ14" s="6">
        <f t="shared" si="18"/>
        <v>8.0819577814456589E-2</v>
      </c>
      <c r="AK14" s="6">
        <f t="shared" si="19"/>
        <v>6.5588303805099949E-3</v>
      </c>
      <c r="AL14" s="6">
        <f t="shared" si="20"/>
        <v>2.7139987781420671E-4</v>
      </c>
      <c r="AM14" s="6">
        <f t="shared" si="21"/>
        <v>6.5475220522677371E-3</v>
      </c>
      <c r="AN14" s="6">
        <f t="shared" si="22"/>
        <v>24.125000000000004</v>
      </c>
      <c r="AO14" s="6">
        <f t="shared" ref="AO14:AU14" si="47">AH14/AH51-1</f>
        <v>0.68354822853253694</v>
      </c>
      <c r="AP14" s="6">
        <f t="shared" si="47"/>
        <v>-0.98161943883589775</v>
      </c>
      <c r="AQ14" s="6">
        <f t="shared" si="47"/>
        <v>-0.98052343274497866</v>
      </c>
      <c r="AR14" s="6">
        <f t="shared" si="47"/>
        <v>0.7641747065253548</v>
      </c>
      <c r="AS14" s="6">
        <f t="shared" si="47"/>
        <v>-0.19496855345911956</v>
      </c>
      <c r="AT14" s="6">
        <f t="shared" si="47"/>
        <v>0.31918832324670698</v>
      </c>
      <c r="AU14" s="6">
        <f t="shared" si="47"/>
        <v>0.63867924528301923</v>
      </c>
    </row>
    <row r="15" spans="1:47">
      <c r="A15" s="6" t="s">
        <v>240</v>
      </c>
      <c r="B15" s="6">
        <v>40</v>
      </c>
      <c r="C15" s="6">
        <v>29.09</v>
      </c>
      <c r="D15" s="6">
        <v>0.19</v>
      </c>
      <c r="E15" s="6">
        <v>1.03</v>
      </c>
      <c r="F15" s="6">
        <v>0.16</v>
      </c>
      <c r="G15" s="6">
        <v>0.52</v>
      </c>
      <c r="H15" s="6">
        <v>0.12</v>
      </c>
      <c r="I15" s="6">
        <f t="shared" si="31"/>
        <v>7.6976088662220485</v>
      </c>
      <c r="J15" s="6">
        <f t="shared" si="32"/>
        <v>0.11457682039678051</v>
      </c>
      <c r="K15" s="6">
        <f t="shared" si="33"/>
        <v>1.718553074142938</v>
      </c>
      <c r="L15" s="6">
        <f t="shared" si="34"/>
        <v>0.11435052267045193</v>
      </c>
      <c r="M15" s="6">
        <f t="shared" si="35"/>
        <v>0.21582925690021232</v>
      </c>
      <c r="N15" s="6">
        <f t="shared" si="36"/>
        <v>4.4511475356935983E-2</v>
      </c>
      <c r="O15" s="6">
        <f t="shared" si="37"/>
        <v>95.35830866910041</v>
      </c>
      <c r="P15" s="6">
        <f t="shared" si="38"/>
        <v>97.977947086263853</v>
      </c>
      <c r="Q15" s="6">
        <v>81.7</v>
      </c>
      <c r="R15" s="6">
        <v>2.4</v>
      </c>
      <c r="S15" s="6">
        <v>17</v>
      </c>
      <c r="T15" s="6">
        <v>47.2</v>
      </c>
      <c r="U15" s="6">
        <f t="shared" si="15"/>
        <v>8.1700000000000002E-3</v>
      </c>
      <c r="V15" s="6">
        <f t="shared" si="16"/>
        <v>2.3999999999999998E-4</v>
      </c>
      <c r="W15" s="6">
        <f t="shared" si="17"/>
        <v>4.7200000000000002E-3</v>
      </c>
      <c r="X15" s="6">
        <f>I15/I51-1</f>
        <v>0.74889779559118241</v>
      </c>
      <c r="Y15" s="6">
        <f>J15/J51-1</f>
        <v>-0.9737084870848709</v>
      </c>
      <c r="Z15" s="6">
        <f>K15/K51-1</f>
        <v>0.60937500000000022</v>
      </c>
      <c r="AA15" s="6">
        <f t="shared" si="39"/>
        <v>1.596243421450608</v>
      </c>
      <c r="AB15" s="6">
        <f t="shared" si="40"/>
        <v>5.1079789486419462E-3</v>
      </c>
      <c r="AC15" s="6">
        <f t="shared" si="41"/>
        <v>7.0234710543826758E-5</v>
      </c>
      <c r="AD15" s="6">
        <f>I51*(100-AB15)/100</f>
        <v>4.4011809571637732</v>
      </c>
      <c r="AE15" s="6">
        <f>K51*(100-AC15)/100</f>
        <v>1.067838053357459</v>
      </c>
      <c r="AF15" s="6">
        <f t="shared" si="42"/>
        <v>4.1215809301098929</v>
      </c>
      <c r="AG15" s="6">
        <f>AF15/AH51-1</f>
        <v>-5.0377477763374756E-5</v>
      </c>
      <c r="AH15" s="6">
        <f t="shared" si="43"/>
        <v>4.479121990492458</v>
      </c>
      <c r="AI15" s="6">
        <f t="shared" si="44"/>
        <v>6.6670516099086016E-2</v>
      </c>
      <c r="AJ15" s="6">
        <f t="shared" si="18"/>
        <v>6.6538836880251626E-2</v>
      </c>
      <c r="AK15" s="6">
        <f t="shared" si="19"/>
        <v>4.7539992351266032E-3</v>
      </c>
      <c r="AL15" s="6">
        <f t="shared" si="20"/>
        <v>1.3965236431216459E-4</v>
      </c>
      <c r="AM15" s="6">
        <f t="shared" si="21"/>
        <v>2.7464964981392371E-3</v>
      </c>
      <c r="AN15" s="6">
        <f t="shared" si="22"/>
        <v>19.666666666666668</v>
      </c>
      <c r="AO15" s="6">
        <f t="shared" ref="AO15:AU15" si="48">AH15/AH51-1</f>
        <v>8.6693775901317105E-2</v>
      </c>
      <c r="AP15" s="6">
        <f t="shared" si="48"/>
        <v>-0.98366352595564788</v>
      </c>
      <c r="AQ15" s="6">
        <f t="shared" si="48"/>
        <v>-0.98396492326965235</v>
      </c>
      <c r="AR15" s="6">
        <f t="shared" si="48"/>
        <v>0.27871658800224952</v>
      </c>
      <c r="AS15" s="6">
        <f t="shared" si="48"/>
        <v>-0.58576051779935279</v>
      </c>
      <c r="AT15" s="6">
        <f t="shared" si="48"/>
        <v>-0.44663857849422983</v>
      </c>
      <c r="AU15" s="6">
        <f t="shared" si="48"/>
        <v>0.33584905660377373</v>
      </c>
    </row>
    <row r="16" spans="1:47">
      <c r="A16" s="6" t="s">
        <v>240</v>
      </c>
      <c r="B16" s="6">
        <v>40</v>
      </c>
      <c r="C16" s="6">
        <v>29.09</v>
      </c>
      <c r="D16" s="6">
        <v>0.19</v>
      </c>
      <c r="E16" s="6">
        <v>1.03</v>
      </c>
      <c r="F16" s="6">
        <v>0.16</v>
      </c>
      <c r="G16" s="6">
        <v>0.52</v>
      </c>
      <c r="H16" s="6">
        <v>0.12</v>
      </c>
      <c r="I16" s="6">
        <f t="shared" si="31"/>
        <v>7.6976088662220485</v>
      </c>
      <c r="J16" s="6">
        <f t="shared" si="32"/>
        <v>0.11457682039678051</v>
      </c>
      <c r="K16" s="6">
        <f t="shared" si="33"/>
        <v>1.718553074142938</v>
      </c>
      <c r="L16" s="6">
        <f t="shared" si="34"/>
        <v>0.11435052267045193</v>
      </c>
      <c r="M16" s="6">
        <f t="shared" si="35"/>
        <v>0.21582925690021232</v>
      </c>
      <c r="N16" s="6">
        <f t="shared" si="36"/>
        <v>4.4511475356935983E-2</v>
      </c>
      <c r="O16" s="6">
        <f t="shared" si="37"/>
        <v>95.35830866910041</v>
      </c>
      <c r="P16" s="6">
        <f t="shared" si="38"/>
        <v>97.977947086263853</v>
      </c>
      <c r="Q16" s="6">
        <v>81.7</v>
      </c>
      <c r="R16" s="6">
        <v>2.4</v>
      </c>
      <c r="S16" s="6">
        <v>17</v>
      </c>
      <c r="T16" s="6">
        <v>47.2</v>
      </c>
      <c r="U16" s="6">
        <f t="shared" si="15"/>
        <v>8.1700000000000002E-3</v>
      </c>
      <c r="V16" s="6">
        <f t="shared" si="16"/>
        <v>2.3999999999999998E-4</v>
      </c>
      <c r="W16" s="6">
        <f t="shared" si="17"/>
        <v>4.7200000000000002E-3</v>
      </c>
      <c r="X16" s="6">
        <f>I16/I51-1</f>
        <v>0.74889779559118241</v>
      </c>
      <c r="Y16" s="6">
        <f>J16/J51-1</f>
        <v>-0.9737084870848709</v>
      </c>
      <c r="Z16" s="6">
        <f>K16/K51-1</f>
        <v>0.60937500000000022</v>
      </c>
      <c r="AA16" s="6">
        <f t="shared" si="39"/>
        <v>1.596243421450608</v>
      </c>
      <c r="AB16" s="6">
        <f t="shared" si="40"/>
        <v>5.1079789486419462E-3</v>
      </c>
      <c r="AC16" s="6">
        <f t="shared" si="41"/>
        <v>7.0234710543826758E-5</v>
      </c>
      <c r="AD16" s="6">
        <f>I51*(100-AB16)/100</f>
        <v>4.4011809571637732</v>
      </c>
      <c r="AE16" s="6">
        <f>K51*(100-AC16)/100</f>
        <v>1.067838053357459</v>
      </c>
      <c r="AF16" s="6">
        <f t="shared" si="42"/>
        <v>4.1215809301098929</v>
      </c>
      <c r="AG16" s="6">
        <f>AF16/AH51-1</f>
        <v>-5.0377477763374756E-5</v>
      </c>
      <c r="AH16" s="6">
        <f t="shared" si="43"/>
        <v>4.479121990492458</v>
      </c>
      <c r="AI16" s="6">
        <f t="shared" si="44"/>
        <v>6.6670516099086016E-2</v>
      </c>
      <c r="AJ16" s="6">
        <f t="shared" si="18"/>
        <v>6.6538836880251626E-2</v>
      </c>
      <c r="AK16" s="6">
        <f t="shared" si="19"/>
        <v>4.7539992351266032E-3</v>
      </c>
      <c r="AL16" s="6">
        <f t="shared" si="20"/>
        <v>1.3965236431216459E-4</v>
      </c>
      <c r="AM16" s="6">
        <f t="shared" si="21"/>
        <v>2.7464964981392371E-3</v>
      </c>
      <c r="AN16" s="6">
        <f t="shared" si="22"/>
        <v>19.666666666666668</v>
      </c>
      <c r="AO16" s="6">
        <f t="shared" ref="AO16:AU16" si="49">AH16/AH51-1</f>
        <v>8.6693775901317105E-2</v>
      </c>
      <c r="AP16" s="6">
        <f t="shared" si="49"/>
        <v>-0.98366352595564788</v>
      </c>
      <c r="AQ16" s="6">
        <f t="shared" si="49"/>
        <v>-0.98396492326965235</v>
      </c>
      <c r="AR16" s="6">
        <f t="shared" si="49"/>
        <v>0.27871658800224952</v>
      </c>
      <c r="AS16" s="6">
        <f t="shared" si="49"/>
        <v>-0.58576051779935279</v>
      </c>
      <c r="AT16" s="6">
        <f t="shared" si="49"/>
        <v>-0.44663857849422983</v>
      </c>
      <c r="AU16" s="6">
        <f t="shared" si="49"/>
        <v>0.33584905660377373</v>
      </c>
    </row>
    <row r="17" spans="1:47">
      <c r="A17" s="6" t="s">
        <v>240</v>
      </c>
      <c r="B17" s="6">
        <v>50</v>
      </c>
      <c r="C17" s="6">
        <v>29.28</v>
      </c>
      <c r="D17" s="6">
        <v>0.19</v>
      </c>
      <c r="E17" s="6">
        <v>1.06</v>
      </c>
      <c r="F17" s="6">
        <v>0.14000000000000001</v>
      </c>
      <c r="G17" s="6">
        <v>0.62</v>
      </c>
      <c r="H17" s="6">
        <v>0.06</v>
      </c>
      <c r="I17" s="6">
        <f t="shared" si="31"/>
        <v>7.7478854452726571</v>
      </c>
      <c r="J17" s="6">
        <f t="shared" si="32"/>
        <v>0.11457682039678051</v>
      </c>
      <c r="K17" s="6">
        <f t="shared" si="33"/>
        <v>1.7686080180500137</v>
      </c>
      <c r="L17" s="6">
        <f t="shared" si="34"/>
        <v>0.10005670733664544</v>
      </c>
      <c r="M17" s="6">
        <f t="shared" si="35"/>
        <v>0.25733488322717624</v>
      </c>
      <c r="N17" s="6">
        <f t="shared" si="36"/>
        <v>2.2255737678467991E-2</v>
      </c>
      <c r="O17" s="6">
        <f t="shared" si="37"/>
        <v>95.328873609966365</v>
      </c>
      <c r="P17" s="6">
        <f t="shared" si="38"/>
        <v>98.445878404581748</v>
      </c>
      <c r="Q17" s="6">
        <v>88.5</v>
      </c>
      <c r="R17" s="6">
        <v>5.2</v>
      </c>
      <c r="S17" s="6">
        <v>21.5</v>
      </c>
      <c r="T17" s="6">
        <v>52.5</v>
      </c>
      <c r="U17" s="6">
        <f t="shared" si="15"/>
        <v>8.8500000000000002E-3</v>
      </c>
      <c r="V17" s="6">
        <f t="shared" si="16"/>
        <v>5.2000000000000006E-4</v>
      </c>
      <c r="W17" s="6">
        <f t="shared" si="17"/>
        <v>5.2500000000000003E-3</v>
      </c>
      <c r="X17" s="6">
        <f>I17/I51-1</f>
        <v>0.76032064128256516</v>
      </c>
      <c r="Y17" s="6">
        <f>J17/J51-1</f>
        <v>-0.9737084870848709</v>
      </c>
      <c r="Z17" s="6">
        <f>K17/K51-1</f>
        <v>0.65625</v>
      </c>
      <c r="AA17" s="6">
        <f t="shared" si="39"/>
        <v>1.596243421450608</v>
      </c>
      <c r="AB17" s="6">
        <f t="shared" si="40"/>
        <v>5.1079789486419462E-3</v>
      </c>
      <c r="AC17" s="6">
        <f t="shared" si="41"/>
        <v>7.0234710543826758E-5</v>
      </c>
      <c r="AD17" s="6">
        <f>I51*(100-AB17)/100</f>
        <v>4.4011809571637732</v>
      </c>
      <c r="AE17" s="6">
        <f>K51*(100-AC17)/100</f>
        <v>1.067838053357459</v>
      </c>
      <c r="AF17" s="6">
        <f t="shared" si="42"/>
        <v>4.1215809301098929</v>
      </c>
      <c r="AG17" s="6">
        <f>AF17/AH51-1</f>
        <v>-5.0377477763374756E-5</v>
      </c>
      <c r="AH17" s="6">
        <f t="shared" si="43"/>
        <v>4.3807815899280618</v>
      </c>
      <c r="AI17" s="6">
        <f t="shared" si="44"/>
        <v>6.4783614700055281E-2</v>
      </c>
      <c r="AJ17" s="6">
        <f t="shared" si="18"/>
        <v>5.6573704470119612E-2</v>
      </c>
      <c r="AK17" s="6">
        <f t="shared" si="19"/>
        <v>5.0039352471994364E-3</v>
      </c>
      <c r="AL17" s="6">
        <f t="shared" si="20"/>
        <v>2.9401653429872394E-4</v>
      </c>
      <c r="AM17" s="6">
        <f t="shared" si="21"/>
        <v>2.9684361635928858E-3</v>
      </c>
      <c r="AN17" s="6">
        <f t="shared" si="22"/>
        <v>10.096153846153845</v>
      </c>
      <c r="AO17" s="6">
        <f t="shared" ref="AO17:AU17" si="50">AH17/AH51-1</f>
        <v>6.2835104170605449E-2</v>
      </c>
      <c r="AP17" s="6">
        <f t="shared" si="50"/>
        <v>-0.98412587899463899</v>
      </c>
      <c r="AQ17" s="6">
        <f t="shared" si="50"/>
        <v>-0.98636640292148514</v>
      </c>
      <c r="AR17" s="6">
        <f t="shared" si="50"/>
        <v>0.34594363385770621</v>
      </c>
      <c r="AS17" s="6">
        <f t="shared" si="50"/>
        <v>-0.1278825995807128</v>
      </c>
      <c r="AT17" s="6">
        <f t="shared" si="50"/>
        <v>-0.4019223923104307</v>
      </c>
      <c r="AU17" s="6">
        <f t="shared" si="50"/>
        <v>-0.31422351233671997</v>
      </c>
    </row>
    <row r="18" spans="1:47">
      <c r="A18" s="6" t="s">
        <v>240</v>
      </c>
      <c r="B18" s="6">
        <v>50</v>
      </c>
      <c r="C18" s="6">
        <v>29.28</v>
      </c>
      <c r="D18" s="6">
        <v>0.19</v>
      </c>
      <c r="E18" s="6">
        <v>1.06</v>
      </c>
      <c r="F18" s="6">
        <v>0.14000000000000001</v>
      </c>
      <c r="G18" s="6">
        <v>0.62</v>
      </c>
      <c r="H18" s="6">
        <v>0.06</v>
      </c>
      <c r="I18" s="6">
        <f t="shared" si="31"/>
        <v>7.7478854452726571</v>
      </c>
      <c r="J18" s="6">
        <f t="shared" si="32"/>
        <v>0.11457682039678051</v>
      </c>
      <c r="K18" s="6">
        <f t="shared" si="33"/>
        <v>1.7686080180500137</v>
      </c>
      <c r="L18" s="6">
        <f t="shared" si="34"/>
        <v>0.10005670733664544</v>
      </c>
      <c r="M18" s="6">
        <f t="shared" si="35"/>
        <v>0.25733488322717624</v>
      </c>
      <c r="N18" s="6">
        <f t="shared" si="36"/>
        <v>2.2255737678467991E-2</v>
      </c>
      <c r="O18" s="6">
        <f t="shared" si="37"/>
        <v>95.328873609966365</v>
      </c>
      <c r="P18" s="6">
        <f t="shared" si="38"/>
        <v>98.445878404581748</v>
      </c>
      <c r="Q18" s="6">
        <v>88.5</v>
      </c>
      <c r="R18" s="6">
        <v>5.2</v>
      </c>
      <c r="S18" s="6">
        <v>21.5</v>
      </c>
      <c r="T18" s="6">
        <v>52.5</v>
      </c>
      <c r="U18" s="6">
        <f t="shared" si="15"/>
        <v>8.8500000000000002E-3</v>
      </c>
      <c r="V18" s="6">
        <f t="shared" si="16"/>
        <v>5.2000000000000006E-4</v>
      </c>
      <c r="W18" s="6">
        <f t="shared" si="17"/>
        <v>5.2500000000000003E-3</v>
      </c>
      <c r="X18" s="6">
        <f>I18/I51-1</f>
        <v>0.76032064128256516</v>
      </c>
      <c r="Y18" s="6">
        <f>J18/J51-1</f>
        <v>-0.9737084870848709</v>
      </c>
      <c r="Z18" s="6">
        <f>K18/K51-1</f>
        <v>0.65625</v>
      </c>
      <c r="AA18" s="6">
        <f t="shared" si="39"/>
        <v>1.596243421450608</v>
      </c>
      <c r="AB18" s="6">
        <f t="shared" si="40"/>
        <v>5.1079789486419462E-3</v>
      </c>
      <c r="AC18" s="6">
        <f t="shared" si="41"/>
        <v>7.0234710543826758E-5</v>
      </c>
      <c r="AD18" s="6">
        <f>I51*(100-AB18)/100</f>
        <v>4.4011809571637732</v>
      </c>
      <c r="AE18" s="6">
        <f>K51*(100-AC18)/100</f>
        <v>1.067838053357459</v>
      </c>
      <c r="AF18" s="6">
        <f t="shared" si="42"/>
        <v>4.1215809301098929</v>
      </c>
      <c r="AG18" s="6">
        <f>AF18/AH51-1</f>
        <v>-5.0377477763374756E-5</v>
      </c>
      <c r="AH18" s="6">
        <f t="shared" si="43"/>
        <v>4.3807815899280618</v>
      </c>
      <c r="AI18" s="6">
        <f t="shared" si="44"/>
        <v>6.4783614700055281E-2</v>
      </c>
      <c r="AJ18" s="6">
        <f t="shared" si="18"/>
        <v>5.6573704470119612E-2</v>
      </c>
      <c r="AK18" s="6">
        <f t="shared" si="19"/>
        <v>5.0039352471994364E-3</v>
      </c>
      <c r="AL18" s="6">
        <f t="shared" si="20"/>
        <v>2.9401653429872394E-4</v>
      </c>
      <c r="AM18" s="6">
        <f t="shared" si="21"/>
        <v>2.9684361635928858E-3</v>
      </c>
      <c r="AN18" s="6">
        <f t="shared" si="22"/>
        <v>10.096153846153845</v>
      </c>
      <c r="AO18" s="6">
        <f t="shared" ref="AO18:AU18" si="51">AH18/AH51-1</f>
        <v>6.2835104170605449E-2</v>
      </c>
      <c r="AP18" s="6">
        <f t="shared" si="51"/>
        <v>-0.98412587899463899</v>
      </c>
      <c r="AQ18" s="6">
        <f t="shared" si="51"/>
        <v>-0.98636640292148514</v>
      </c>
      <c r="AR18" s="6">
        <f t="shared" si="51"/>
        <v>0.34594363385770621</v>
      </c>
      <c r="AS18" s="6">
        <f t="shared" si="51"/>
        <v>-0.1278825995807128</v>
      </c>
      <c r="AT18" s="6">
        <f t="shared" si="51"/>
        <v>-0.4019223923104307</v>
      </c>
      <c r="AU18" s="6">
        <f t="shared" si="51"/>
        <v>-0.31422351233671997</v>
      </c>
    </row>
    <row r="19" spans="1:47">
      <c r="A19" s="6" t="s">
        <v>240</v>
      </c>
      <c r="B19" s="6">
        <v>60</v>
      </c>
      <c r="C19" s="6">
        <v>28.1</v>
      </c>
      <c r="D19" s="6">
        <v>0.23</v>
      </c>
      <c r="E19" s="6">
        <v>0.93</v>
      </c>
      <c r="F19" s="6">
        <v>0.15</v>
      </c>
      <c r="G19" s="6">
        <v>0.85</v>
      </c>
      <c r="H19" s="6">
        <v>0.04</v>
      </c>
      <c r="I19" s="6">
        <f t="shared" si="31"/>
        <v>7.4356414280109853</v>
      </c>
      <c r="J19" s="6">
        <f t="shared" si="32"/>
        <v>0.13869825626978693</v>
      </c>
      <c r="K19" s="6">
        <f t="shared" si="33"/>
        <v>1.5517032611193515</v>
      </c>
      <c r="L19" s="6">
        <f t="shared" si="34"/>
        <v>0.10720361500354868</v>
      </c>
      <c r="M19" s="6">
        <f t="shared" si="35"/>
        <v>0.35279782377919322</v>
      </c>
      <c r="N19" s="6">
        <f t="shared" si="36"/>
        <v>1.4837158452311995E-2</v>
      </c>
      <c r="O19" s="6">
        <f t="shared" si="37"/>
        <v>93.997347876239857</v>
      </c>
      <c r="P19" s="6">
        <f t="shared" si="38"/>
        <v>98.38520898070874</v>
      </c>
      <c r="Q19" s="6">
        <v>80</v>
      </c>
      <c r="R19" s="6">
        <v>5.9</v>
      </c>
      <c r="S19" s="6">
        <v>36.9</v>
      </c>
      <c r="T19" s="6">
        <v>56</v>
      </c>
      <c r="U19" s="6">
        <f t="shared" si="15"/>
        <v>8.0000000000000002E-3</v>
      </c>
      <c r="V19" s="6">
        <f t="shared" si="16"/>
        <v>5.9000000000000003E-4</v>
      </c>
      <c r="W19" s="6">
        <f t="shared" si="17"/>
        <v>5.5999999999999999E-3</v>
      </c>
      <c r="X19" s="6">
        <f>I19/I51-1</f>
        <v>0.68937875751503008</v>
      </c>
      <c r="Y19" s="6">
        <f>J19/J51-1</f>
        <v>-0.96817343173431736</v>
      </c>
      <c r="Z19" s="6">
        <f>K19/K51-1</f>
        <v>0.453125</v>
      </c>
      <c r="AA19" s="6">
        <f t="shared" si="39"/>
        <v>1.5871695602201925</v>
      </c>
      <c r="AB19" s="6">
        <f t="shared" si="40"/>
        <v>5.0789425927046166E-3</v>
      </c>
      <c r="AC19" s="6">
        <f t="shared" si="41"/>
        <v>6.9835460649688463E-5</v>
      </c>
      <c r="AD19" s="6">
        <f>I51*(100-AB19)/100</f>
        <v>4.4011822351716221</v>
      </c>
      <c r="AE19" s="6">
        <f>K51*(100-AC19)/100</f>
        <v>1.0678380576208044</v>
      </c>
      <c r="AF19" s="6">
        <f t="shared" si="42"/>
        <v>4.1215821104725112</v>
      </c>
      <c r="AG19" s="6">
        <f>AF19/AH51-1</f>
        <v>-5.0091106301830557E-5</v>
      </c>
      <c r="AH19" s="6">
        <f t="shared" si="43"/>
        <v>4.7919222794228968</v>
      </c>
      <c r="AI19" s="6">
        <f t="shared" si="44"/>
        <v>8.9384523281683531E-2</v>
      </c>
      <c r="AJ19" s="6">
        <f t="shared" si="18"/>
        <v>6.9087703615583848E-2</v>
      </c>
      <c r="AK19" s="6">
        <f t="shared" si="19"/>
        <v>5.1556249190512389E-3</v>
      </c>
      <c r="AL19" s="6">
        <f t="shared" si="20"/>
        <v>3.802273377800289E-4</v>
      </c>
      <c r="AM19" s="6">
        <f t="shared" si="21"/>
        <v>3.6089374433358671E-3</v>
      </c>
      <c r="AN19" s="6">
        <f t="shared" si="22"/>
        <v>9.4915254237288131</v>
      </c>
      <c r="AO19" s="6">
        <f t="shared" ref="AO19:AU19" si="52">AH19/AH51-1</f>
        <v>0.16258323097808525</v>
      </c>
      <c r="AP19" s="6">
        <f t="shared" si="52"/>
        <v>-0.97809784549458401</v>
      </c>
      <c r="AQ19" s="6">
        <f t="shared" si="52"/>
        <v>-0.98335067637877216</v>
      </c>
      <c r="AR19" s="6">
        <f t="shared" si="52"/>
        <v>0.38674467105441335</v>
      </c>
      <c r="AS19" s="6">
        <f t="shared" si="52"/>
        <v>0.12783751493428919</v>
      </c>
      <c r="AT19" s="6">
        <f t="shared" si="52"/>
        <v>-0.27287482247920469</v>
      </c>
      <c r="AU19" s="6">
        <f t="shared" si="52"/>
        <v>-0.35529261272785417</v>
      </c>
    </row>
    <row r="20" spans="1:47">
      <c r="A20" s="6" t="s">
        <v>240</v>
      </c>
      <c r="B20" s="6">
        <v>60</v>
      </c>
      <c r="C20" s="6">
        <v>28.1</v>
      </c>
      <c r="D20" s="6">
        <v>0.23</v>
      </c>
      <c r="E20" s="6">
        <v>0.93</v>
      </c>
      <c r="F20" s="6">
        <v>0.15</v>
      </c>
      <c r="G20" s="6">
        <v>0.85</v>
      </c>
      <c r="H20" s="6">
        <v>0.04</v>
      </c>
      <c r="I20" s="6">
        <f t="shared" si="31"/>
        <v>7.4356414280109853</v>
      </c>
      <c r="J20" s="6">
        <f t="shared" si="32"/>
        <v>0.13869825626978693</v>
      </c>
      <c r="K20" s="6">
        <f t="shared" si="33"/>
        <v>1.5517032611193515</v>
      </c>
      <c r="L20" s="6">
        <f t="shared" si="34"/>
        <v>0.10720361500354868</v>
      </c>
      <c r="M20" s="6">
        <f t="shared" si="35"/>
        <v>0.35279782377919322</v>
      </c>
      <c r="N20" s="6">
        <f t="shared" si="36"/>
        <v>1.4837158452311995E-2</v>
      </c>
      <c r="O20" s="6">
        <f t="shared" si="37"/>
        <v>93.997347876239857</v>
      </c>
      <c r="P20" s="6">
        <f t="shared" si="38"/>
        <v>98.38520898070874</v>
      </c>
      <c r="Q20" s="6">
        <v>80</v>
      </c>
      <c r="R20" s="6">
        <v>5.9</v>
      </c>
      <c r="S20" s="6">
        <v>36.9</v>
      </c>
      <c r="T20" s="6">
        <v>56</v>
      </c>
      <c r="U20" s="6">
        <f t="shared" si="15"/>
        <v>8.0000000000000002E-3</v>
      </c>
      <c r="V20" s="6">
        <f t="shared" si="16"/>
        <v>5.9000000000000003E-4</v>
      </c>
      <c r="W20" s="6">
        <f t="shared" si="17"/>
        <v>5.5999999999999999E-3</v>
      </c>
      <c r="X20" s="6">
        <f>I20/I51-1</f>
        <v>0.68937875751503008</v>
      </c>
      <c r="Y20" s="6">
        <f>J20/J51-1</f>
        <v>-0.96817343173431736</v>
      </c>
      <c r="Z20" s="6">
        <f>K20/K51-1</f>
        <v>0.453125</v>
      </c>
      <c r="AA20" s="6">
        <f t="shared" si="39"/>
        <v>1.5871695602201925</v>
      </c>
      <c r="AB20" s="6">
        <f t="shared" si="40"/>
        <v>5.0789425927046166E-3</v>
      </c>
      <c r="AC20" s="6">
        <f t="shared" si="41"/>
        <v>6.9835460649688463E-5</v>
      </c>
      <c r="AD20" s="6">
        <f>I51*(100-AB20)/100</f>
        <v>4.4011822351716221</v>
      </c>
      <c r="AE20" s="6">
        <f>K51*(100-AC20)/100</f>
        <v>1.0678380576208044</v>
      </c>
      <c r="AF20" s="6">
        <f t="shared" si="42"/>
        <v>4.1215821104725112</v>
      </c>
      <c r="AG20" s="6">
        <f>AF20/AH51-1</f>
        <v>-5.0091106301830557E-5</v>
      </c>
      <c r="AH20" s="6">
        <f t="shared" si="43"/>
        <v>4.7919222794228968</v>
      </c>
      <c r="AI20" s="6">
        <f t="shared" si="44"/>
        <v>8.9384523281683531E-2</v>
      </c>
      <c r="AJ20" s="6">
        <f t="shared" si="18"/>
        <v>6.9087703615583848E-2</v>
      </c>
      <c r="AK20" s="6">
        <f t="shared" si="19"/>
        <v>5.1556249190512389E-3</v>
      </c>
      <c r="AL20" s="6">
        <f t="shared" si="20"/>
        <v>3.802273377800289E-4</v>
      </c>
      <c r="AM20" s="6">
        <f t="shared" si="21"/>
        <v>3.6089374433358671E-3</v>
      </c>
      <c r="AN20" s="6">
        <f t="shared" si="22"/>
        <v>9.4915254237288131</v>
      </c>
      <c r="AO20" s="6">
        <f t="shared" ref="AO20:AU20" si="53">AH20/AH51-1</f>
        <v>0.16258323097808525</v>
      </c>
      <c r="AP20" s="6">
        <f t="shared" si="53"/>
        <v>-0.97809784549458401</v>
      </c>
      <c r="AQ20" s="6">
        <f t="shared" si="53"/>
        <v>-0.98335067637877216</v>
      </c>
      <c r="AR20" s="6">
        <f t="shared" si="53"/>
        <v>0.38674467105441335</v>
      </c>
      <c r="AS20" s="6">
        <f t="shared" si="53"/>
        <v>0.12783751493428919</v>
      </c>
      <c r="AT20" s="6">
        <f t="shared" si="53"/>
        <v>-0.27287482247920469</v>
      </c>
      <c r="AU20" s="6">
        <f t="shared" si="53"/>
        <v>-0.35529261272785417</v>
      </c>
    </row>
    <row r="21" spans="1:47">
      <c r="A21" s="6" t="s">
        <v>240</v>
      </c>
      <c r="B21" s="6">
        <v>70</v>
      </c>
      <c r="C21" s="6">
        <v>26.13</v>
      </c>
      <c r="D21" s="6">
        <v>0.25</v>
      </c>
      <c r="E21" s="6">
        <v>0.91</v>
      </c>
      <c r="F21" s="6">
        <v>0.56999999999999995</v>
      </c>
      <c r="G21" s="6">
        <v>1.05</v>
      </c>
      <c r="H21" s="6">
        <v>0.1</v>
      </c>
      <c r="I21" s="6">
        <f t="shared" si="31"/>
        <v>6.9143526873283641</v>
      </c>
      <c r="J21" s="6">
        <f t="shared" si="32"/>
        <v>0.15075897420629011</v>
      </c>
      <c r="K21" s="6">
        <f t="shared" si="33"/>
        <v>1.5183332985146345</v>
      </c>
      <c r="L21" s="6">
        <f t="shared" si="34"/>
        <v>0.40737373701348489</v>
      </c>
      <c r="M21" s="6">
        <f t="shared" si="35"/>
        <v>0.435809076433121</v>
      </c>
      <c r="N21" s="6">
        <f t="shared" si="36"/>
        <v>3.7092896130779991E-2</v>
      </c>
      <c r="O21" s="6">
        <f t="shared" si="37"/>
        <v>88.706636612377437</v>
      </c>
      <c r="P21" s="6">
        <f t="shared" si="38"/>
        <v>93.960082266081272</v>
      </c>
      <c r="Q21" s="6">
        <v>74.099999999999994</v>
      </c>
      <c r="R21" s="6">
        <v>4.2</v>
      </c>
      <c r="S21" s="6">
        <v>27.1</v>
      </c>
      <c r="T21" s="6">
        <v>56.5</v>
      </c>
      <c r="U21" s="6">
        <f t="shared" si="15"/>
        <v>7.4099999999999991E-3</v>
      </c>
      <c r="V21" s="6">
        <f t="shared" si="16"/>
        <v>4.2000000000000002E-4</v>
      </c>
      <c r="W21" s="6">
        <f t="shared" si="17"/>
        <v>5.6499999999999996E-3</v>
      </c>
      <c r="X21" s="6">
        <f>I21/I51-1</f>
        <v>0.57094188376753485</v>
      </c>
      <c r="Y21" s="6">
        <f>J21/J51-1</f>
        <v>-0.96540590405904059</v>
      </c>
      <c r="Z21" s="6">
        <f>K21/K51-1</f>
        <v>0.42187500000000022</v>
      </c>
      <c r="AA21" s="6">
        <f t="shared" si="39"/>
        <v>1.5826326296049846</v>
      </c>
      <c r="AB21" s="6">
        <f t="shared" si="40"/>
        <v>5.064424414735951E-3</v>
      </c>
      <c r="AC21" s="6">
        <f t="shared" si="41"/>
        <v>6.9635835702619323E-5</v>
      </c>
      <c r="AD21" s="6">
        <f>I51*(100-AB21)/100</f>
        <v>4.4011828741755457</v>
      </c>
      <c r="AE21" s="6">
        <f>K51*(100-AC21)/100</f>
        <v>1.067838059752477</v>
      </c>
      <c r="AF21" s="6">
        <f t="shared" si="42"/>
        <v>4.1215827006538168</v>
      </c>
      <c r="AG21" s="6">
        <f>AF21/AH51-1</f>
        <v>-4.9947920572002147E-5</v>
      </c>
      <c r="AH21" s="6">
        <f t="shared" si="43"/>
        <v>4.5539096679843514</v>
      </c>
      <c r="AI21" s="6">
        <f t="shared" si="44"/>
        <v>9.9292411194416688E-2</v>
      </c>
      <c r="AJ21" s="6">
        <f t="shared" si="18"/>
        <v>0.26830323579942117</v>
      </c>
      <c r="AK21" s="6">
        <f t="shared" si="19"/>
        <v>4.8803513742661803E-3</v>
      </c>
      <c r="AL21" s="6">
        <f t="shared" si="20"/>
        <v>2.7661910623371066E-4</v>
      </c>
      <c r="AM21" s="6">
        <f t="shared" si="21"/>
        <v>3.7211855957630124E-3</v>
      </c>
      <c r="AN21" s="6">
        <f t="shared" si="22"/>
        <v>13.452380952380951</v>
      </c>
      <c r="AO21" s="6">
        <f t="shared" ref="AO21:AU21" si="54">AH21/AH51-1</f>
        <v>0.10483824792442009</v>
      </c>
      <c r="AP21" s="6">
        <f t="shared" si="54"/>
        <v>-0.97567008637119335</v>
      </c>
      <c r="AQ21" s="6">
        <f t="shared" si="54"/>
        <v>-0.93534207727756113</v>
      </c>
      <c r="AR21" s="6">
        <f t="shared" si="54"/>
        <v>0.31270241093918627</v>
      </c>
      <c r="AS21" s="6">
        <f t="shared" si="54"/>
        <v>-0.17948717948717963</v>
      </c>
      <c r="AT21" s="6">
        <f t="shared" si="54"/>
        <v>-0.25025917478747672</v>
      </c>
      <c r="AU21" s="6">
        <f t="shared" si="54"/>
        <v>-8.6253369272237257E-2</v>
      </c>
    </row>
    <row r="22" spans="1:47">
      <c r="A22" s="6" t="s">
        <v>240</v>
      </c>
      <c r="B22" s="6">
        <v>70</v>
      </c>
      <c r="C22" s="6">
        <v>26.13</v>
      </c>
      <c r="D22" s="6">
        <v>0.25</v>
      </c>
      <c r="E22" s="6">
        <v>0.91</v>
      </c>
      <c r="F22" s="6">
        <v>0.56999999999999995</v>
      </c>
      <c r="G22" s="6">
        <v>1.05</v>
      </c>
      <c r="H22" s="6">
        <v>0.1</v>
      </c>
      <c r="I22" s="6">
        <f t="shared" si="31"/>
        <v>6.9143526873283641</v>
      </c>
      <c r="J22" s="6">
        <f t="shared" si="32"/>
        <v>0.15075897420629011</v>
      </c>
      <c r="K22" s="6">
        <f t="shared" si="33"/>
        <v>1.5183332985146345</v>
      </c>
      <c r="L22" s="6">
        <f t="shared" si="34"/>
        <v>0.40737373701348489</v>
      </c>
      <c r="M22" s="6">
        <f t="shared" si="35"/>
        <v>0.435809076433121</v>
      </c>
      <c r="N22" s="6">
        <f t="shared" si="36"/>
        <v>3.7092896130779991E-2</v>
      </c>
      <c r="O22" s="6">
        <f t="shared" si="37"/>
        <v>88.706636612377437</v>
      </c>
      <c r="P22" s="6">
        <f t="shared" si="38"/>
        <v>93.960082266081272</v>
      </c>
      <c r="Q22" s="6">
        <v>74.099999999999994</v>
      </c>
      <c r="R22" s="6">
        <v>4.2</v>
      </c>
      <c r="S22" s="6">
        <v>27.1</v>
      </c>
      <c r="T22" s="6">
        <v>56.5</v>
      </c>
      <c r="U22" s="6">
        <f t="shared" si="15"/>
        <v>7.4099999999999991E-3</v>
      </c>
      <c r="V22" s="6">
        <f t="shared" si="16"/>
        <v>4.2000000000000002E-4</v>
      </c>
      <c r="W22" s="6">
        <f t="shared" si="17"/>
        <v>5.6499999999999996E-3</v>
      </c>
      <c r="X22" s="6">
        <f>I22/I51-1</f>
        <v>0.57094188376753485</v>
      </c>
      <c r="Y22" s="6">
        <f>J22/J51-1</f>
        <v>-0.96540590405904059</v>
      </c>
      <c r="Z22" s="6">
        <f>K22/K51-1</f>
        <v>0.42187500000000022</v>
      </c>
      <c r="AA22" s="6">
        <f t="shared" si="39"/>
        <v>1.5826326296049846</v>
      </c>
      <c r="AB22" s="6">
        <f t="shared" si="40"/>
        <v>5.064424414735951E-3</v>
      </c>
      <c r="AC22" s="6">
        <f t="shared" si="41"/>
        <v>6.9635835702619323E-5</v>
      </c>
      <c r="AD22" s="6">
        <f>I51*(100-AB22)/100</f>
        <v>4.4011828741755457</v>
      </c>
      <c r="AE22" s="6">
        <f>K51*(100-AC22)/100</f>
        <v>1.067838059752477</v>
      </c>
      <c r="AF22" s="6">
        <f t="shared" si="42"/>
        <v>4.1215827006538168</v>
      </c>
      <c r="AG22" s="6">
        <f>AF22/AH51-1</f>
        <v>-4.9947920572002147E-5</v>
      </c>
      <c r="AH22" s="6">
        <f t="shared" si="43"/>
        <v>4.5539096679843514</v>
      </c>
      <c r="AI22" s="6">
        <f t="shared" si="44"/>
        <v>9.9292411194416688E-2</v>
      </c>
      <c r="AJ22" s="6">
        <f t="shared" si="18"/>
        <v>0.26830323579942117</v>
      </c>
      <c r="AK22" s="6">
        <f t="shared" si="19"/>
        <v>4.8803513742661803E-3</v>
      </c>
      <c r="AL22" s="6">
        <f t="shared" si="20"/>
        <v>2.7661910623371066E-4</v>
      </c>
      <c r="AM22" s="6">
        <f t="shared" si="21"/>
        <v>3.7211855957630124E-3</v>
      </c>
      <c r="AN22" s="6">
        <f t="shared" si="22"/>
        <v>13.452380952380951</v>
      </c>
      <c r="AO22" s="6">
        <f t="shared" ref="AO22:AU22" si="55">AH22/AH51-1</f>
        <v>0.10483824792442009</v>
      </c>
      <c r="AP22" s="6">
        <f t="shared" si="55"/>
        <v>-0.97567008637119335</v>
      </c>
      <c r="AQ22" s="6">
        <f t="shared" si="55"/>
        <v>-0.93534207727756113</v>
      </c>
      <c r="AR22" s="6">
        <f t="shared" si="55"/>
        <v>0.31270241093918627</v>
      </c>
      <c r="AS22" s="6">
        <f t="shared" si="55"/>
        <v>-0.17948717948717963</v>
      </c>
      <c r="AT22" s="6">
        <f t="shared" si="55"/>
        <v>-0.25025917478747672</v>
      </c>
      <c r="AU22" s="6">
        <f t="shared" si="55"/>
        <v>-8.6253369272237257E-2</v>
      </c>
    </row>
    <row r="23" spans="1:47">
      <c r="A23" s="6" t="s">
        <v>240</v>
      </c>
      <c r="B23" s="6">
        <v>80</v>
      </c>
      <c r="C23" s="6">
        <v>24.68</v>
      </c>
      <c r="D23" s="6">
        <v>0.36</v>
      </c>
      <c r="E23" s="6">
        <v>0.89</v>
      </c>
      <c r="F23" s="6">
        <v>0.6</v>
      </c>
      <c r="G23" s="6">
        <v>1.2</v>
      </c>
      <c r="H23" s="6">
        <v>0.19</v>
      </c>
      <c r="I23" s="6">
        <f t="shared" si="31"/>
        <v>6.5306630051000401</v>
      </c>
      <c r="J23" s="6">
        <f t="shared" si="32"/>
        <v>0.21709292285705775</v>
      </c>
      <c r="K23" s="6">
        <f t="shared" si="33"/>
        <v>1.4849633359099172</v>
      </c>
      <c r="L23" s="6">
        <f t="shared" si="34"/>
        <v>0.42881446001419471</v>
      </c>
      <c r="M23" s="6">
        <f t="shared" si="35"/>
        <v>0.49806751592356685</v>
      </c>
      <c r="N23" s="6">
        <f t="shared" si="36"/>
        <v>7.0476502648481973E-2</v>
      </c>
      <c r="O23" s="6">
        <f t="shared" si="37"/>
        <v>86.751386393522054</v>
      </c>
      <c r="P23" s="6">
        <f t="shared" si="38"/>
        <v>92.897663840299998</v>
      </c>
      <c r="Q23" s="6">
        <v>72.099999999999994</v>
      </c>
      <c r="R23" s="6">
        <v>3.4</v>
      </c>
      <c r="S23" s="6">
        <v>29.9</v>
      </c>
      <c r="T23" s="6">
        <v>75</v>
      </c>
      <c r="U23" s="6">
        <f t="shared" si="15"/>
        <v>7.2099999999999994E-3</v>
      </c>
      <c r="V23" s="6">
        <f t="shared" si="16"/>
        <v>3.3999999999999997E-4</v>
      </c>
      <c r="W23" s="6">
        <f t="shared" si="17"/>
        <v>7.4999999999999997E-3</v>
      </c>
      <c r="X23" s="6">
        <f>I23/I51-1</f>
        <v>0.48376753507014025</v>
      </c>
      <c r="Y23" s="6">
        <f>J23/J51-1</f>
        <v>-0.95018450184501846</v>
      </c>
      <c r="Z23" s="6">
        <f>K23/K51-1</f>
        <v>0.39062500000000022</v>
      </c>
      <c r="AA23" s="6">
        <f t="shared" si="39"/>
        <v>1.5576795112213417</v>
      </c>
      <c r="AB23" s="6">
        <f t="shared" si="40"/>
        <v>4.9845744359082941E-3</v>
      </c>
      <c r="AC23" s="6">
        <f t="shared" si="41"/>
        <v>6.853789849373903E-5</v>
      </c>
      <c r="AD23" s="6">
        <f>I51*(100-AB23)/100</f>
        <v>4.4011863886971296</v>
      </c>
      <c r="AE23" s="6">
        <f>K51*(100-AC23)/100</f>
        <v>1.0678380714766764</v>
      </c>
      <c r="AF23" s="6">
        <f t="shared" si="42"/>
        <v>4.1215859466509572</v>
      </c>
      <c r="AG23" s="6">
        <f>AF23/AH51-1</f>
        <v>-4.9160399067438298E-5</v>
      </c>
      <c r="AH23" s="6">
        <f t="shared" si="43"/>
        <v>4.3978614469281494</v>
      </c>
      <c r="AI23" s="6">
        <f t="shared" si="44"/>
        <v>0.14619412992040856</v>
      </c>
      <c r="AJ23" s="6">
        <f t="shared" si="18"/>
        <v>0.28877107578648525</v>
      </c>
      <c r="AK23" s="6">
        <f t="shared" si="19"/>
        <v>4.8553387317014415E-3</v>
      </c>
      <c r="AL23" s="6">
        <f t="shared" si="20"/>
        <v>2.2896188193876423E-4</v>
      </c>
      <c r="AM23" s="6">
        <f t="shared" si="21"/>
        <v>5.0506297486492113E-3</v>
      </c>
      <c r="AN23" s="6">
        <f t="shared" si="22"/>
        <v>22.058823529411764</v>
      </c>
      <c r="AO23" s="6">
        <f t="shared" ref="AO23:AU23" si="56">AH23/AH51-1</f>
        <v>6.6978901623471643E-2</v>
      </c>
      <c r="AP23" s="6">
        <f t="shared" si="56"/>
        <v>-0.96417761930428292</v>
      </c>
      <c r="AQ23" s="6">
        <f t="shared" si="56"/>
        <v>-0.93040956868430591</v>
      </c>
      <c r="AR23" s="6">
        <f t="shared" si="56"/>
        <v>0.30597458466589256</v>
      </c>
      <c r="AS23" s="6">
        <f t="shared" si="56"/>
        <v>-0.32084893882646703</v>
      </c>
      <c r="AT23" s="6">
        <f t="shared" si="56"/>
        <v>1.7595929616281314E-2</v>
      </c>
      <c r="AU23" s="6">
        <f t="shared" si="56"/>
        <v>0.4983351831298557</v>
      </c>
    </row>
    <row r="24" spans="1:47">
      <c r="A24" s="6" t="s">
        <v>240</v>
      </c>
      <c r="B24" s="6">
        <v>80</v>
      </c>
      <c r="C24" s="6">
        <v>24.68</v>
      </c>
      <c r="D24" s="6">
        <v>0.36</v>
      </c>
      <c r="E24" s="6">
        <v>0.89</v>
      </c>
      <c r="F24" s="6">
        <v>0.6</v>
      </c>
      <c r="G24" s="6">
        <v>1.2</v>
      </c>
      <c r="H24" s="6">
        <v>0.19</v>
      </c>
      <c r="I24" s="6">
        <f t="shared" si="31"/>
        <v>6.5306630051000401</v>
      </c>
      <c r="J24" s="6">
        <f t="shared" si="32"/>
        <v>0.21709292285705775</v>
      </c>
      <c r="K24" s="6">
        <f t="shared" si="33"/>
        <v>1.4849633359099172</v>
      </c>
      <c r="L24" s="6">
        <f t="shared" si="34"/>
        <v>0.42881446001419471</v>
      </c>
      <c r="M24" s="6">
        <f t="shared" si="35"/>
        <v>0.49806751592356685</v>
      </c>
      <c r="N24" s="6">
        <f t="shared" si="36"/>
        <v>7.0476502648481973E-2</v>
      </c>
      <c r="O24" s="6">
        <f t="shared" si="37"/>
        <v>86.751386393522054</v>
      </c>
      <c r="P24" s="6">
        <f t="shared" si="38"/>
        <v>92.897663840299998</v>
      </c>
      <c r="Q24" s="6">
        <v>72.099999999999994</v>
      </c>
      <c r="R24" s="6">
        <v>3.4</v>
      </c>
      <c r="S24" s="6">
        <v>29.9</v>
      </c>
      <c r="T24" s="6">
        <v>75</v>
      </c>
      <c r="U24" s="6">
        <f t="shared" si="15"/>
        <v>7.2099999999999994E-3</v>
      </c>
      <c r="V24" s="6">
        <f t="shared" si="16"/>
        <v>3.3999999999999997E-4</v>
      </c>
      <c r="W24" s="6">
        <f t="shared" si="17"/>
        <v>7.4999999999999997E-3</v>
      </c>
      <c r="X24" s="6">
        <f>I24/I51-1</f>
        <v>0.48376753507014025</v>
      </c>
      <c r="Y24" s="6">
        <f>J24/J51-1</f>
        <v>-0.95018450184501846</v>
      </c>
      <c r="Z24" s="6">
        <f>K24/K51-1</f>
        <v>0.39062500000000022</v>
      </c>
      <c r="AA24" s="6">
        <f t="shared" si="39"/>
        <v>1.5576795112213417</v>
      </c>
      <c r="AB24" s="6">
        <f t="shared" si="40"/>
        <v>4.9845744359082941E-3</v>
      </c>
      <c r="AC24" s="6">
        <f t="shared" si="41"/>
        <v>6.853789849373903E-5</v>
      </c>
      <c r="AD24" s="6">
        <f>I51*(100-AB24)/100</f>
        <v>4.4011863886971296</v>
      </c>
      <c r="AE24" s="6">
        <f>K51*(100-AC24)/100</f>
        <v>1.0678380714766764</v>
      </c>
      <c r="AF24" s="6">
        <f t="shared" si="42"/>
        <v>4.1215859466509572</v>
      </c>
      <c r="AG24" s="6">
        <f>AF24/AH51-1</f>
        <v>-4.9160399067438298E-5</v>
      </c>
      <c r="AH24" s="6">
        <f t="shared" si="43"/>
        <v>4.3978614469281494</v>
      </c>
      <c r="AI24" s="6">
        <f t="shared" si="44"/>
        <v>0.14619412992040856</v>
      </c>
      <c r="AJ24" s="6">
        <f t="shared" si="18"/>
        <v>0.28877107578648525</v>
      </c>
      <c r="AK24" s="6">
        <f t="shared" si="19"/>
        <v>4.8553387317014415E-3</v>
      </c>
      <c r="AL24" s="6">
        <f t="shared" si="20"/>
        <v>2.2896188193876423E-4</v>
      </c>
      <c r="AM24" s="6">
        <f t="shared" si="21"/>
        <v>5.0506297486492113E-3</v>
      </c>
      <c r="AN24" s="6">
        <f t="shared" si="22"/>
        <v>22.058823529411764</v>
      </c>
      <c r="AO24" s="6">
        <f t="shared" ref="AO24:AU24" si="57">AH24/AH51-1</f>
        <v>6.6978901623471643E-2</v>
      </c>
      <c r="AP24" s="6">
        <f t="shared" si="57"/>
        <v>-0.96417761930428292</v>
      </c>
      <c r="AQ24" s="6">
        <f t="shared" si="57"/>
        <v>-0.93040956868430591</v>
      </c>
      <c r="AR24" s="6">
        <f t="shared" si="57"/>
        <v>0.30597458466589256</v>
      </c>
      <c r="AS24" s="6">
        <f t="shared" si="57"/>
        <v>-0.32084893882646703</v>
      </c>
      <c r="AT24" s="6">
        <f t="shared" si="57"/>
        <v>1.7595929616281314E-2</v>
      </c>
      <c r="AU24" s="6">
        <f t="shared" si="57"/>
        <v>0.4983351831298557</v>
      </c>
    </row>
    <row r="25" spans="1:47">
      <c r="A25" s="6" t="s">
        <v>240</v>
      </c>
      <c r="B25" s="6">
        <v>90</v>
      </c>
      <c r="C25" s="6">
        <v>28.83</v>
      </c>
      <c r="D25" s="6">
        <v>0.8</v>
      </c>
      <c r="E25" s="6">
        <v>1.08</v>
      </c>
      <c r="F25" s="6">
        <v>0.87</v>
      </c>
      <c r="G25" s="6">
        <v>2.95</v>
      </c>
      <c r="H25" s="6">
        <v>0.12</v>
      </c>
      <c r="I25" s="6">
        <f t="shared" si="31"/>
        <v>7.6288093369948999</v>
      </c>
      <c r="J25" s="6">
        <f t="shared" si="32"/>
        <v>0.4824287174601285</v>
      </c>
      <c r="K25" s="6">
        <f t="shared" si="33"/>
        <v>1.8019779806547309</v>
      </c>
      <c r="L25" s="6">
        <f t="shared" si="34"/>
        <v>0.62178096702058228</v>
      </c>
      <c r="M25" s="6">
        <f t="shared" si="35"/>
        <v>1.2244159766454354</v>
      </c>
      <c r="N25" s="6">
        <f t="shared" si="36"/>
        <v>4.4511475356935983E-2</v>
      </c>
      <c r="O25" s="6">
        <f t="shared" si="37"/>
        <v>80.138611351108366</v>
      </c>
      <c r="P25" s="6">
        <f t="shared" si="38"/>
        <v>91.967639938615349</v>
      </c>
      <c r="Q25" s="6">
        <v>76.8</v>
      </c>
      <c r="R25" s="6">
        <v>4.7</v>
      </c>
      <c r="S25" s="6">
        <v>61.2</v>
      </c>
      <c r="T25" s="6">
        <v>188.8</v>
      </c>
      <c r="U25" s="6">
        <f t="shared" si="15"/>
        <v>7.6799999999999993E-3</v>
      </c>
      <c r="V25" s="6">
        <f t="shared" si="16"/>
        <v>4.7000000000000004E-4</v>
      </c>
      <c r="W25" s="6">
        <f t="shared" si="17"/>
        <v>1.8880000000000001E-2</v>
      </c>
      <c r="X25" s="6">
        <f>I25/I51-1</f>
        <v>0.7332665330661321</v>
      </c>
      <c r="Y25" s="6">
        <f>J25/J51-1</f>
        <v>-0.88929889298892983</v>
      </c>
      <c r="Z25" s="6">
        <f>K25/K51-1</f>
        <v>0.6875</v>
      </c>
      <c r="AA25" s="6">
        <f t="shared" si="39"/>
        <v>1.4578670376867702</v>
      </c>
      <c r="AB25" s="6">
        <f t="shared" si="40"/>
        <v>4.665174520597665E-3</v>
      </c>
      <c r="AC25" s="6">
        <f t="shared" si="41"/>
        <v>6.4146149658217885E-5</v>
      </c>
      <c r="AD25" s="6">
        <f>I51*(100-AB25)/100</f>
        <v>4.4012004467834638</v>
      </c>
      <c r="AE25" s="6">
        <f>K51*(100-AC25)/100</f>
        <v>1.0678381183734746</v>
      </c>
      <c r="AF25" s="6">
        <f t="shared" si="42"/>
        <v>4.1215989306388021</v>
      </c>
      <c r="AG25" s="6">
        <f>AF25/AH51-1</f>
        <v>-4.6010313223043831E-5</v>
      </c>
      <c r="AH25" s="6">
        <f t="shared" si="43"/>
        <v>4.2335752261651098</v>
      </c>
      <c r="AI25" s="6">
        <f t="shared" si="44"/>
        <v>0.26772176055383473</v>
      </c>
      <c r="AJ25" s="6">
        <f t="shared" si="18"/>
        <v>0.34505469750227707</v>
      </c>
      <c r="AK25" s="6">
        <f t="shared" si="19"/>
        <v>4.2619832664156903E-3</v>
      </c>
      <c r="AL25" s="6">
        <f t="shared" si="20"/>
        <v>2.6082449677283527E-4</v>
      </c>
      <c r="AM25" s="6">
        <f t="shared" si="21"/>
        <v>1.0477375529938573E-2</v>
      </c>
      <c r="AN25" s="6">
        <f t="shared" si="22"/>
        <v>40.170212765957444</v>
      </c>
      <c r="AO25" s="6">
        <f t="shared" ref="AO25:AU25" si="58">AH25/AH51-1</f>
        <v>2.712090848363391E-2</v>
      </c>
      <c r="AP25" s="6">
        <f t="shared" si="58"/>
        <v>-0.93439934399343993</v>
      </c>
      <c r="AQ25" s="6">
        <f t="shared" si="58"/>
        <v>-0.91684587813620078</v>
      </c>
      <c r="AR25" s="6">
        <f t="shared" si="58"/>
        <v>0.14637559473831496</v>
      </c>
      <c r="AS25" s="6">
        <f t="shared" si="58"/>
        <v>-0.22633744855967064</v>
      </c>
      <c r="AT25" s="6">
        <f t="shared" si="58"/>
        <v>1.1109713487071979</v>
      </c>
      <c r="AU25" s="6">
        <f t="shared" si="58"/>
        <v>1.7285427539140907</v>
      </c>
    </row>
    <row r="26" spans="1:47">
      <c r="A26" s="6" t="s">
        <v>240</v>
      </c>
      <c r="B26" s="6">
        <v>90</v>
      </c>
      <c r="C26" s="6">
        <v>28.83</v>
      </c>
      <c r="D26" s="6">
        <v>0.8</v>
      </c>
      <c r="E26" s="6">
        <v>1.08</v>
      </c>
      <c r="F26" s="6">
        <v>0.87</v>
      </c>
      <c r="G26" s="6">
        <v>2.95</v>
      </c>
      <c r="H26" s="6">
        <v>0.12</v>
      </c>
      <c r="I26" s="6">
        <f t="shared" si="31"/>
        <v>7.6288093369948999</v>
      </c>
      <c r="J26" s="6">
        <f t="shared" si="32"/>
        <v>0.4824287174601285</v>
      </c>
      <c r="K26" s="6">
        <f t="shared" si="33"/>
        <v>1.8019779806547309</v>
      </c>
      <c r="L26" s="6">
        <f t="shared" si="34"/>
        <v>0.62178096702058228</v>
      </c>
      <c r="M26" s="6">
        <f t="shared" si="35"/>
        <v>1.2244159766454354</v>
      </c>
      <c r="N26" s="6">
        <f t="shared" si="36"/>
        <v>4.4511475356935983E-2</v>
      </c>
      <c r="O26" s="6">
        <f t="shared" si="37"/>
        <v>80.138611351108366</v>
      </c>
      <c r="P26" s="6">
        <f t="shared" si="38"/>
        <v>91.967639938615349</v>
      </c>
      <c r="Q26" s="6">
        <v>76.8</v>
      </c>
      <c r="R26" s="6">
        <v>4.7</v>
      </c>
      <c r="S26" s="6">
        <v>61.2</v>
      </c>
      <c r="T26" s="6">
        <v>188.8</v>
      </c>
      <c r="U26" s="6">
        <f t="shared" si="15"/>
        <v>7.6799999999999993E-3</v>
      </c>
      <c r="V26" s="6">
        <f t="shared" si="16"/>
        <v>4.7000000000000004E-4</v>
      </c>
      <c r="W26" s="6">
        <f t="shared" si="17"/>
        <v>1.8880000000000001E-2</v>
      </c>
      <c r="X26" s="6">
        <f>I26/I51-1</f>
        <v>0.7332665330661321</v>
      </c>
      <c r="Y26" s="6">
        <f>J26/J51-1</f>
        <v>-0.88929889298892983</v>
      </c>
      <c r="Z26" s="6">
        <f>K26/K51-1</f>
        <v>0.6875</v>
      </c>
      <c r="AA26" s="6">
        <f t="shared" si="39"/>
        <v>1.4578670376867702</v>
      </c>
      <c r="AB26" s="6">
        <f t="shared" si="40"/>
        <v>4.665174520597665E-3</v>
      </c>
      <c r="AC26" s="6">
        <f t="shared" si="41"/>
        <v>6.4146149658217885E-5</v>
      </c>
      <c r="AD26" s="6">
        <f>I51*(100-AB26)/100</f>
        <v>4.4012004467834638</v>
      </c>
      <c r="AE26" s="6">
        <f>K51*(100-AC26)/100</f>
        <v>1.0678381183734746</v>
      </c>
      <c r="AF26" s="6">
        <f t="shared" si="42"/>
        <v>4.1215989306388021</v>
      </c>
      <c r="AG26" s="6">
        <f>AF26/AH51-1</f>
        <v>-4.6010313223043831E-5</v>
      </c>
      <c r="AH26" s="6">
        <f t="shared" si="43"/>
        <v>4.2335752261651098</v>
      </c>
      <c r="AI26" s="6">
        <f t="shared" si="44"/>
        <v>0.26772176055383473</v>
      </c>
      <c r="AJ26" s="6">
        <f t="shared" si="18"/>
        <v>0.34505469750227707</v>
      </c>
      <c r="AK26" s="6">
        <f t="shared" si="19"/>
        <v>4.2619832664156903E-3</v>
      </c>
      <c r="AL26" s="6">
        <f t="shared" si="20"/>
        <v>2.6082449677283527E-4</v>
      </c>
      <c r="AM26" s="6">
        <f t="shared" si="21"/>
        <v>1.0477375529938573E-2</v>
      </c>
      <c r="AN26" s="6">
        <f t="shared" si="22"/>
        <v>40.170212765957444</v>
      </c>
      <c r="AO26" s="6">
        <f t="shared" ref="AO26:AU26" si="59">AH26/AH51-1</f>
        <v>2.712090848363391E-2</v>
      </c>
      <c r="AP26" s="6">
        <f t="shared" si="59"/>
        <v>-0.93439934399343993</v>
      </c>
      <c r="AQ26" s="6">
        <f t="shared" si="59"/>
        <v>-0.91684587813620078</v>
      </c>
      <c r="AR26" s="6">
        <f t="shared" si="59"/>
        <v>0.14637559473831496</v>
      </c>
      <c r="AS26" s="6">
        <f t="shared" si="59"/>
        <v>-0.22633744855967064</v>
      </c>
      <c r="AT26" s="6">
        <f t="shared" si="59"/>
        <v>1.1109713487071979</v>
      </c>
      <c r="AU26" s="6">
        <f t="shared" si="59"/>
        <v>1.7285427539140907</v>
      </c>
    </row>
    <row r="27" spans="1:47">
      <c r="A27" s="6" t="s">
        <v>240</v>
      </c>
      <c r="B27" s="6">
        <v>250</v>
      </c>
      <c r="C27" s="6">
        <v>20.6</v>
      </c>
      <c r="D27" s="6">
        <v>0.62</v>
      </c>
      <c r="E27" s="6">
        <v>0.8</v>
      </c>
      <c r="F27" s="6">
        <v>2.85</v>
      </c>
      <c r="G27" s="6">
        <v>6.7</v>
      </c>
      <c r="H27" s="6">
        <v>0.1</v>
      </c>
      <c r="I27" s="6">
        <f t="shared" si="31"/>
        <v>5.4510396233817184</v>
      </c>
      <c r="J27" s="6">
        <f t="shared" si="32"/>
        <v>0.37388225603159947</v>
      </c>
      <c r="K27" s="6">
        <f t="shared" si="33"/>
        <v>1.3347985041886896</v>
      </c>
      <c r="L27" s="6">
        <f t="shared" si="34"/>
        <v>2.0368686850674251</v>
      </c>
      <c r="M27" s="6">
        <f t="shared" si="35"/>
        <v>2.7808769639065818</v>
      </c>
      <c r="N27" s="6">
        <f t="shared" si="36"/>
        <v>3.7092896130779991E-2</v>
      </c>
      <c r="O27" s="6">
        <f t="shared" si="37"/>
        <v>52.89252923685828</v>
      </c>
      <c r="P27" s="6">
        <f t="shared" si="38"/>
        <v>72.439053166716633</v>
      </c>
      <c r="Q27" s="6">
        <v>31.9</v>
      </c>
      <c r="R27" s="6">
        <v>5.9</v>
      </c>
      <c r="S27" s="6">
        <v>111</v>
      </c>
      <c r="T27" s="6">
        <v>42.9</v>
      </c>
      <c r="U27" s="6">
        <f t="shared" si="15"/>
        <v>3.1899999999999997E-3</v>
      </c>
      <c r="V27" s="6">
        <f t="shared" si="16"/>
        <v>5.9000000000000003E-4</v>
      </c>
      <c r="W27" s="6">
        <f t="shared" si="17"/>
        <v>4.2899999999999995E-3</v>
      </c>
      <c r="X27" s="6">
        <f>I27/I51-1</f>
        <v>0.23847695390781554</v>
      </c>
      <c r="Y27" s="6">
        <f>J27/J51-1</f>
        <v>-0.91420664206642066</v>
      </c>
      <c r="Z27" s="6">
        <f>K27/K51-1</f>
        <v>0.25</v>
      </c>
      <c r="AA27" s="6">
        <f t="shared" si="39"/>
        <v>1.4986994132236404</v>
      </c>
      <c r="AB27" s="6">
        <f t="shared" si="40"/>
        <v>4.79583812231565E-3</v>
      </c>
      <c r="AC27" s="6">
        <f t="shared" si="41"/>
        <v>6.5942774181840176E-5</v>
      </c>
      <c r="AD27" s="6">
        <f>I51*(100-AB27)/100</f>
        <v>4.4011946957481447</v>
      </c>
      <c r="AE27" s="6">
        <f>K51*(100-AC27)/100</f>
        <v>1.0678380991884209</v>
      </c>
      <c r="AF27" s="6">
        <f t="shared" si="42"/>
        <v>4.1215936190075482</v>
      </c>
      <c r="AG27" s="6">
        <f>AF27/AH51-1</f>
        <v>-4.7298984671595434E-5</v>
      </c>
      <c r="AH27" s="6">
        <f t="shared" si="43"/>
        <v>4.0837921276327336</v>
      </c>
      <c r="AI27" s="6">
        <f t="shared" si="44"/>
        <v>0.28010389197944946</v>
      </c>
      <c r="AJ27" s="6">
        <f t="shared" si="18"/>
        <v>1.5259746536092085</v>
      </c>
      <c r="AK27" s="6">
        <f t="shared" si="19"/>
        <v>2.3898738198983292E-3</v>
      </c>
      <c r="AL27" s="6">
        <f t="shared" si="20"/>
        <v>4.4201428016928351E-4</v>
      </c>
      <c r="AM27" s="6">
        <f t="shared" si="21"/>
        <v>3.2139682405529254E-3</v>
      </c>
      <c r="AN27" s="6">
        <f t="shared" si="22"/>
        <v>7.2711864406779654</v>
      </c>
      <c r="AO27" s="6">
        <f t="shared" ref="AO27:AU27" si="60">AH27/AH51-1</f>
        <v>-9.2184368737474598E-3</v>
      </c>
      <c r="AP27" s="6">
        <f t="shared" si="60"/>
        <v>-0.93136531365313657</v>
      </c>
      <c r="AQ27" s="6">
        <f t="shared" si="60"/>
        <v>-0.63225806451612898</v>
      </c>
      <c r="AR27" s="6">
        <f t="shared" si="60"/>
        <v>-0.35717884130982391</v>
      </c>
      <c r="AS27" s="6">
        <f t="shared" si="60"/>
        <v>0.31111111111111112</v>
      </c>
      <c r="AT27" s="6">
        <f t="shared" si="60"/>
        <v>-0.35245283018867934</v>
      </c>
      <c r="AU27" s="6">
        <f t="shared" si="60"/>
        <v>-0.50610809082187402</v>
      </c>
    </row>
    <row r="28" spans="1:47">
      <c r="A28" s="6" t="s">
        <v>240</v>
      </c>
      <c r="B28" s="6">
        <v>250</v>
      </c>
      <c r="C28" s="6">
        <v>20.6</v>
      </c>
      <c r="D28" s="6">
        <v>0.62</v>
      </c>
      <c r="E28" s="6">
        <v>0.8</v>
      </c>
      <c r="F28" s="6">
        <v>2.85</v>
      </c>
      <c r="G28" s="6">
        <v>6.7</v>
      </c>
      <c r="H28" s="6">
        <v>0.1</v>
      </c>
      <c r="I28" s="6">
        <f t="shared" si="31"/>
        <v>5.4510396233817184</v>
      </c>
      <c r="J28" s="6">
        <f t="shared" si="32"/>
        <v>0.37388225603159947</v>
      </c>
      <c r="K28" s="6">
        <f t="shared" si="33"/>
        <v>1.3347985041886896</v>
      </c>
      <c r="L28" s="6">
        <f t="shared" si="34"/>
        <v>2.0368686850674251</v>
      </c>
      <c r="M28" s="6">
        <f t="shared" si="35"/>
        <v>2.7808769639065818</v>
      </c>
      <c r="N28" s="6">
        <f t="shared" si="36"/>
        <v>3.7092896130779991E-2</v>
      </c>
      <c r="O28" s="6">
        <f t="shared" si="37"/>
        <v>52.89252923685828</v>
      </c>
      <c r="P28" s="6">
        <f t="shared" si="38"/>
        <v>72.439053166716633</v>
      </c>
      <c r="Q28" s="6">
        <v>31.9</v>
      </c>
      <c r="R28" s="6">
        <v>5.9</v>
      </c>
      <c r="S28" s="6">
        <v>111</v>
      </c>
      <c r="T28" s="6">
        <v>42.9</v>
      </c>
      <c r="U28" s="6">
        <f t="shared" si="15"/>
        <v>3.1899999999999997E-3</v>
      </c>
      <c r="V28" s="6">
        <f t="shared" si="16"/>
        <v>5.9000000000000003E-4</v>
      </c>
      <c r="W28" s="6">
        <f t="shared" si="17"/>
        <v>4.2899999999999995E-3</v>
      </c>
      <c r="X28" s="6">
        <f>I28/I51-1</f>
        <v>0.23847695390781554</v>
      </c>
      <c r="Y28" s="6">
        <f>J28/J51-1</f>
        <v>-0.91420664206642066</v>
      </c>
      <c r="Z28" s="6">
        <f>K28/K51-1</f>
        <v>0.25</v>
      </c>
      <c r="AA28" s="6">
        <f t="shared" si="39"/>
        <v>1.4986994132236404</v>
      </c>
      <c r="AB28" s="6">
        <f t="shared" si="40"/>
        <v>4.79583812231565E-3</v>
      </c>
      <c r="AC28" s="6">
        <f t="shared" si="41"/>
        <v>6.5942774181840176E-5</v>
      </c>
      <c r="AD28" s="6">
        <f>I51*(100-AB28)/100</f>
        <v>4.4011946957481447</v>
      </c>
      <c r="AE28" s="6">
        <f>K51*(100-AC28)/100</f>
        <v>1.0678380991884209</v>
      </c>
      <c r="AF28" s="6">
        <f t="shared" si="42"/>
        <v>4.1215936190075482</v>
      </c>
      <c r="AG28" s="6">
        <f>AF28/AH51-1</f>
        <v>-4.7298984671595434E-5</v>
      </c>
      <c r="AH28" s="6">
        <f t="shared" si="43"/>
        <v>4.0837921276327336</v>
      </c>
      <c r="AI28" s="6">
        <f t="shared" si="44"/>
        <v>0.28010389197944946</v>
      </c>
      <c r="AJ28" s="6">
        <f t="shared" si="18"/>
        <v>1.5259746536092085</v>
      </c>
      <c r="AK28" s="6">
        <f t="shared" si="19"/>
        <v>2.3898738198983292E-3</v>
      </c>
      <c r="AL28" s="6">
        <f t="shared" si="20"/>
        <v>4.4201428016928351E-4</v>
      </c>
      <c r="AM28" s="6">
        <f t="shared" si="21"/>
        <v>3.2139682405529254E-3</v>
      </c>
      <c r="AN28" s="6">
        <f t="shared" si="22"/>
        <v>7.2711864406779654</v>
      </c>
      <c r="AO28" s="6">
        <f t="shared" ref="AO28:AU28" si="61">AH28/AH51-1</f>
        <v>-9.2184368737474598E-3</v>
      </c>
      <c r="AP28" s="6">
        <f t="shared" si="61"/>
        <v>-0.93136531365313657</v>
      </c>
      <c r="AQ28" s="6">
        <f t="shared" si="61"/>
        <v>-0.63225806451612898</v>
      </c>
      <c r="AR28" s="6">
        <f t="shared" si="61"/>
        <v>-0.35717884130982391</v>
      </c>
      <c r="AS28" s="6">
        <f t="shared" si="61"/>
        <v>0.31111111111111112</v>
      </c>
      <c r="AT28" s="6">
        <f t="shared" si="61"/>
        <v>-0.35245283018867934</v>
      </c>
      <c r="AU28" s="6">
        <f t="shared" si="61"/>
        <v>-0.50610809082187402</v>
      </c>
    </row>
    <row r="29" spans="1:47">
      <c r="A29" s="6" t="s">
        <v>240</v>
      </c>
      <c r="B29" s="6">
        <v>300</v>
      </c>
      <c r="C29" s="6">
        <v>17.010000000000002</v>
      </c>
      <c r="D29" s="6">
        <v>0.74</v>
      </c>
      <c r="E29" s="6">
        <v>0.56000000000000005</v>
      </c>
      <c r="F29" s="6">
        <v>3.58</v>
      </c>
      <c r="G29" s="6">
        <v>4.22</v>
      </c>
      <c r="H29" s="6">
        <v>0.22</v>
      </c>
      <c r="I29" s="6">
        <f t="shared" si="31"/>
        <v>4.5010768928991771</v>
      </c>
      <c r="J29" s="6">
        <f t="shared" si="32"/>
        <v>0.44624656365061871</v>
      </c>
      <c r="K29" s="6">
        <f t="shared" si="33"/>
        <v>0.93435895293208271</v>
      </c>
      <c r="L29" s="6">
        <f t="shared" si="34"/>
        <v>2.5585929447513616</v>
      </c>
      <c r="M29" s="6">
        <f t="shared" si="35"/>
        <v>1.7515374309978766</v>
      </c>
      <c r="N29" s="6">
        <f t="shared" si="36"/>
        <v>8.1604371487715974E-2</v>
      </c>
      <c r="O29" s="6">
        <f t="shared" si="37"/>
        <v>50.614778261853246</v>
      </c>
      <c r="P29" s="6">
        <f t="shared" si="38"/>
        <v>63.02904441254227</v>
      </c>
      <c r="Q29" s="6">
        <v>33.799999999999997</v>
      </c>
      <c r="R29" s="6">
        <v>5.3</v>
      </c>
      <c r="S29" s="6">
        <v>81.599999999999994</v>
      </c>
      <c r="T29" s="6">
        <v>40.700000000000003</v>
      </c>
      <c r="U29" s="6">
        <f t="shared" si="15"/>
        <v>3.3799999999999998E-3</v>
      </c>
      <c r="V29" s="6">
        <f t="shared" si="16"/>
        <v>5.2999999999999998E-4</v>
      </c>
      <c r="W29" s="6">
        <f t="shared" si="17"/>
        <v>4.0700000000000007E-3</v>
      </c>
      <c r="X29" s="6">
        <f>I29/I51-1</f>
        <v>2.2645290581162492E-2</v>
      </c>
      <c r="Y29" s="6">
        <f>J29/J51-1</f>
        <v>-0.89760147601476015</v>
      </c>
      <c r="Z29" s="6">
        <f>K29/K51-1</f>
        <v>-0.125</v>
      </c>
      <c r="AA29" s="6">
        <f t="shared" si="39"/>
        <v>1.4714778295323938</v>
      </c>
      <c r="AB29" s="6">
        <f t="shared" si="40"/>
        <v>4.7087290545036603E-3</v>
      </c>
      <c r="AC29" s="6">
        <f t="shared" si="41"/>
        <v>6.474502449942532E-5</v>
      </c>
      <c r="AD29" s="6">
        <f>I51*(100-AB29)/100</f>
        <v>4.4011985297716913</v>
      </c>
      <c r="AE29" s="6">
        <f>K51*(100-AC29)/100</f>
        <v>1.0678381119784568</v>
      </c>
      <c r="AF29" s="6">
        <f t="shared" si="42"/>
        <v>4.1215971600950727</v>
      </c>
      <c r="AG29" s="6">
        <f>AF29/AH51-1</f>
        <v>-4.6439870367231961E-5</v>
      </c>
      <c r="AH29" s="6">
        <f t="shared" si="43"/>
        <v>4.8172887719162834</v>
      </c>
      <c r="AI29" s="6">
        <f t="shared" si="44"/>
        <v>0.4775964978451443</v>
      </c>
      <c r="AJ29" s="6">
        <f t="shared" si="18"/>
        <v>2.7383404811633909</v>
      </c>
      <c r="AK29" s="6">
        <f t="shared" si="19"/>
        <v>3.617453430925371E-3</v>
      </c>
      <c r="AL29" s="6">
        <f t="shared" si="20"/>
        <v>5.6723382200900784E-4</v>
      </c>
      <c r="AM29" s="6">
        <f t="shared" si="21"/>
        <v>4.3559276520314391E-3</v>
      </c>
      <c r="AN29" s="6">
        <f t="shared" si="22"/>
        <v>7.6792452830188696</v>
      </c>
      <c r="AO29" s="6">
        <f t="shared" ref="AO29:AU29" si="62">AH29/AH51-1</f>
        <v>0.16873747494989999</v>
      </c>
      <c r="AP29" s="6">
        <f t="shared" si="62"/>
        <v>-0.88297311544544022</v>
      </c>
      <c r="AQ29" s="6">
        <f t="shared" si="62"/>
        <v>-0.34009216589861768</v>
      </c>
      <c r="AR29" s="6">
        <f t="shared" si="62"/>
        <v>-2.6988125224901238E-2</v>
      </c>
      <c r="AS29" s="6">
        <f t="shared" si="62"/>
        <v>0.68253968253968234</v>
      </c>
      <c r="AT29" s="6">
        <f t="shared" si="62"/>
        <v>-0.12237196765498626</v>
      </c>
      <c r="AU29" s="6">
        <f t="shared" si="62"/>
        <v>-0.47839088643645411</v>
      </c>
    </row>
    <row r="30" spans="1:47">
      <c r="A30" s="6" t="s">
        <v>240</v>
      </c>
      <c r="B30" s="6">
        <v>300</v>
      </c>
      <c r="C30" s="6">
        <v>17.010000000000002</v>
      </c>
      <c r="D30" s="6">
        <v>0.74</v>
      </c>
      <c r="E30" s="6">
        <v>0.56000000000000005</v>
      </c>
      <c r="F30" s="6">
        <v>3.58</v>
      </c>
      <c r="G30" s="6">
        <v>4.22</v>
      </c>
      <c r="H30" s="6">
        <v>0.22</v>
      </c>
      <c r="I30" s="6">
        <f>C30*26.98/101.96</f>
        <v>4.5010768928991771</v>
      </c>
      <c r="J30" s="6">
        <f>D30*24.305/40.3044</f>
        <v>0.44624656365061871</v>
      </c>
      <c r="K30" s="6">
        <f>E30*79.866/47.867</f>
        <v>0.93435895293208271</v>
      </c>
      <c r="L30" s="6">
        <f>F30*40.078/56.0774</f>
        <v>2.5585929447513616</v>
      </c>
      <c r="M30" s="6">
        <f>G30*39.0983/94.2</f>
        <v>1.7515374309978766</v>
      </c>
      <c r="N30" s="6">
        <f>H30*22.989769/61.9789</f>
        <v>8.1604371487715974E-2</v>
      </c>
      <c r="O30" s="6">
        <f>100*(I30/(I30+L30+M30+N30))</f>
        <v>50.614778261853246</v>
      </c>
      <c r="P30" s="6">
        <f>100*(I30/(I30+L30+N30))</f>
        <v>63.02904441254227</v>
      </c>
      <c r="Q30" s="6">
        <v>33.799999999999997</v>
      </c>
      <c r="R30" s="6">
        <v>5.3</v>
      </c>
      <c r="S30" s="6">
        <v>81.599999999999994</v>
      </c>
      <c r="T30" s="6">
        <v>40.700000000000003</v>
      </c>
      <c r="U30" s="6">
        <f t="shared" si="15"/>
        <v>3.3799999999999998E-3</v>
      </c>
      <c r="V30" s="6">
        <f t="shared" si="16"/>
        <v>5.2999999999999998E-4</v>
      </c>
      <c r="W30" s="6">
        <f t="shared" si="17"/>
        <v>4.0700000000000007E-3</v>
      </c>
      <c r="X30" s="6">
        <f>I30/I51-1</f>
        <v>2.2645290581162492E-2</v>
      </c>
      <c r="Y30" s="6">
        <f>J30/J51-1</f>
        <v>-0.89760147601476015</v>
      </c>
      <c r="Z30" s="6">
        <f>K30/K51-1</f>
        <v>-0.125</v>
      </c>
      <c r="AA30" s="6">
        <f>Y30/-0.61</f>
        <v>1.4714778295323938</v>
      </c>
      <c r="AB30" s="6">
        <f>AA30*0.0032</f>
        <v>4.7087290545036603E-3</v>
      </c>
      <c r="AC30" s="6">
        <f>AA30*0.000044</f>
        <v>6.474502449942532E-5</v>
      </c>
      <c r="AD30" s="6">
        <f>I51*(100-AB30)/100</f>
        <v>4.4011985297716913</v>
      </c>
      <c r="AE30" s="6">
        <f>K51*(100-AC30)/100</f>
        <v>1.0678381119784568</v>
      </c>
      <c r="AF30" s="6">
        <f>AD30/AE30</f>
        <v>4.1215971600950727</v>
      </c>
      <c r="AG30" s="6">
        <f>AF30/AH51-1</f>
        <v>-4.6439870367231961E-5</v>
      </c>
      <c r="AH30" s="6">
        <f>I30/K30</f>
        <v>4.8172887719162834</v>
      </c>
      <c r="AI30" s="6">
        <f>J30/K30</f>
        <v>0.4775964978451443</v>
      </c>
      <c r="AJ30" s="6">
        <f t="shared" si="18"/>
        <v>2.7383404811633909</v>
      </c>
      <c r="AK30" s="6">
        <f t="shared" si="19"/>
        <v>3.617453430925371E-3</v>
      </c>
      <c r="AL30" s="6">
        <f t="shared" si="20"/>
        <v>5.6723382200900784E-4</v>
      </c>
      <c r="AM30" s="6">
        <f t="shared" si="21"/>
        <v>4.3559276520314391E-3</v>
      </c>
      <c r="AN30" s="6">
        <f t="shared" si="22"/>
        <v>7.6792452830188696</v>
      </c>
      <c r="AO30" s="6">
        <f t="shared" ref="AO30:AU30" si="63">AH30/AH51-1</f>
        <v>0.16873747494989999</v>
      </c>
      <c r="AP30" s="6">
        <f t="shared" si="63"/>
        <v>-0.88297311544544022</v>
      </c>
      <c r="AQ30" s="6">
        <f t="shared" si="63"/>
        <v>-0.34009216589861768</v>
      </c>
      <c r="AR30" s="6">
        <f t="shared" si="63"/>
        <v>-2.6988125224901238E-2</v>
      </c>
      <c r="AS30" s="6">
        <f t="shared" si="63"/>
        <v>0.68253968253968234</v>
      </c>
      <c r="AT30" s="6">
        <f t="shared" si="63"/>
        <v>-0.12237196765498626</v>
      </c>
      <c r="AU30" s="6">
        <f t="shared" si="63"/>
        <v>-0.47839088643645411</v>
      </c>
    </row>
    <row r="31" spans="1:47">
      <c r="A31" s="6" t="s">
        <v>216</v>
      </c>
      <c r="B31" s="6">
        <v>500</v>
      </c>
      <c r="C31" s="6">
        <v>16.829999999999998</v>
      </c>
      <c r="D31" s="6">
        <v>0.69</v>
      </c>
      <c r="E31" s="6">
        <v>0.68</v>
      </c>
      <c r="F31" s="6">
        <v>10.33</v>
      </c>
      <c r="G31" s="6">
        <v>5.92</v>
      </c>
      <c r="H31" s="6">
        <v>0.05</v>
      </c>
      <c r="I31" s="6">
        <f>C31*26.98/101.96</f>
        <v>4.453446449588073</v>
      </c>
      <c r="J31" s="6">
        <f>D31*24.305/40.3044</f>
        <v>0.41609476880936069</v>
      </c>
      <c r="K31" s="6">
        <f>E31*79.866/47.867</f>
        <v>1.1345787285603861</v>
      </c>
      <c r="L31" s="6">
        <f>F31*40.078/56.0774</f>
        <v>7.3827556199110527</v>
      </c>
      <c r="M31" s="6">
        <f>G31*39.0983/94.2</f>
        <v>2.4571330785562635</v>
      </c>
      <c r="N31" s="6">
        <f>H31*22.989769/61.9789</f>
        <v>1.8546448065389996E-2</v>
      </c>
      <c r="O31" s="6">
        <f>100*(I31/(I31+L31+M31+N31))</f>
        <v>31.117127539646322</v>
      </c>
      <c r="P31" s="6">
        <f>100*(I31/(I31+L31+N31))</f>
        <v>37.566772867342152</v>
      </c>
      <c r="Q31" s="6">
        <v>37</v>
      </c>
      <c r="R31" s="6">
        <v>7</v>
      </c>
      <c r="S31" s="6">
        <v>83.3</v>
      </c>
      <c r="T31" s="6">
        <v>26.3</v>
      </c>
      <c r="U31" s="6">
        <f t="shared" si="15"/>
        <v>3.7000000000000002E-3</v>
      </c>
      <c r="V31" s="6">
        <f t="shared" si="16"/>
        <v>6.9999999999999999E-4</v>
      </c>
      <c r="W31" s="6">
        <f t="shared" si="17"/>
        <v>2.63E-3</v>
      </c>
      <c r="X31" s="6">
        <f>I31/I51-1</f>
        <v>1.1823647294588957E-2</v>
      </c>
      <c r="Y31" s="6">
        <f>J31/J51-1</f>
        <v>-0.90452029520295207</v>
      </c>
      <c r="Z31" s="6">
        <f>K31/K51-1</f>
        <v>6.25E-2</v>
      </c>
      <c r="AA31" s="6">
        <f>Y31/-0.61</f>
        <v>1.4828201560704133</v>
      </c>
      <c r="AB31" s="6">
        <f>AA31*0.0032</f>
        <v>4.7450244994253227E-3</v>
      </c>
      <c r="AC31" s="6">
        <f>AA31*0.000044</f>
        <v>6.5244086867098178E-5</v>
      </c>
      <c r="AD31" s="6">
        <f>I51*(100-AB31)/100</f>
        <v>4.4011969322618798</v>
      </c>
      <c r="AE31" s="6">
        <f>K51*(100-AC31)/100</f>
        <v>1.0678381066492753</v>
      </c>
      <c r="AF31" s="6">
        <f>AD31/AE31</f>
        <v>4.1215956846419468</v>
      </c>
      <c r="AG31" s="6">
        <f>AF31/AH51-1</f>
        <v>-4.6797834658440784E-5</v>
      </c>
      <c r="AH31" s="6">
        <f>I31/K31</f>
        <v>3.925198258598452</v>
      </c>
      <c r="AI31" s="6">
        <f>J31/K31</f>
        <v>0.36673944111161322</v>
      </c>
      <c r="AJ31" s="6">
        <f t="shared" si="18"/>
        <v>6.5070456849465934</v>
      </c>
      <c r="AK31" s="6">
        <f t="shared" si="19"/>
        <v>3.2611223063336971E-3</v>
      </c>
      <c r="AL31" s="6">
        <f t="shared" si="20"/>
        <v>6.1696908498205078E-4</v>
      </c>
      <c r="AM31" s="6">
        <f t="shared" si="21"/>
        <v>2.3180409907182765E-3</v>
      </c>
      <c r="AN31" s="6">
        <f t="shared" si="22"/>
        <v>3.7571428571428571</v>
      </c>
      <c r="AO31" s="6">
        <f t="shared" ref="AO31:AU31" si="64">AH31/AH51-1</f>
        <v>-4.7695390781563263E-2</v>
      </c>
      <c r="AP31" s="6">
        <f t="shared" si="64"/>
        <v>-0.91013674842630776</v>
      </c>
      <c r="AQ31" s="6">
        <f t="shared" si="64"/>
        <v>0.56812144212523719</v>
      </c>
      <c r="AR31" s="6">
        <f t="shared" si="64"/>
        <v>-0.12283301229811838</v>
      </c>
      <c r="AS31" s="6">
        <f t="shared" si="64"/>
        <v>0.83006535947712412</v>
      </c>
      <c r="AT31" s="6">
        <f t="shared" si="64"/>
        <v>-0.53296337402885685</v>
      </c>
      <c r="AU31" s="6">
        <f t="shared" si="64"/>
        <v>-0.74479784366576818</v>
      </c>
    </row>
    <row r="32" spans="1:47">
      <c r="A32" s="6" t="s">
        <v>216</v>
      </c>
      <c r="B32" s="6">
        <v>500</v>
      </c>
      <c r="C32" s="6">
        <v>16.829999999999998</v>
      </c>
      <c r="D32" s="6">
        <v>0.69</v>
      </c>
      <c r="E32" s="6">
        <v>0.68</v>
      </c>
      <c r="F32" s="6">
        <v>10.33</v>
      </c>
      <c r="G32" s="6">
        <v>5.92</v>
      </c>
      <c r="H32" s="6">
        <v>0.05</v>
      </c>
      <c r="I32" s="6">
        <f>C32*26.98/101.96</f>
        <v>4.453446449588073</v>
      </c>
      <c r="J32" s="6">
        <f>D32*24.305/40.3044</f>
        <v>0.41609476880936069</v>
      </c>
      <c r="K32" s="6">
        <f>E32*79.866/47.867</f>
        <v>1.1345787285603861</v>
      </c>
      <c r="L32" s="6">
        <f>F32*40.078/56.0774</f>
        <v>7.3827556199110527</v>
      </c>
      <c r="M32" s="6">
        <f>G32*39.0983/94.2</f>
        <v>2.4571330785562635</v>
      </c>
      <c r="N32" s="6">
        <f>H32*22.989769/61.9789</f>
        <v>1.8546448065389996E-2</v>
      </c>
      <c r="O32" s="6">
        <f>100*(I32/(I32+L32+M32+N32))</f>
        <v>31.117127539646322</v>
      </c>
      <c r="P32" s="6">
        <f>100*(I32/(I32+L32+N32))</f>
        <v>37.566772867342152</v>
      </c>
      <c r="Q32" s="6">
        <v>37</v>
      </c>
      <c r="R32" s="6">
        <v>7</v>
      </c>
      <c r="S32" s="6">
        <v>83.3</v>
      </c>
      <c r="T32" s="6">
        <v>26.3</v>
      </c>
      <c r="U32" s="6">
        <f t="shared" si="15"/>
        <v>3.7000000000000002E-3</v>
      </c>
      <c r="V32" s="6">
        <f t="shared" si="16"/>
        <v>6.9999999999999999E-4</v>
      </c>
      <c r="W32" s="6">
        <f t="shared" si="17"/>
        <v>2.63E-3</v>
      </c>
      <c r="X32" s="6">
        <f>I32/I51-1</f>
        <v>1.1823647294588957E-2</v>
      </c>
      <c r="Y32" s="6">
        <f>J32/J51-1</f>
        <v>-0.90452029520295207</v>
      </c>
      <c r="Z32" s="6">
        <f>K32/K51-1</f>
        <v>6.25E-2</v>
      </c>
      <c r="AA32" s="6">
        <f>Y32/-0.61</f>
        <v>1.4828201560704133</v>
      </c>
      <c r="AB32" s="6">
        <f>AA32*0.0032</f>
        <v>4.7450244994253227E-3</v>
      </c>
      <c r="AC32" s="6">
        <f>AA32*0.000044</f>
        <v>6.5244086867098178E-5</v>
      </c>
      <c r="AD32" s="6">
        <f>I51*(100-AB32)/100</f>
        <v>4.4011969322618798</v>
      </c>
      <c r="AE32" s="6">
        <f>K51*(100-AC32)/100</f>
        <v>1.0678381066492753</v>
      </c>
      <c r="AF32" s="6">
        <f>AD32/AE32</f>
        <v>4.1215956846419468</v>
      </c>
      <c r="AG32" s="6">
        <f>AF32/AH51-1</f>
        <v>-4.6797834658440784E-5</v>
      </c>
      <c r="AH32" s="6">
        <f>I32/K32</f>
        <v>3.925198258598452</v>
      </c>
      <c r="AI32" s="6">
        <f>J32/K32</f>
        <v>0.36673944111161322</v>
      </c>
      <c r="AJ32" s="6">
        <f t="shared" si="18"/>
        <v>6.5070456849465934</v>
      </c>
      <c r="AK32" s="6">
        <f t="shared" si="19"/>
        <v>3.2611223063336971E-3</v>
      </c>
      <c r="AL32" s="6">
        <f t="shared" si="20"/>
        <v>6.1696908498205078E-4</v>
      </c>
      <c r="AM32" s="6">
        <f t="shared" si="21"/>
        <v>2.3180409907182765E-3</v>
      </c>
      <c r="AN32" s="6">
        <f t="shared" si="22"/>
        <v>3.7571428571428571</v>
      </c>
      <c r="AO32" s="6">
        <f t="shared" ref="AO32:AU32" si="65">AH32/AH51-1</f>
        <v>-4.7695390781563263E-2</v>
      </c>
      <c r="AP32" s="6">
        <f t="shared" si="65"/>
        <v>-0.91013674842630776</v>
      </c>
      <c r="AQ32" s="6">
        <f t="shared" si="65"/>
        <v>0.56812144212523719</v>
      </c>
      <c r="AR32" s="6">
        <f t="shared" si="65"/>
        <v>-0.12283301229811838</v>
      </c>
      <c r="AS32" s="6">
        <f t="shared" si="65"/>
        <v>0.83006535947712412</v>
      </c>
      <c r="AT32" s="6">
        <f t="shared" si="65"/>
        <v>-0.53296337402885685</v>
      </c>
      <c r="AU32" s="6">
        <f t="shared" si="65"/>
        <v>-0.74479784366576818</v>
      </c>
    </row>
    <row r="33" spans="1:47">
      <c r="A33" s="6" t="s">
        <v>216</v>
      </c>
      <c r="B33" s="6">
        <v>500</v>
      </c>
      <c r="C33" s="6">
        <v>16.89</v>
      </c>
      <c r="D33" s="6">
        <v>3.57</v>
      </c>
      <c r="E33" s="6">
        <v>0.56999999999999995</v>
      </c>
      <c r="F33" s="6">
        <v>3.83</v>
      </c>
      <c r="G33" s="6">
        <v>4.6100000000000003</v>
      </c>
      <c r="H33" s="6">
        <v>0.17</v>
      </c>
      <c r="I33" s="6">
        <f>C33*26.98/101.96</f>
        <v>4.4693232640251086</v>
      </c>
      <c r="J33" s="6">
        <f>D33*24.305/40.3044</f>
        <v>2.152838151665823</v>
      </c>
      <c r="K33" s="6">
        <f>E33*79.866/47.867</f>
        <v>0.95104393423444122</v>
      </c>
      <c r="L33" s="6">
        <f>F33*40.078/56.0774</f>
        <v>2.7372656364239432</v>
      </c>
      <c r="M33" s="6">
        <f>G33*39.0983/94.2</f>
        <v>1.9134093736730362</v>
      </c>
      <c r="N33" s="6">
        <f>H33*22.989769/61.9789</f>
        <v>6.3057923422325982E-2</v>
      </c>
      <c r="O33" s="6">
        <f>100*(I33/(I33+L33+M33+N33))</f>
        <v>48.669235686701157</v>
      </c>
      <c r="P33" s="6">
        <f>100*(I33/(I33+L33+N33))</f>
        <v>61.47923513077923</v>
      </c>
      <c r="Q33" s="6">
        <v>34.700000000000003</v>
      </c>
      <c r="R33" s="6">
        <v>5.2</v>
      </c>
      <c r="S33" s="6">
        <v>93.3</v>
      </c>
      <c r="T33" s="6">
        <v>45.7</v>
      </c>
      <c r="U33" s="6">
        <f t="shared" si="15"/>
        <v>3.4700000000000004E-3</v>
      </c>
      <c r="V33" s="6">
        <f t="shared" si="16"/>
        <v>5.2000000000000006E-4</v>
      </c>
      <c r="W33" s="6">
        <f t="shared" si="17"/>
        <v>4.5700000000000003E-3</v>
      </c>
      <c r="X33" s="6">
        <f>I33/I51-1</f>
        <v>1.5430861723446876E-2</v>
      </c>
      <c r="Y33" s="6">
        <f>J33/J51-1</f>
        <v>-0.50599630996309963</v>
      </c>
      <c r="Z33" s="6">
        <f>K33/K51-1</f>
        <v>-0.109375</v>
      </c>
      <c r="AA33" s="6">
        <f>Y33/-0.61</f>
        <v>0.82950214748049123</v>
      </c>
      <c r="AB33" s="6">
        <f>AA33*0.0032</f>
        <v>2.6544068719375718E-3</v>
      </c>
      <c r="AC33" s="6">
        <f>AA33*0.000044</f>
        <v>3.6498094489141611E-5</v>
      </c>
      <c r="AD33" s="6">
        <f>I51*(100-AB33)/100</f>
        <v>4.4012889488269744</v>
      </c>
      <c r="AE33" s="6">
        <f>K51*(100-AC33)/100</f>
        <v>1.0678384136101362</v>
      </c>
      <c r="AF33" s="6">
        <f>AD33/AE33</f>
        <v>4.1216806707179092</v>
      </c>
      <c r="AG33" s="6">
        <f>AF33/AH51-1</f>
        <v>-2.6179097329492862E-5</v>
      </c>
      <c r="AH33" s="6">
        <f>I33/K33</f>
        <v>4.6993867508579035</v>
      </c>
      <c r="AI33" s="6">
        <f>J33/K33</f>
        <v>2.263657938577555</v>
      </c>
      <c r="AJ33" s="6">
        <f t="shared" si="18"/>
        <v>2.8781694913257097</v>
      </c>
      <c r="AK33" s="6">
        <f t="shared" si="19"/>
        <v>3.6486221877785646E-3</v>
      </c>
      <c r="AL33" s="6">
        <f t="shared" si="20"/>
        <v>5.4676759009938145E-4</v>
      </c>
      <c r="AM33" s="6">
        <f t="shared" si="21"/>
        <v>4.8052459360657176E-3</v>
      </c>
      <c r="AN33" s="6">
        <f t="shared" si="22"/>
        <v>8.7884615384615383</v>
      </c>
      <c r="AO33" s="6">
        <f t="shared" ref="AO33:AU33" si="66">AH33/AH51-1</f>
        <v>0.14013289737369483</v>
      </c>
      <c r="AP33" s="6">
        <f t="shared" si="66"/>
        <v>-0.44532919013400651</v>
      </c>
      <c r="AQ33" s="6">
        <f t="shared" si="66"/>
        <v>-0.30639501980758332</v>
      </c>
      <c r="AR33" s="6">
        <f t="shared" si="66"/>
        <v>-1.8604445622873333E-2</v>
      </c>
      <c r="AS33" s="6">
        <f t="shared" si="66"/>
        <v>0.62183235867446407</v>
      </c>
      <c r="AT33" s="6">
        <f t="shared" si="66"/>
        <v>-3.1843760344256733E-2</v>
      </c>
      <c r="AU33" s="6">
        <f t="shared" si="66"/>
        <v>-0.40304789550072562</v>
      </c>
    </row>
    <row r="34" spans="1:47">
      <c r="A34" s="6" t="s">
        <v>216</v>
      </c>
      <c r="B34" s="6">
        <v>500</v>
      </c>
      <c r="C34" s="6">
        <v>16.89</v>
      </c>
      <c r="D34" s="6">
        <v>3.57</v>
      </c>
      <c r="E34" s="6">
        <v>0.56999999999999995</v>
      </c>
      <c r="F34" s="6">
        <v>3.83</v>
      </c>
      <c r="G34" s="6">
        <v>4.6100000000000003</v>
      </c>
      <c r="H34" s="6">
        <v>0.17</v>
      </c>
      <c r="I34" s="6">
        <f t="shared" ref="I34:I41" si="67">C34*26.98/101.96</f>
        <v>4.4693232640251086</v>
      </c>
      <c r="J34" s="6">
        <f t="shared" ref="J34:J41" si="68">D34*24.305/40.3044</f>
        <v>2.152838151665823</v>
      </c>
      <c r="K34" s="6">
        <f t="shared" ref="K34:K41" si="69">E34*79.866/47.867</f>
        <v>0.95104393423444122</v>
      </c>
      <c r="L34" s="6">
        <f t="shared" ref="L34:L41" si="70">F34*40.078/56.0774</f>
        <v>2.7372656364239432</v>
      </c>
      <c r="M34" s="6">
        <f t="shared" ref="M34:M41" si="71">G34*39.0983/94.2</f>
        <v>1.9134093736730362</v>
      </c>
      <c r="N34" s="6">
        <f t="shared" ref="N34:N41" si="72">H34*22.989769/61.9789</f>
        <v>6.3057923422325982E-2</v>
      </c>
      <c r="O34" s="6">
        <f t="shared" ref="O34:O41" si="73">100*(I34/(I34+L34+M34+N34))</f>
        <v>48.669235686701157</v>
      </c>
      <c r="P34" s="6">
        <f t="shared" ref="P34:P41" si="74">100*(I34/(I34+L34+N34))</f>
        <v>61.47923513077923</v>
      </c>
      <c r="Q34" s="6">
        <v>34.700000000000003</v>
      </c>
      <c r="R34" s="6">
        <v>5.2</v>
      </c>
      <c r="S34" s="6">
        <v>93.3</v>
      </c>
      <c r="T34" s="6">
        <v>45.7</v>
      </c>
      <c r="U34" s="6">
        <f t="shared" si="15"/>
        <v>3.4700000000000004E-3</v>
      </c>
      <c r="V34" s="6">
        <f t="shared" si="16"/>
        <v>5.2000000000000006E-4</v>
      </c>
      <c r="W34" s="6">
        <f t="shared" si="17"/>
        <v>4.5700000000000003E-3</v>
      </c>
      <c r="X34" s="6">
        <f>I34/I51-1</f>
        <v>1.5430861723446876E-2</v>
      </c>
      <c r="Y34" s="6">
        <f>J34/J51-1</f>
        <v>-0.50599630996309963</v>
      </c>
      <c r="Z34" s="6">
        <f>K34/K51-1</f>
        <v>-0.109375</v>
      </c>
      <c r="AA34" s="6">
        <f t="shared" ref="AA34:AA41" si="75">Y34/-0.61</f>
        <v>0.82950214748049123</v>
      </c>
      <c r="AB34" s="6">
        <f t="shared" ref="AB34:AB41" si="76">AA34*0.0032</f>
        <v>2.6544068719375718E-3</v>
      </c>
      <c r="AC34" s="6">
        <f t="shared" ref="AC34:AC41" si="77">AA34*0.000044</f>
        <v>3.6498094489141611E-5</v>
      </c>
      <c r="AD34" s="6">
        <f>I51*(100-AB34)/100</f>
        <v>4.4012889488269744</v>
      </c>
      <c r="AE34" s="6">
        <f>K51*(100-AC34)/100</f>
        <v>1.0678384136101362</v>
      </c>
      <c r="AF34" s="6">
        <f t="shared" ref="AF34:AF41" si="78">AD34/AE34</f>
        <v>4.1216806707179092</v>
      </c>
      <c r="AG34" s="6">
        <f>AF34/AH51-1</f>
        <v>-2.6179097329492862E-5</v>
      </c>
      <c r="AH34" s="6">
        <f t="shared" ref="AH34:AH41" si="79">I34/K34</f>
        <v>4.6993867508579035</v>
      </c>
      <c r="AI34" s="6">
        <f t="shared" ref="AI34:AI41" si="80">J34/K34</f>
        <v>2.263657938577555</v>
      </c>
      <c r="AJ34" s="6">
        <f t="shared" si="18"/>
        <v>2.8781694913257097</v>
      </c>
      <c r="AK34" s="6">
        <f t="shared" si="19"/>
        <v>3.6486221877785646E-3</v>
      </c>
      <c r="AL34" s="6">
        <f t="shared" si="20"/>
        <v>5.4676759009938145E-4</v>
      </c>
      <c r="AM34" s="6">
        <f t="shared" si="21"/>
        <v>4.8052459360657176E-3</v>
      </c>
      <c r="AN34" s="6">
        <f t="shared" si="22"/>
        <v>8.7884615384615383</v>
      </c>
      <c r="AO34" s="6">
        <f t="shared" ref="AO34:AU34" si="81">AH34/AH51-1</f>
        <v>0.14013289737369483</v>
      </c>
      <c r="AP34" s="6">
        <f t="shared" si="81"/>
        <v>-0.44532919013400651</v>
      </c>
      <c r="AQ34" s="6">
        <f t="shared" si="81"/>
        <v>-0.30639501980758332</v>
      </c>
      <c r="AR34" s="6">
        <f t="shared" si="81"/>
        <v>-1.8604445622873333E-2</v>
      </c>
      <c r="AS34" s="6">
        <f t="shared" si="81"/>
        <v>0.62183235867446407</v>
      </c>
      <c r="AT34" s="6">
        <f t="shared" si="81"/>
        <v>-3.1843760344256733E-2</v>
      </c>
      <c r="AU34" s="6">
        <f t="shared" si="81"/>
        <v>-0.40304789550072562</v>
      </c>
    </row>
    <row r="35" spans="1:47">
      <c r="A35" s="6" t="s">
        <v>216</v>
      </c>
      <c r="B35" s="6">
        <v>600</v>
      </c>
      <c r="C35" s="6">
        <v>16.559999999999999</v>
      </c>
      <c r="D35" s="6">
        <v>5.73</v>
      </c>
      <c r="E35" s="6">
        <v>0.53</v>
      </c>
      <c r="F35" s="6">
        <v>5.36</v>
      </c>
      <c r="G35" s="6">
        <v>3.06</v>
      </c>
      <c r="H35" s="6">
        <v>1.8</v>
      </c>
      <c r="I35" s="6">
        <f t="shared" si="67"/>
        <v>4.38200078462142</v>
      </c>
      <c r="J35" s="6">
        <f t="shared" si="68"/>
        <v>3.4553956888081698</v>
      </c>
      <c r="K35" s="6">
        <f t="shared" si="69"/>
        <v>0.88430400902500683</v>
      </c>
      <c r="L35" s="6">
        <f t="shared" si="70"/>
        <v>3.8307425094601397</v>
      </c>
      <c r="M35" s="6">
        <f t="shared" si="71"/>
        <v>1.2700721656050955</v>
      </c>
      <c r="N35" s="6">
        <f t="shared" si="72"/>
        <v>0.66767213035403983</v>
      </c>
      <c r="O35" s="6">
        <f t="shared" si="73"/>
        <v>43.170347687739522</v>
      </c>
      <c r="P35" s="6">
        <f t="shared" si="74"/>
        <v>49.344547244532997</v>
      </c>
      <c r="Q35" s="6">
        <v>32.9</v>
      </c>
      <c r="R35" s="6">
        <v>3.3</v>
      </c>
      <c r="S35" s="6">
        <v>47.1</v>
      </c>
      <c r="T35" s="6">
        <v>32.9</v>
      </c>
      <c r="U35" s="6">
        <f t="shared" si="15"/>
        <v>3.29E-3</v>
      </c>
      <c r="V35" s="6">
        <f t="shared" si="16"/>
        <v>3.3E-4</v>
      </c>
      <c r="W35" s="6">
        <f t="shared" si="17"/>
        <v>3.29E-3</v>
      </c>
      <c r="X35" s="6">
        <f>I35/I51-1</f>
        <v>-4.4088176352706787E-3</v>
      </c>
      <c r="Y35" s="6">
        <f>J35/J51-1</f>
        <v>-0.20710332103321027</v>
      </c>
      <c r="Z35" s="6">
        <f>K35/K51-1</f>
        <v>-0.171875</v>
      </c>
      <c r="AA35" s="6">
        <f t="shared" si="75"/>
        <v>0.33951364103804965</v>
      </c>
      <c r="AB35" s="6">
        <f t="shared" si="76"/>
        <v>1.086443651321759E-3</v>
      </c>
      <c r="AC35" s="6">
        <f t="shared" si="77"/>
        <v>1.4938600205674185E-5</v>
      </c>
      <c r="AD35" s="6">
        <f>I51*(100-AB35)/100</f>
        <v>4.4013579612507963</v>
      </c>
      <c r="AE35" s="6">
        <f>K51*(100-AC35)/100</f>
        <v>1.0678386438307819</v>
      </c>
      <c r="AF35" s="6">
        <f t="shared" si="78"/>
        <v>4.121744410242818</v>
      </c>
      <c r="AG35" s="6">
        <f>AF35/AH51-1</f>
        <v>-1.0715052111587298E-5</v>
      </c>
      <c r="AH35" s="6">
        <f t="shared" si="79"/>
        <v>4.9553103230333804</v>
      </c>
      <c r="AI35" s="6">
        <f t="shared" si="80"/>
        <v>3.9074748655928078</v>
      </c>
      <c r="AJ35" s="6">
        <f t="shared" si="18"/>
        <v>4.3319293708548727</v>
      </c>
      <c r="AK35" s="6">
        <f t="shared" si="19"/>
        <v>3.7204399917030837E-3</v>
      </c>
      <c r="AL35" s="6">
        <f t="shared" si="20"/>
        <v>3.7317483199453424E-4</v>
      </c>
      <c r="AM35" s="6">
        <f t="shared" si="21"/>
        <v>3.7204399917030837E-3</v>
      </c>
      <c r="AN35" s="6">
        <f t="shared" si="22"/>
        <v>9.9696969696969688</v>
      </c>
      <c r="AO35" s="6">
        <f t="shared" ref="AO35:AU35" si="82">AH35/AH51-1</f>
        <v>0.2022233145536354</v>
      </c>
      <c r="AP35" s="6">
        <f t="shared" si="82"/>
        <v>-4.2539859360857801E-2</v>
      </c>
      <c r="AQ35" s="6">
        <f t="shared" si="82"/>
        <v>4.394400486914174E-2</v>
      </c>
      <c r="AR35" s="6">
        <f t="shared" si="82"/>
        <v>7.1289387386519465E-4</v>
      </c>
      <c r="AS35" s="6">
        <f t="shared" si="82"/>
        <v>0.10691823899371067</v>
      </c>
      <c r="AT35" s="6">
        <f t="shared" si="82"/>
        <v>-0.2504093983624065</v>
      </c>
      <c r="AU35" s="6">
        <f t="shared" si="82"/>
        <v>-0.3228130360205832</v>
      </c>
    </row>
    <row r="36" spans="1:47">
      <c r="A36" s="6" t="s">
        <v>216</v>
      </c>
      <c r="B36" s="6">
        <v>600</v>
      </c>
      <c r="C36" s="6">
        <v>16.559999999999999</v>
      </c>
      <c r="D36" s="6">
        <v>5.73</v>
      </c>
      <c r="E36" s="6">
        <v>0.53</v>
      </c>
      <c r="F36" s="6">
        <v>5.36</v>
      </c>
      <c r="G36" s="6">
        <v>3.06</v>
      </c>
      <c r="H36" s="6">
        <v>1.8</v>
      </c>
      <c r="I36" s="6">
        <f t="shared" si="67"/>
        <v>4.38200078462142</v>
      </c>
      <c r="J36" s="6">
        <f t="shared" si="68"/>
        <v>3.4553956888081698</v>
      </c>
      <c r="K36" s="6">
        <f t="shared" si="69"/>
        <v>0.88430400902500683</v>
      </c>
      <c r="L36" s="6">
        <f t="shared" si="70"/>
        <v>3.8307425094601397</v>
      </c>
      <c r="M36" s="6">
        <f t="shared" si="71"/>
        <v>1.2700721656050955</v>
      </c>
      <c r="N36" s="6">
        <f t="shared" si="72"/>
        <v>0.66767213035403983</v>
      </c>
      <c r="O36" s="6">
        <f t="shared" si="73"/>
        <v>43.170347687739522</v>
      </c>
      <c r="P36" s="6">
        <f t="shared" si="74"/>
        <v>49.344547244532997</v>
      </c>
      <c r="Q36" s="6">
        <v>32.9</v>
      </c>
      <c r="R36" s="6">
        <v>3.3</v>
      </c>
      <c r="S36" s="6">
        <v>47.1</v>
      </c>
      <c r="T36" s="6">
        <v>32.9</v>
      </c>
      <c r="U36" s="6">
        <f t="shared" si="15"/>
        <v>3.29E-3</v>
      </c>
      <c r="V36" s="6">
        <f t="shared" si="16"/>
        <v>3.3E-4</v>
      </c>
      <c r="W36" s="6">
        <f t="shared" si="17"/>
        <v>3.29E-3</v>
      </c>
      <c r="X36" s="6">
        <f>I36/I51-1</f>
        <v>-4.4088176352706787E-3</v>
      </c>
      <c r="Y36" s="6">
        <f>J36/J51-1</f>
        <v>-0.20710332103321027</v>
      </c>
      <c r="Z36" s="6">
        <f>K36/K51-1</f>
        <v>-0.171875</v>
      </c>
      <c r="AA36" s="6">
        <f t="shared" si="75"/>
        <v>0.33951364103804965</v>
      </c>
      <c r="AB36" s="6">
        <f t="shared" si="76"/>
        <v>1.086443651321759E-3</v>
      </c>
      <c r="AC36" s="6">
        <f t="shared" si="77"/>
        <v>1.4938600205674185E-5</v>
      </c>
      <c r="AD36" s="6">
        <f>I51*(100-AB36)/100</f>
        <v>4.4013579612507963</v>
      </c>
      <c r="AE36" s="6">
        <f>K51*(100-AC36)/100</f>
        <v>1.0678386438307819</v>
      </c>
      <c r="AF36" s="6">
        <f t="shared" si="78"/>
        <v>4.121744410242818</v>
      </c>
      <c r="AG36" s="6">
        <f>AF36/AH51-1</f>
        <v>-1.0715052111587298E-5</v>
      </c>
      <c r="AH36" s="6">
        <f t="shared" si="79"/>
        <v>4.9553103230333804</v>
      </c>
      <c r="AI36" s="6">
        <f t="shared" si="80"/>
        <v>3.9074748655928078</v>
      </c>
      <c r="AJ36" s="6">
        <f t="shared" si="18"/>
        <v>4.3319293708548727</v>
      </c>
      <c r="AK36" s="6">
        <f t="shared" si="19"/>
        <v>3.7204399917030837E-3</v>
      </c>
      <c r="AL36" s="6">
        <f t="shared" si="20"/>
        <v>3.7317483199453424E-4</v>
      </c>
      <c r="AM36" s="6">
        <f t="shared" si="21"/>
        <v>3.7204399917030837E-3</v>
      </c>
      <c r="AN36" s="6">
        <f t="shared" si="22"/>
        <v>9.9696969696969688</v>
      </c>
      <c r="AO36" s="6">
        <f t="shared" ref="AO36:AU36" si="83">AH36/AH51-1</f>
        <v>0.2022233145536354</v>
      </c>
      <c r="AP36" s="6">
        <f t="shared" si="83"/>
        <v>-4.2539859360857801E-2</v>
      </c>
      <c r="AQ36" s="6">
        <f t="shared" si="83"/>
        <v>4.394400486914174E-2</v>
      </c>
      <c r="AR36" s="6">
        <f t="shared" si="83"/>
        <v>7.1289387386519465E-4</v>
      </c>
      <c r="AS36" s="6">
        <f t="shared" si="83"/>
        <v>0.10691823899371067</v>
      </c>
      <c r="AT36" s="6">
        <f t="shared" si="83"/>
        <v>-0.2504093983624065</v>
      </c>
      <c r="AU36" s="6">
        <f t="shared" si="83"/>
        <v>-0.3228130360205832</v>
      </c>
    </row>
    <row r="37" spans="1:47">
      <c r="A37" s="6" t="s">
        <v>216</v>
      </c>
      <c r="B37" s="6">
        <v>700</v>
      </c>
      <c r="C37" s="6">
        <v>15.13</v>
      </c>
      <c r="D37" s="6">
        <v>7.03</v>
      </c>
      <c r="E37" s="6">
        <v>0.46</v>
      </c>
      <c r="F37" s="6">
        <v>4.8600000000000003</v>
      </c>
      <c r="G37" s="6">
        <v>1.72</v>
      </c>
      <c r="H37" s="6">
        <v>3.41</v>
      </c>
      <c r="I37" s="6">
        <f t="shared" si="67"/>
        <v>4.0036033738721066</v>
      </c>
      <c r="J37" s="6">
        <f t="shared" si="68"/>
        <v>4.2393423546808782</v>
      </c>
      <c r="K37" s="6">
        <f t="shared" si="69"/>
        <v>0.76750913990849645</v>
      </c>
      <c r="L37" s="6">
        <f t="shared" si="70"/>
        <v>3.4733971261149774</v>
      </c>
      <c r="M37" s="6">
        <f t="shared" si="71"/>
        <v>0.71389677282377917</v>
      </c>
      <c r="N37" s="6">
        <f t="shared" si="72"/>
        <v>1.2648677580595977</v>
      </c>
      <c r="O37" s="6">
        <f t="shared" si="73"/>
        <v>42.340343280543117</v>
      </c>
      <c r="P37" s="6">
        <f t="shared" si="74"/>
        <v>45.798029159120368</v>
      </c>
      <c r="Q37" s="6">
        <v>13.2</v>
      </c>
      <c r="R37" s="6">
        <v>3.7</v>
      </c>
      <c r="S37" s="6">
        <v>30.4</v>
      </c>
      <c r="T37" s="6">
        <v>59.9</v>
      </c>
      <c r="U37" s="6">
        <f t="shared" si="15"/>
        <v>1.32E-3</v>
      </c>
      <c r="V37" s="6">
        <f t="shared" si="16"/>
        <v>3.6999999999999999E-4</v>
      </c>
      <c r="W37" s="6">
        <f t="shared" si="17"/>
        <v>5.9899999999999997E-3</v>
      </c>
      <c r="X37" s="6">
        <f>I37/I51-1</f>
        <v>-9.0380761523046194E-2</v>
      </c>
      <c r="Y37" s="6">
        <f>J37/J51-1</f>
        <v>-2.7214022140221394E-2</v>
      </c>
      <c r="Z37" s="6">
        <f>K37/K51-1</f>
        <v>-0.28125</v>
      </c>
      <c r="AA37" s="6">
        <f t="shared" si="75"/>
        <v>4.4613151049543269E-2</v>
      </c>
      <c r="AB37" s="6">
        <f t="shared" si="76"/>
        <v>1.4276208335853847E-4</v>
      </c>
      <c r="AC37" s="6">
        <f t="shared" si="77"/>
        <v>1.9629786461799038E-6</v>
      </c>
      <c r="AD37" s="6">
        <f>I51*(100-AB37)/100</f>
        <v>4.4013994965058734</v>
      </c>
      <c r="AE37" s="6">
        <f>K51*(100-AC37)/100</f>
        <v>1.0678387823895039</v>
      </c>
      <c r="AF37" s="6">
        <f t="shared" si="78"/>
        <v>4.1217827719806701</v>
      </c>
      <c r="AG37" s="6">
        <f>AF37/AH51-1</f>
        <v>-1.4079910748421298E-6</v>
      </c>
      <c r="AH37" s="6">
        <f t="shared" si="79"/>
        <v>5.2163592141058048</v>
      </c>
      <c r="AI37" s="6">
        <f t="shared" si="80"/>
        <v>5.5235073229047131</v>
      </c>
      <c r="AJ37" s="6">
        <f t="shared" si="18"/>
        <v>4.5255449681408102</v>
      </c>
      <c r="AK37" s="6">
        <f t="shared" si="19"/>
        <v>1.7198492257139405E-3</v>
      </c>
      <c r="AL37" s="6">
        <f t="shared" si="20"/>
        <v>4.8207894963193785E-4</v>
      </c>
      <c r="AM37" s="6">
        <f t="shared" si="21"/>
        <v>7.8044673197170478E-3</v>
      </c>
      <c r="AN37" s="6">
        <f t="shared" si="22"/>
        <v>16.189189189189189</v>
      </c>
      <c r="AO37" s="6">
        <f t="shared" ref="AO37:AU37" si="84">AH37/AH51-1</f>
        <v>0.26555720135924021</v>
      </c>
      <c r="AP37" s="6">
        <f t="shared" si="84"/>
        <v>0.35344136050056152</v>
      </c>
      <c r="AQ37" s="6">
        <f t="shared" si="84"/>
        <v>9.0603085553997209E-2</v>
      </c>
      <c r="AR37" s="6">
        <f t="shared" si="84"/>
        <v>-0.53740006571021803</v>
      </c>
      <c r="AS37" s="6">
        <f t="shared" si="84"/>
        <v>0.42995169082125617</v>
      </c>
      <c r="AT37" s="6">
        <f t="shared" si="84"/>
        <v>0.57243642329778521</v>
      </c>
      <c r="AU37" s="6">
        <f t="shared" si="84"/>
        <v>9.9643039265680855E-2</v>
      </c>
    </row>
    <row r="38" spans="1:47">
      <c r="A38" s="6" t="s">
        <v>216</v>
      </c>
      <c r="B38" s="6">
        <v>700</v>
      </c>
      <c r="C38" s="6">
        <v>15.17</v>
      </c>
      <c r="D38" s="6">
        <v>7.05</v>
      </c>
      <c r="E38" s="6">
        <v>0.46</v>
      </c>
      <c r="F38" s="6">
        <v>4.87</v>
      </c>
      <c r="G38" s="6">
        <v>1.72</v>
      </c>
      <c r="H38" s="6">
        <v>3.42</v>
      </c>
      <c r="I38" s="6">
        <f t="shared" si="67"/>
        <v>4.0141879168301298</v>
      </c>
      <c r="J38" s="6">
        <f t="shared" si="68"/>
        <v>4.2514030726173813</v>
      </c>
      <c r="K38" s="6">
        <f t="shared" si="69"/>
        <v>0.76750913990849645</v>
      </c>
      <c r="L38" s="6">
        <f t="shared" si="70"/>
        <v>3.4805440337818805</v>
      </c>
      <c r="M38" s="6">
        <f t="shared" si="71"/>
        <v>0.71389677282377917</v>
      </c>
      <c r="N38" s="6">
        <f t="shared" si="72"/>
        <v>1.2685770476726757</v>
      </c>
      <c r="O38" s="6">
        <f t="shared" si="73"/>
        <v>42.356238893403557</v>
      </c>
      <c r="P38" s="6">
        <f t="shared" si="74"/>
        <v>45.806759953527369</v>
      </c>
      <c r="Q38" s="6">
        <v>12.5</v>
      </c>
      <c r="R38" s="6">
        <v>3.6</v>
      </c>
      <c r="S38" s="6">
        <v>30.7</v>
      </c>
      <c r="T38" s="6">
        <v>60.2</v>
      </c>
      <c r="U38" s="6">
        <f t="shared" si="15"/>
        <v>1.25E-3</v>
      </c>
      <c r="V38" s="6">
        <f t="shared" si="16"/>
        <v>3.6000000000000002E-4</v>
      </c>
      <c r="W38" s="6">
        <f t="shared" si="17"/>
        <v>6.0200000000000002E-3</v>
      </c>
      <c r="X38" s="6">
        <f>I38/I51-1</f>
        <v>-8.7975951903807692E-2</v>
      </c>
      <c r="Y38" s="6">
        <f>J38/J51-1</f>
        <v>-2.4446494464944735E-2</v>
      </c>
      <c r="Z38" s="6">
        <f>K38/K51-1</f>
        <v>-0.28125</v>
      </c>
      <c r="AA38" s="6">
        <f t="shared" si="75"/>
        <v>4.0076220434335633E-2</v>
      </c>
      <c r="AB38" s="6">
        <f t="shared" si="76"/>
        <v>1.2824390538987402E-4</v>
      </c>
      <c r="AC38" s="6">
        <f t="shared" si="77"/>
        <v>1.7633536991107678E-6</v>
      </c>
      <c r="AD38" s="6">
        <f>I51*(100-AB38)/100</f>
        <v>4.4014001355097978</v>
      </c>
      <c r="AE38" s="6">
        <f>K51*(100-AC38)/100</f>
        <v>1.0678387845211765</v>
      </c>
      <c r="AF38" s="6">
        <f t="shared" si="78"/>
        <v>4.1217833621611755</v>
      </c>
      <c r="AG38" s="6">
        <f>AF38/AH51-1</f>
        <v>-1.2648055390807045E-6</v>
      </c>
      <c r="AH38" s="6">
        <f t="shared" si="79"/>
        <v>5.230149985326177</v>
      </c>
      <c r="AI38" s="6">
        <f t="shared" si="80"/>
        <v>5.5392214262415687</v>
      </c>
      <c r="AJ38" s="6">
        <f t="shared" si="18"/>
        <v>4.5348567890629106</v>
      </c>
      <c r="AK38" s="6">
        <f t="shared" si="19"/>
        <v>1.6286451001078981E-3</v>
      </c>
      <c r="AL38" s="6">
        <f t="shared" si="20"/>
        <v>4.6904978883107471E-4</v>
      </c>
      <c r="AM38" s="6">
        <f t="shared" si="21"/>
        <v>7.8435548021196372E-3</v>
      </c>
      <c r="AN38" s="6">
        <f t="shared" si="22"/>
        <v>16.722222222222221</v>
      </c>
      <c r="AO38" s="6">
        <f t="shared" ref="AO38:AU38" si="85">AH38/AH51-1</f>
        <v>0.26890302343818062</v>
      </c>
      <c r="AP38" s="6">
        <f t="shared" si="85"/>
        <v>0.35729183378790319</v>
      </c>
      <c r="AQ38" s="6">
        <f t="shared" si="85"/>
        <v>9.284712482468449E-2</v>
      </c>
      <c r="AR38" s="6">
        <f t="shared" si="85"/>
        <v>-0.56193188040740338</v>
      </c>
      <c r="AS38" s="6">
        <f t="shared" si="85"/>
        <v>0.39130434782608714</v>
      </c>
      <c r="AT38" s="6">
        <f t="shared" si="85"/>
        <v>0.5803117309269894</v>
      </c>
      <c r="AU38" s="6">
        <f t="shared" si="85"/>
        <v>0.13584905660377355</v>
      </c>
    </row>
    <row r="39" spans="1:47">
      <c r="A39" s="6" t="s">
        <v>216</v>
      </c>
      <c r="B39" s="6">
        <v>700</v>
      </c>
      <c r="C39" s="6">
        <v>15.16</v>
      </c>
      <c r="D39" s="6">
        <v>7.05</v>
      </c>
      <c r="E39" s="6">
        <v>0.46</v>
      </c>
      <c r="F39" s="6">
        <v>4.87</v>
      </c>
      <c r="G39" s="6">
        <v>1.73</v>
      </c>
      <c r="H39" s="6">
        <v>3.45</v>
      </c>
      <c r="I39" s="6">
        <f t="shared" si="67"/>
        <v>4.0115417810906235</v>
      </c>
      <c r="J39" s="6">
        <f t="shared" si="68"/>
        <v>4.2514030726173813</v>
      </c>
      <c r="K39" s="6">
        <f t="shared" si="69"/>
        <v>0.76750913990849645</v>
      </c>
      <c r="L39" s="6">
        <f t="shared" si="70"/>
        <v>3.4805440337818805</v>
      </c>
      <c r="M39" s="6">
        <f t="shared" si="71"/>
        <v>0.7180473354564757</v>
      </c>
      <c r="N39" s="6">
        <f t="shared" si="72"/>
        <v>1.2797049165119097</v>
      </c>
      <c r="O39" s="6">
        <f t="shared" si="73"/>
        <v>42.271972955024744</v>
      </c>
      <c r="P39" s="6">
        <f t="shared" si="74"/>
        <v>45.732301464258704</v>
      </c>
      <c r="Q39" s="6">
        <v>26.3</v>
      </c>
      <c r="R39" s="6">
        <v>3</v>
      </c>
      <c r="S39" s="6">
        <v>29.9</v>
      </c>
      <c r="T39" s="6">
        <v>60.4</v>
      </c>
      <c r="U39" s="6">
        <f t="shared" si="15"/>
        <v>2.63E-3</v>
      </c>
      <c r="V39" s="6">
        <f t="shared" si="16"/>
        <v>2.9999999999999997E-4</v>
      </c>
      <c r="W39" s="6">
        <f t="shared" si="17"/>
        <v>6.0400000000000002E-3</v>
      </c>
      <c r="X39" s="6">
        <f>I39/I51-1</f>
        <v>-8.8577154308617345E-2</v>
      </c>
      <c r="Y39" s="6">
        <f>J39/J51-1</f>
        <v>-2.4446494464944735E-2</v>
      </c>
      <c r="Z39" s="6">
        <f>K39/K51-1</f>
        <v>-0.28125</v>
      </c>
      <c r="AA39" s="6">
        <f t="shared" si="75"/>
        <v>4.0076220434335633E-2</v>
      </c>
      <c r="AB39" s="6">
        <f t="shared" si="76"/>
        <v>1.2824390538987402E-4</v>
      </c>
      <c r="AC39" s="6">
        <f t="shared" si="77"/>
        <v>1.7633536991107678E-6</v>
      </c>
      <c r="AD39" s="6">
        <f>I51*(100-AB39)/100</f>
        <v>4.4014001355097978</v>
      </c>
      <c r="AE39" s="6">
        <f>K51*(100-AC39)/100</f>
        <v>1.0678387845211765</v>
      </c>
      <c r="AF39" s="6">
        <f t="shared" si="78"/>
        <v>4.1217833621611755</v>
      </c>
      <c r="AG39" s="6">
        <f>AF39/AH51-1</f>
        <v>-1.2648055390807045E-6</v>
      </c>
      <c r="AH39" s="6">
        <f t="shared" si="79"/>
        <v>5.2267022925210833</v>
      </c>
      <c r="AI39" s="6">
        <f t="shared" si="80"/>
        <v>5.5392214262415687</v>
      </c>
      <c r="AJ39" s="6">
        <f t="shared" si="18"/>
        <v>4.5348567890629106</v>
      </c>
      <c r="AK39" s="6">
        <f t="shared" si="19"/>
        <v>3.4266692906270175E-3</v>
      </c>
      <c r="AL39" s="6">
        <f t="shared" si="20"/>
        <v>3.9087482402589552E-4</v>
      </c>
      <c r="AM39" s="6">
        <f t="shared" si="21"/>
        <v>7.869613123721364E-3</v>
      </c>
      <c r="AN39" s="6">
        <f t="shared" si="22"/>
        <v>20.133333333333336</v>
      </c>
      <c r="AO39" s="6">
        <f t="shared" ref="AO39:AU39" si="86">AH39/AH51-1</f>
        <v>0.26806656791844552</v>
      </c>
      <c r="AP39" s="6">
        <f t="shared" si="86"/>
        <v>0.35729183378790319</v>
      </c>
      <c r="AQ39" s="6">
        <f t="shared" si="86"/>
        <v>9.284712482468449E-2</v>
      </c>
      <c r="AR39" s="6">
        <f t="shared" si="86"/>
        <v>-7.8304676377176752E-2</v>
      </c>
      <c r="AS39" s="6">
        <f t="shared" si="86"/>
        <v>0.15942028985507228</v>
      </c>
      <c r="AT39" s="6">
        <f t="shared" si="86"/>
        <v>0.58556193601312567</v>
      </c>
      <c r="AU39" s="6">
        <f t="shared" si="86"/>
        <v>0.36754716981132107</v>
      </c>
    </row>
    <row r="40" spans="1:47">
      <c r="A40" s="6" t="s">
        <v>216</v>
      </c>
      <c r="B40" s="6">
        <v>800</v>
      </c>
      <c r="C40" s="6">
        <v>17.809999999999999</v>
      </c>
      <c r="D40" s="6">
        <v>6.03</v>
      </c>
      <c r="E40" s="6">
        <v>0.51</v>
      </c>
      <c r="F40" s="6">
        <v>6.14</v>
      </c>
      <c r="G40" s="6">
        <v>1.43</v>
      </c>
      <c r="H40" s="6">
        <v>3.83</v>
      </c>
      <c r="I40" s="6">
        <f t="shared" si="67"/>
        <v>4.7127677520596309</v>
      </c>
      <c r="J40" s="6">
        <f t="shared" si="68"/>
        <v>3.6363064578557185</v>
      </c>
      <c r="K40" s="6">
        <f t="shared" si="69"/>
        <v>0.85093404642028958</v>
      </c>
      <c r="L40" s="6">
        <f t="shared" si="70"/>
        <v>4.3882013074785924</v>
      </c>
      <c r="M40" s="6">
        <f t="shared" si="71"/>
        <v>0.59353045647558389</v>
      </c>
      <c r="N40" s="6">
        <f t="shared" si="72"/>
        <v>1.4206579218088735</v>
      </c>
      <c r="O40" s="6">
        <f t="shared" si="73"/>
        <v>42.399469179114057</v>
      </c>
      <c r="P40" s="6">
        <f t="shared" si="74"/>
        <v>44.79124531229342</v>
      </c>
      <c r="Q40" s="6">
        <v>20</v>
      </c>
      <c r="R40" s="6">
        <v>3.6</v>
      </c>
      <c r="S40" s="6">
        <v>40.799999999999997</v>
      </c>
      <c r="T40" s="6">
        <v>30.8</v>
      </c>
      <c r="U40" s="6">
        <f t="shared" si="15"/>
        <v>2E-3</v>
      </c>
      <c r="V40" s="6">
        <f t="shared" si="16"/>
        <v>3.6000000000000002E-4</v>
      </c>
      <c r="W40" s="6">
        <f t="shared" si="17"/>
        <v>3.0800000000000003E-3</v>
      </c>
      <c r="X40" s="6">
        <f>I40/I51-1</f>
        <v>7.0741482965931635E-2</v>
      </c>
      <c r="Y40" s="6">
        <f>J40/J51-1</f>
        <v>-0.16559040590405882</v>
      </c>
      <c r="Z40" s="6">
        <f>K40/K51-1</f>
        <v>-0.203125</v>
      </c>
      <c r="AA40" s="6">
        <f t="shared" si="75"/>
        <v>0.27145968180993252</v>
      </c>
      <c r="AB40" s="6">
        <f t="shared" si="76"/>
        <v>8.6867098179178415E-4</v>
      </c>
      <c r="AC40" s="6">
        <f t="shared" si="77"/>
        <v>1.1944225999637031E-5</v>
      </c>
      <c r="AD40" s="6">
        <f>I51*(100-AB40)/100</f>
        <v>4.4013675463096602</v>
      </c>
      <c r="AE40" s="6">
        <f>K51*(100-AC40)/100</f>
        <v>1.0678386758058716</v>
      </c>
      <c r="AF40" s="6">
        <f t="shared" si="78"/>
        <v>4.1217532629524367</v>
      </c>
      <c r="AG40" s="6">
        <f>AF40/AH51-1</f>
        <v>-8.5672685810056493E-6</v>
      </c>
      <c r="AH40" s="6">
        <f t="shared" si="79"/>
        <v>5.5383466813736133</v>
      </c>
      <c r="AI40" s="6">
        <f t="shared" si="80"/>
        <v>4.2733117486048853</v>
      </c>
      <c r="AJ40" s="6">
        <f t="shared" si="18"/>
        <v>5.1569229436040116</v>
      </c>
      <c r="AK40" s="6">
        <f t="shared" si="19"/>
        <v>2.3503584189792414E-3</v>
      </c>
      <c r="AL40" s="6">
        <f t="shared" si="20"/>
        <v>4.2306451541626345E-4</v>
      </c>
      <c r="AM40" s="6">
        <f t="shared" si="21"/>
        <v>3.6195519652280315E-3</v>
      </c>
      <c r="AN40" s="6">
        <f t="shared" si="22"/>
        <v>8.5555555555555554</v>
      </c>
      <c r="AO40" s="6">
        <f t="shared" ref="AO40:AU40" si="87">AH40/AH51-1</f>
        <v>0.34367558646705154</v>
      </c>
      <c r="AP40" s="6">
        <f t="shared" si="87"/>
        <v>4.7102235728239794E-2</v>
      </c>
      <c r="AQ40" s="6">
        <f t="shared" si="87"/>
        <v>0.24275774826059449</v>
      </c>
      <c r="AR40" s="6">
        <f t="shared" si="87"/>
        <v>-0.3678075764310762</v>
      </c>
      <c r="AS40" s="6">
        <f t="shared" si="87"/>
        <v>0.25490196078431393</v>
      </c>
      <c r="AT40" s="6">
        <f t="shared" si="87"/>
        <v>-0.27073621901590816</v>
      </c>
      <c r="AU40" s="6">
        <f t="shared" si="87"/>
        <v>-0.4188679245283019</v>
      </c>
    </row>
    <row r="41" spans="1:47">
      <c r="A41" s="6" t="s">
        <v>216</v>
      </c>
      <c r="B41" s="6">
        <v>800</v>
      </c>
      <c r="C41" s="6">
        <v>17.809999999999999</v>
      </c>
      <c r="D41" s="6">
        <v>6.04</v>
      </c>
      <c r="E41" s="6">
        <v>0.51</v>
      </c>
      <c r="F41" s="6">
        <v>6.14</v>
      </c>
      <c r="G41" s="6">
        <v>1.43</v>
      </c>
      <c r="H41" s="6">
        <v>3.82</v>
      </c>
      <c r="I41" s="6">
        <f t="shared" si="67"/>
        <v>4.7127677520596309</v>
      </c>
      <c r="J41" s="6">
        <f t="shared" si="68"/>
        <v>3.6423368168239696</v>
      </c>
      <c r="K41" s="6">
        <f t="shared" si="69"/>
        <v>0.85093404642028958</v>
      </c>
      <c r="L41" s="6">
        <f t="shared" si="70"/>
        <v>4.3882013074785924</v>
      </c>
      <c r="M41" s="6">
        <f t="shared" si="71"/>
        <v>0.59353045647558389</v>
      </c>
      <c r="N41" s="6">
        <f t="shared" si="72"/>
        <v>1.4169486321957954</v>
      </c>
      <c r="O41" s="6">
        <f t="shared" si="73"/>
        <v>42.413623221731036</v>
      </c>
      <c r="P41" s="6">
        <f t="shared" si="74"/>
        <v>44.80704156644402</v>
      </c>
      <c r="Q41" s="6">
        <v>20.2</v>
      </c>
      <c r="R41" s="6">
        <v>3</v>
      </c>
      <c r="S41" s="6">
        <v>39.1</v>
      </c>
      <c r="T41" s="6">
        <v>27.9</v>
      </c>
      <c r="U41" s="6">
        <f t="shared" si="15"/>
        <v>2.0200000000000001E-3</v>
      </c>
      <c r="V41" s="6">
        <f t="shared" si="16"/>
        <v>2.9999999999999997E-4</v>
      </c>
      <c r="W41" s="6">
        <f t="shared" si="17"/>
        <v>2.7899999999999999E-3</v>
      </c>
      <c r="X41" s="6">
        <f>I41/I51-1</f>
        <v>7.0741482965931635E-2</v>
      </c>
      <c r="Y41" s="6">
        <f>J41/J51-1</f>
        <v>-0.16420664206642066</v>
      </c>
      <c r="Z41" s="6">
        <f>K41/K51-1</f>
        <v>-0.203125</v>
      </c>
      <c r="AA41" s="6">
        <f t="shared" si="75"/>
        <v>0.26919121650232897</v>
      </c>
      <c r="AB41" s="6">
        <f t="shared" si="76"/>
        <v>8.6141189280745272E-4</v>
      </c>
      <c r="AC41" s="6">
        <f t="shared" si="77"/>
        <v>1.1844413526102474E-5</v>
      </c>
      <c r="AD41" s="6">
        <f>I51*(100-AB41)/100</f>
        <v>4.401367865811622</v>
      </c>
      <c r="AE41" s="6">
        <f>K51*(100-AC41)/100</f>
        <v>1.0678386768717081</v>
      </c>
      <c r="AF41" s="6">
        <f t="shared" si="78"/>
        <v>4.1217535580427471</v>
      </c>
      <c r="AG41" s="6">
        <f>AF41/AH51-1</f>
        <v>-8.4956757991916376E-6</v>
      </c>
      <c r="AH41" s="6">
        <f t="shared" si="79"/>
        <v>5.5383466813736133</v>
      </c>
      <c r="AI41" s="6">
        <f t="shared" si="80"/>
        <v>4.2803985010901338</v>
      </c>
      <c r="AJ41" s="6">
        <f t="shared" si="18"/>
        <v>5.1569229436040116</v>
      </c>
      <c r="AK41" s="6">
        <f t="shared" si="19"/>
        <v>2.3738620031690336E-3</v>
      </c>
      <c r="AL41" s="6">
        <f t="shared" si="20"/>
        <v>3.5255376284688616E-4</v>
      </c>
      <c r="AM41" s="6">
        <f t="shared" si="21"/>
        <v>3.2787499944760415E-3</v>
      </c>
      <c r="AN41" s="6">
        <f t="shared" si="22"/>
        <v>9.3000000000000007</v>
      </c>
      <c r="AO41" s="6">
        <f t="shared" ref="AO41:AU41" si="88">AH41/AH51-1</f>
        <v>0.34367558646705154</v>
      </c>
      <c r="AP41" s="6">
        <f t="shared" si="88"/>
        <v>4.8838723681354557E-2</v>
      </c>
      <c r="AQ41" s="6">
        <f t="shared" si="88"/>
        <v>0.24275774826059449</v>
      </c>
      <c r="AR41" s="6">
        <f t="shared" si="88"/>
        <v>-0.36148565219538709</v>
      </c>
      <c r="AS41" s="6">
        <f t="shared" si="88"/>
        <v>4.5751633986928164E-2</v>
      </c>
      <c r="AT41" s="6">
        <f t="shared" si="88"/>
        <v>-0.339400665926748</v>
      </c>
      <c r="AU41" s="6">
        <f t="shared" si="88"/>
        <v>-0.36830188679245279</v>
      </c>
    </row>
    <row r="42" spans="1:47">
      <c r="A42" s="6" t="s">
        <v>216</v>
      </c>
      <c r="B42" s="6">
        <v>800</v>
      </c>
      <c r="C42" s="6">
        <v>17.84</v>
      </c>
      <c r="D42" s="6">
        <v>6.04</v>
      </c>
      <c r="E42" s="6">
        <v>0.51</v>
      </c>
      <c r="F42" s="6">
        <v>6.15</v>
      </c>
      <c r="G42" s="6">
        <v>1.44</v>
      </c>
      <c r="H42" s="6">
        <v>3.8</v>
      </c>
      <c r="I42" s="6">
        <f t="shared" ref="I42:I48" si="89">C42*26.98/101.96</f>
        <v>4.7207061592781487</v>
      </c>
      <c r="J42" s="6">
        <f t="shared" ref="J42:J48" si="90">D42*24.305/40.3044</f>
        <v>3.6423368168239696</v>
      </c>
      <c r="K42" s="6">
        <f t="shared" ref="K42:K48" si="91">E42*79.866/47.867</f>
        <v>0.85093404642028958</v>
      </c>
      <c r="L42" s="6">
        <f t="shared" ref="L42:L48" si="92">F42*40.078/56.0774</f>
        <v>4.3953482151454963</v>
      </c>
      <c r="M42" s="6">
        <f t="shared" ref="M42:M48" si="93">G42*39.0983/94.2</f>
        <v>0.5976810191082802</v>
      </c>
      <c r="N42" s="6">
        <f t="shared" ref="N42:N48" si="94">H42*22.989769/61.9789</f>
        <v>1.4095300529696395</v>
      </c>
      <c r="O42" s="6">
        <f t="shared" ref="O42:O48" si="95">100*(I42/(I42+L42+M42+N42))</f>
        <v>42.439930809732516</v>
      </c>
      <c r="P42" s="6">
        <f t="shared" ref="P42:P48" si="96">100*(I42/(I42+L42+N42))</f>
        <v>44.849824651943408</v>
      </c>
      <c r="Q42" s="6">
        <v>28.7</v>
      </c>
      <c r="R42" s="6">
        <v>2.1</v>
      </c>
      <c r="S42" s="6">
        <v>39.6</v>
      </c>
      <c r="T42" s="6">
        <v>29.7</v>
      </c>
      <c r="U42" s="6">
        <f t="shared" si="15"/>
        <v>2.8699999999999997E-3</v>
      </c>
      <c r="V42" s="6">
        <f t="shared" si="16"/>
        <v>2.1000000000000001E-4</v>
      </c>
      <c r="W42" s="6">
        <f t="shared" si="17"/>
        <v>2.97E-3</v>
      </c>
      <c r="X42" s="6">
        <f>I42/I51-1</f>
        <v>7.2545090180360594E-2</v>
      </c>
      <c r="Y42" s="6">
        <f>J42/J51-1</f>
        <v>-0.16420664206642066</v>
      </c>
      <c r="Z42" s="6">
        <f>K42/K51-1</f>
        <v>-0.203125</v>
      </c>
      <c r="AA42" s="6">
        <f t="shared" ref="AA42:AA48" si="97">Y42/-0.61</f>
        <v>0.26919121650232897</v>
      </c>
      <c r="AB42" s="6">
        <f t="shared" ref="AB42:AB48" si="98">AA42*0.0032</f>
        <v>8.6141189280745272E-4</v>
      </c>
      <c r="AC42" s="6">
        <f t="shared" ref="AC42:AC48" si="99">AA42*0.000044</f>
        <v>1.1844413526102474E-5</v>
      </c>
      <c r="AD42" s="6">
        <f>I51*(100-AB42)/100</f>
        <v>4.401367865811622</v>
      </c>
      <c r="AE42" s="6">
        <f>K51*(100-AC42)/100</f>
        <v>1.0678386768717081</v>
      </c>
      <c r="AF42" s="6">
        <f t="shared" ref="AF42:AF48" si="100">AD42/AE42</f>
        <v>4.1217535580427471</v>
      </c>
      <c r="AG42" s="6">
        <f>AF42/AH51-1</f>
        <v>-8.4956757991916376E-6</v>
      </c>
      <c r="AH42" s="6">
        <f t="shared" ref="AH42:AH48" si="101">I42/K42</f>
        <v>5.5476757324932775</v>
      </c>
      <c r="AI42" s="6">
        <f t="shared" ref="AI42:AI48" si="102">J42/K42</f>
        <v>4.2803985010901338</v>
      </c>
      <c r="AJ42" s="6">
        <f t="shared" si="18"/>
        <v>5.1653218409062989</v>
      </c>
      <c r="AK42" s="6">
        <f t="shared" si="19"/>
        <v>3.3727643312352106E-3</v>
      </c>
      <c r="AL42" s="6">
        <f t="shared" si="20"/>
        <v>2.4678763399282031E-4</v>
      </c>
      <c r="AM42" s="6">
        <f t="shared" si="21"/>
        <v>3.4902822521841732E-3</v>
      </c>
      <c r="AN42" s="6">
        <f t="shared" si="22"/>
        <v>14.142857142857142</v>
      </c>
      <c r="AO42" s="6">
        <f t="shared" ref="AO42:AU42" si="103">AH42/AH51-1</f>
        <v>0.34593893669692322</v>
      </c>
      <c r="AP42" s="6">
        <f t="shared" si="103"/>
        <v>4.8838723681354557E-2</v>
      </c>
      <c r="AQ42" s="6">
        <f t="shared" si="103"/>
        <v>0.2447817836812145</v>
      </c>
      <c r="AR42" s="6">
        <f t="shared" si="103"/>
        <v>-9.2803872178594649E-2</v>
      </c>
      <c r="AS42" s="6">
        <f t="shared" si="103"/>
        <v>-0.26797385620915037</v>
      </c>
      <c r="AT42" s="6">
        <f t="shared" si="103"/>
        <v>-0.29678135405105432</v>
      </c>
      <c r="AU42" s="6">
        <f t="shared" si="103"/>
        <v>-3.9353099730458196E-2</v>
      </c>
    </row>
    <row r="43" spans="1:47">
      <c r="A43" s="6" t="s">
        <v>216</v>
      </c>
      <c r="B43" s="6">
        <v>1000</v>
      </c>
      <c r="C43" s="6">
        <v>18.55</v>
      </c>
      <c r="D43" s="6">
        <v>5.77</v>
      </c>
      <c r="E43" s="6">
        <v>0.49</v>
      </c>
      <c r="F43" s="6">
        <v>7.51</v>
      </c>
      <c r="G43" s="6">
        <v>0.88</v>
      </c>
      <c r="H43" s="6">
        <v>3.52</v>
      </c>
      <c r="I43" s="6">
        <f t="shared" si="89"/>
        <v>4.9085817967830527</v>
      </c>
      <c r="J43" s="6">
        <f t="shared" si="90"/>
        <v>3.479517124681176</v>
      </c>
      <c r="K43" s="6">
        <f t="shared" si="91"/>
        <v>0.81756408381557244</v>
      </c>
      <c r="L43" s="6">
        <f t="shared" si="92"/>
        <v>5.3673276578443376</v>
      </c>
      <c r="M43" s="6">
        <f t="shared" si="93"/>
        <v>0.36524951167728242</v>
      </c>
      <c r="N43" s="6">
        <f t="shared" si="94"/>
        <v>1.3056699438034556</v>
      </c>
      <c r="O43" s="6">
        <f t="shared" si="95"/>
        <v>41.086901249836565</v>
      </c>
      <c r="P43" s="6">
        <f t="shared" si="96"/>
        <v>42.382663261351922</v>
      </c>
      <c r="Q43" s="6">
        <v>19.3</v>
      </c>
      <c r="R43" s="6">
        <v>1.5</v>
      </c>
      <c r="S43" s="6">
        <v>29.9</v>
      </c>
      <c r="T43" s="6">
        <v>34.9</v>
      </c>
      <c r="U43" s="6">
        <f t="shared" si="15"/>
        <v>1.9300000000000001E-3</v>
      </c>
      <c r="V43" s="6">
        <f t="shared" si="16"/>
        <v>1.4999999999999999E-4</v>
      </c>
      <c r="W43" s="6">
        <f t="shared" si="17"/>
        <v>3.49E-3</v>
      </c>
      <c r="X43" s="6">
        <f>I43/I51-1</f>
        <v>0.11523046092184375</v>
      </c>
      <c r="Y43" s="6">
        <f>J43/J51-1</f>
        <v>-0.20156826568265684</v>
      </c>
      <c r="Z43" s="6">
        <f>K43/K51-1</f>
        <v>-0.23437499999999989</v>
      </c>
      <c r="AA43" s="6">
        <f t="shared" si="97"/>
        <v>0.33043977980763417</v>
      </c>
      <c r="AB43" s="6">
        <f t="shared" si="98"/>
        <v>1.0574072953844294E-3</v>
      </c>
      <c r="AC43" s="6">
        <f t="shared" si="99"/>
        <v>1.4539350311535902E-5</v>
      </c>
      <c r="AD43" s="6">
        <f>I51*(100-AB43)/100</f>
        <v>4.4013592392586443</v>
      </c>
      <c r="AE43" s="6">
        <f>K51*(100-AC43)/100</f>
        <v>1.0678386480941271</v>
      </c>
      <c r="AF43" s="6">
        <f t="shared" si="100"/>
        <v>4.1217455906041307</v>
      </c>
      <c r="AG43" s="6">
        <f>AF43/AH51-1</f>
        <v>-1.0428680966789727E-5</v>
      </c>
      <c r="AH43" s="6">
        <f t="shared" si="101"/>
        <v>6.0039107562977767</v>
      </c>
      <c r="AI43" s="6">
        <f t="shared" si="102"/>
        <v>4.2559564363961124</v>
      </c>
      <c r="AJ43" s="6">
        <f t="shared" si="18"/>
        <v>6.5650237872424801</v>
      </c>
      <c r="AK43" s="6">
        <f t="shared" si="19"/>
        <v>2.3606712161237417E-3</v>
      </c>
      <c r="AL43" s="6">
        <f t="shared" si="20"/>
        <v>1.8347185617542032E-4</v>
      </c>
      <c r="AM43" s="6">
        <f t="shared" si="21"/>
        <v>4.2687785203481135E-3</v>
      </c>
      <c r="AN43" s="6">
        <f t="shared" si="22"/>
        <v>23.266666666666669</v>
      </c>
      <c r="AO43" s="6">
        <f t="shared" ref="AO43:AU43" si="104">AH43/AH51-1</f>
        <v>0.45662754079587731</v>
      </c>
      <c r="AP43" s="6">
        <f t="shared" si="104"/>
        <v>4.2849612169590934E-2</v>
      </c>
      <c r="AQ43" s="6">
        <f t="shared" si="104"/>
        <v>0.58209348255431204</v>
      </c>
      <c r="AR43" s="6">
        <f t="shared" si="104"/>
        <v>-0.36503367089909022</v>
      </c>
      <c r="AS43" s="6">
        <f t="shared" si="104"/>
        <v>-0.45578231292517013</v>
      </c>
      <c r="AT43" s="6">
        <f t="shared" si="104"/>
        <v>-0.13993068925683483</v>
      </c>
      <c r="AU43" s="6">
        <f t="shared" si="104"/>
        <v>0.58037735849056626</v>
      </c>
    </row>
    <row r="44" spans="1:47">
      <c r="A44" s="6" t="s">
        <v>216</v>
      </c>
      <c r="B44" s="6">
        <v>1000</v>
      </c>
      <c r="C44" s="6">
        <v>18.510000000000002</v>
      </c>
      <c r="D44" s="6">
        <v>5.76</v>
      </c>
      <c r="E44" s="6">
        <v>0.49</v>
      </c>
      <c r="F44" s="6">
        <v>7.51</v>
      </c>
      <c r="G44" s="6">
        <v>0.88</v>
      </c>
      <c r="H44" s="6">
        <v>3.53</v>
      </c>
      <c r="I44" s="6">
        <f t="shared" si="89"/>
        <v>4.8979972538250296</v>
      </c>
      <c r="J44" s="6">
        <f t="shared" si="90"/>
        <v>3.473486765712924</v>
      </c>
      <c r="K44" s="6">
        <f t="shared" si="91"/>
        <v>0.81756408381557244</v>
      </c>
      <c r="L44" s="6">
        <f t="shared" si="92"/>
        <v>5.3673276578443376</v>
      </c>
      <c r="M44" s="6">
        <f t="shared" si="93"/>
        <v>0.36524951167728242</v>
      </c>
      <c r="N44" s="6">
        <f t="shared" si="94"/>
        <v>1.3093792334165335</v>
      </c>
      <c r="O44" s="6">
        <f t="shared" si="95"/>
        <v>41.02191176471311</v>
      </c>
      <c r="P44" s="6">
        <f t="shared" si="96"/>
        <v>42.316392647534748</v>
      </c>
      <c r="Q44" s="6">
        <v>19.399999999999999</v>
      </c>
      <c r="R44" s="6">
        <v>2.5</v>
      </c>
      <c r="S44" s="6">
        <v>30.6</v>
      </c>
      <c r="T44" s="6">
        <v>37.700000000000003</v>
      </c>
      <c r="U44" s="6">
        <f t="shared" si="15"/>
        <v>1.9399999999999999E-3</v>
      </c>
      <c r="V44" s="6">
        <f t="shared" si="16"/>
        <v>2.5000000000000001E-4</v>
      </c>
      <c r="W44" s="6">
        <f t="shared" si="17"/>
        <v>3.7700000000000003E-3</v>
      </c>
      <c r="X44" s="6">
        <f>I44/I51-1</f>
        <v>0.11282565130260513</v>
      </c>
      <c r="Y44" s="6">
        <f>J44/J51-1</f>
        <v>-0.20295202952029534</v>
      </c>
      <c r="Z44" s="6">
        <f>K44/K51-1</f>
        <v>-0.23437499999999989</v>
      </c>
      <c r="AA44" s="6">
        <f t="shared" si="97"/>
        <v>0.33270824511523828</v>
      </c>
      <c r="AB44" s="6">
        <f t="shared" si="98"/>
        <v>1.0646663843687624E-3</v>
      </c>
      <c r="AC44" s="6">
        <f t="shared" si="99"/>
        <v>1.4639162785070485E-5</v>
      </c>
      <c r="AD44" s="6">
        <f>I51*(100-AB44)/100</f>
        <v>4.4013589197566825</v>
      </c>
      <c r="AE44" s="6">
        <f>K51*(100-AC44)/100</f>
        <v>1.067838647028291</v>
      </c>
      <c r="AF44" s="6">
        <f t="shared" si="100"/>
        <v>4.1217452955138025</v>
      </c>
      <c r="AG44" s="6">
        <f>AF44/AH51-1</f>
        <v>-1.0500273753044631E-5</v>
      </c>
      <c r="AH44" s="6">
        <f t="shared" si="101"/>
        <v>5.9909643180092642</v>
      </c>
      <c r="AI44" s="6">
        <f t="shared" si="102"/>
        <v>4.2485804287073838</v>
      </c>
      <c r="AJ44" s="6">
        <f t="shared" si="18"/>
        <v>6.5650237872424801</v>
      </c>
      <c r="AK44" s="6">
        <f t="shared" si="19"/>
        <v>2.3729026732021027E-3</v>
      </c>
      <c r="AL44" s="6">
        <f t="shared" si="20"/>
        <v>3.0578642695903389E-4</v>
      </c>
      <c r="AM44" s="6">
        <f t="shared" si="21"/>
        <v>4.6112593185422312E-3</v>
      </c>
      <c r="AN44" s="6">
        <f t="shared" si="22"/>
        <v>15.080000000000002</v>
      </c>
      <c r="AO44" s="6">
        <f t="shared" ref="AO44:AU44" si="105">AH44/AH51-1</f>
        <v>0.45348656496666795</v>
      </c>
      <c r="AP44" s="6">
        <f t="shared" si="105"/>
        <v>4.1042247157165201E-2</v>
      </c>
      <c r="AQ44" s="6">
        <f t="shared" si="105"/>
        <v>0.58209348255431204</v>
      </c>
      <c r="AR44" s="6">
        <f t="shared" si="105"/>
        <v>-0.36174368991929295</v>
      </c>
      <c r="AS44" s="6">
        <f t="shared" si="105"/>
        <v>-9.2970521541950291E-2</v>
      </c>
      <c r="AT44" s="6">
        <f t="shared" si="105"/>
        <v>-7.0927993839045134E-2</v>
      </c>
      <c r="AU44" s="6">
        <f t="shared" si="105"/>
        <v>2.4301886792452931E-2</v>
      </c>
    </row>
    <row r="45" spans="1:47">
      <c r="A45" s="6" t="s">
        <v>216</v>
      </c>
      <c r="B45" s="6">
        <v>1000</v>
      </c>
      <c r="C45" s="6">
        <v>18.55</v>
      </c>
      <c r="D45" s="6">
        <v>5.79</v>
      </c>
      <c r="E45" s="6">
        <v>0.49</v>
      </c>
      <c r="F45" s="6">
        <v>7.54</v>
      </c>
      <c r="G45" s="6">
        <v>0.88</v>
      </c>
      <c r="H45" s="6">
        <v>3.53</v>
      </c>
      <c r="I45" s="6">
        <f t="shared" si="89"/>
        <v>4.9085817967830527</v>
      </c>
      <c r="J45" s="6">
        <f t="shared" si="90"/>
        <v>3.4915778426176796</v>
      </c>
      <c r="K45" s="6">
        <f t="shared" si="91"/>
        <v>0.81756408381557244</v>
      </c>
      <c r="L45" s="6">
        <f t="shared" si="92"/>
        <v>5.3887683808450468</v>
      </c>
      <c r="M45" s="6">
        <f t="shared" si="93"/>
        <v>0.36524951167728242</v>
      </c>
      <c r="N45" s="6">
        <f t="shared" si="94"/>
        <v>1.3093792334165335</v>
      </c>
      <c r="O45" s="6">
        <f t="shared" si="95"/>
        <v>41.000588361101549</v>
      </c>
      <c r="P45" s="6">
        <f t="shared" si="96"/>
        <v>42.290826493397745</v>
      </c>
      <c r="Q45" s="6">
        <v>29.5</v>
      </c>
      <c r="R45" s="6">
        <v>4</v>
      </c>
      <c r="S45" s="6">
        <v>29.6</v>
      </c>
      <c r="T45" s="6">
        <v>34.9</v>
      </c>
      <c r="U45" s="6">
        <f t="shared" si="15"/>
        <v>2.9499999999999999E-3</v>
      </c>
      <c r="V45" s="6">
        <f t="shared" si="16"/>
        <v>4.0000000000000002E-4</v>
      </c>
      <c r="W45" s="6">
        <f t="shared" si="17"/>
        <v>3.49E-3</v>
      </c>
      <c r="X45" s="6">
        <f>I45/I51-1</f>
        <v>0.11523046092184375</v>
      </c>
      <c r="Y45" s="6">
        <f>J45/J51-1</f>
        <v>-0.19880073800737996</v>
      </c>
      <c r="Z45" s="6">
        <f>K45/K51-1</f>
        <v>-0.23437499999999989</v>
      </c>
      <c r="AA45" s="6">
        <f t="shared" si="97"/>
        <v>0.32590284919242618</v>
      </c>
      <c r="AB45" s="6">
        <f t="shared" si="98"/>
        <v>1.0428891174157639E-3</v>
      </c>
      <c r="AC45" s="6">
        <f t="shared" si="99"/>
        <v>1.4339725364466752E-5</v>
      </c>
      <c r="AD45" s="6">
        <f>I51*(100-AB45)/100</f>
        <v>4.4013598782625687</v>
      </c>
      <c r="AE45" s="6">
        <f>K51*(100-AC45)/100</f>
        <v>1.0678386502257999</v>
      </c>
      <c r="AF45" s="6">
        <f t="shared" si="100"/>
        <v>4.1217461807847826</v>
      </c>
      <c r="AG45" s="6">
        <f>AF45/AH51-1</f>
        <v>-1.0285495395501165E-5</v>
      </c>
      <c r="AH45" s="6">
        <f t="shared" si="101"/>
        <v>6.0039107562977767</v>
      </c>
      <c r="AI45" s="6">
        <f t="shared" si="102"/>
        <v>4.2707084517735687</v>
      </c>
      <c r="AJ45" s="6">
        <f t="shared" si="18"/>
        <v>6.5912489155537006</v>
      </c>
      <c r="AK45" s="6">
        <f t="shared" si="19"/>
        <v>3.6082798381165998E-3</v>
      </c>
      <c r="AL45" s="6">
        <f t="shared" si="20"/>
        <v>4.8925828313445426E-4</v>
      </c>
      <c r="AM45" s="6">
        <f t="shared" si="21"/>
        <v>4.2687785203481135E-3</v>
      </c>
      <c r="AN45" s="6">
        <f t="shared" si="22"/>
        <v>8.7249999999999996</v>
      </c>
      <c r="AO45" s="6">
        <f t="shared" ref="AO45:AU45" si="106">AH45/AH51-1</f>
        <v>0.45662754079587731</v>
      </c>
      <c r="AP45" s="6">
        <f t="shared" si="106"/>
        <v>4.6464342194442398E-2</v>
      </c>
      <c r="AQ45" s="6">
        <f t="shared" si="106"/>
        <v>0.58841342988808387</v>
      </c>
      <c r="AR45" s="6">
        <f t="shared" si="106"/>
        <v>-2.9455610959749357E-2</v>
      </c>
      <c r="AS45" s="6">
        <f t="shared" si="106"/>
        <v>0.4512471655328798</v>
      </c>
      <c r="AT45" s="6">
        <f t="shared" si="106"/>
        <v>-0.13993068925683483</v>
      </c>
      <c r="AU45" s="6">
        <f t="shared" si="106"/>
        <v>-0.40735849056603768</v>
      </c>
    </row>
    <row r="46" spans="1:47">
      <c r="A46" s="6" t="s">
        <v>216</v>
      </c>
      <c r="B46" s="6">
        <v>1600</v>
      </c>
      <c r="C46" s="6">
        <v>17.79</v>
      </c>
      <c r="D46" s="6">
        <v>7.42</v>
      </c>
      <c r="E46" s="6">
        <v>0.53</v>
      </c>
      <c r="F46" s="6">
        <v>4.59</v>
      </c>
      <c r="G46" s="6">
        <v>0.52</v>
      </c>
      <c r="H46" s="6">
        <v>3.85</v>
      </c>
      <c r="I46" s="6">
        <f t="shared" si="89"/>
        <v>4.7074754805806203</v>
      </c>
      <c r="J46" s="6">
        <f t="shared" si="90"/>
        <v>4.4745263544426912</v>
      </c>
      <c r="K46" s="6">
        <f t="shared" si="91"/>
        <v>0.88430400902500683</v>
      </c>
      <c r="L46" s="6">
        <f t="shared" si="92"/>
        <v>3.2804306191085892</v>
      </c>
      <c r="M46" s="6">
        <f t="shared" si="93"/>
        <v>0.21582925690021232</v>
      </c>
      <c r="N46" s="6">
        <f t="shared" si="94"/>
        <v>1.4280765010350296</v>
      </c>
      <c r="O46" s="6">
        <f t="shared" si="95"/>
        <v>48.874246612844992</v>
      </c>
      <c r="P46" s="6">
        <f t="shared" si="96"/>
        <v>49.994521869852861</v>
      </c>
      <c r="Q46" s="6">
        <v>28.2</v>
      </c>
      <c r="R46" s="6">
        <v>2.7</v>
      </c>
      <c r="S46" s="6">
        <v>16.7</v>
      </c>
      <c r="T46" s="6">
        <v>54.6</v>
      </c>
      <c r="U46" s="6">
        <f t="shared" si="15"/>
        <v>2.82E-3</v>
      </c>
      <c r="V46" s="6">
        <f t="shared" si="16"/>
        <v>2.7E-4</v>
      </c>
      <c r="W46" s="6">
        <f t="shared" si="17"/>
        <v>5.4600000000000004E-3</v>
      </c>
      <c r="X46" s="6">
        <f>I46/I51-1</f>
        <v>6.953907815631255E-2</v>
      </c>
      <c r="Y46" s="6">
        <f>J46/J51-1</f>
        <v>2.6752767527675303E-2</v>
      </c>
      <c r="Z46" s="6">
        <f>K46/K51-1</f>
        <v>-0.171875</v>
      </c>
      <c r="AA46" s="6">
        <f t="shared" si="97"/>
        <v>-4.3856995947008696E-2</v>
      </c>
      <c r="AB46" s="6">
        <f t="shared" si="98"/>
        <v>-1.4034238703042784E-4</v>
      </c>
      <c r="AC46" s="6">
        <f t="shared" si="99"/>
        <v>-1.9297078216683825E-6</v>
      </c>
      <c r="AD46" s="6">
        <f>I51*(100-AB46)/100</f>
        <v>4.4014119570823969</v>
      </c>
      <c r="AE46" s="6">
        <f>K51*(100-AC46)/100</f>
        <v>1.0678388239571206</v>
      </c>
      <c r="AF46" s="6">
        <f t="shared" si="100"/>
        <v>4.1217942805000849</v>
      </c>
      <c r="AG46" s="6">
        <f>AF46/AH51-1</f>
        <v>1.3841267654246536E-6</v>
      </c>
      <c r="AH46" s="6">
        <f t="shared" si="101"/>
        <v>5.3233677926789769</v>
      </c>
      <c r="AI46" s="6">
        <f t="shared" si="102"/>
        <v>5.0599412744674757</v>
      </c>
      <c r="AJ46" s="6">
        <f t="shared" si="18"/>
        <v>3.7096186216835565</v>
      </c>
      <c r="AK46" s="6">
        <f t="shared" si="19"/>
        <v>3.1889485643169287E-3</v>
      </c>
      <c r="AL46" s="6">
        <f t="shared" si="20"/>
        <v>3.0532486254098253E-4</v>
      </c>
      <c r="AM46" s="6">
        <f t="shared" si="21"/>
        <v>6.1743472202732035E-3</v>
      </c>
      <c r="AN46" s="6">
        <f t="shared" si="22"/>
        <v>20.222222222222225</v>
      </c>
      <c r="AO46" s="6">
        <f t="shared" ref="AO46:AU46" si="107">AH46/AH51-1</f>
        <v>0.2915188868302645</v>
      </c>
      <c r="AP46" s="6">
        <f t="shared" si="107"/>
        <v>0.23985239852398532</v>
      </c>
      <c r="AQ46" s="6">
        <f t="shared" si="107"/>
        <v>-0.10602556299452237</v>
      </c>
      <c r="AR46" s="6">
        <f t="shared" si="107"/>
        <v>-0.14224609096525842</v>
      </c>
      <c r="AS46" s="6">
        <f t="shared" si="107"/>
        <v>-9.4339622641509524E-2</v>
      </c>
      <c r="AT46" s="6">
        <f t="shared" si="107"/>
        <v>0.24400142399430425</v>
      </c>
      <c r="AU46" s="6">
        <f t="shared" si="107"/>
        <v>0.37358490566037772</v>
      </c>
    </row>
    <row r="47" spans="1:47">
      <c r="A47" s="6" t="s">
        <v>216</v>
      </c>
      <c r="B47" s="6">
        <v>1600</v>
      </c>
      <c r="C47" s="6">
        <v>17.79</v>
      </c>
      <c r="D47" s="6">
        <v>7.42</v>
      </c>
      <c r="E47" s="6">
        <v>0.53</v>
      </c>
      <c r="F47" s="6">
        <v>4.59</v>
      </c>
      <c r="G47" s="6">
        <v>0.52</v>
      </c>
      <c r="H47" s="6">
        <v>3.85</v>
      </c>
      <c r="I47" s="6">
        <f t="shared" si="89"/>
        <v>4.7074754805806203</v>
      </c>
      <c r="J47" s="6">
        <f t="shared" si="90"/>
        <v>4.4745263544426912</v>
      </c>
      <c r="K47" s="6">
        <f t="shared" si="91"/>
        <v>0.88430400902500683</v>
      </c>
      <c r="L47" s="6">
        <f t="shared" si="92"/>
        <v>3.2804306191085892</v>
      </c>
      <c r="M47" s="6">
        <f t="shared" si="93"/>
        <v>0.21582925690021232</v>
      </c>
      <c r="N47" s="6">
        <f t="shared" si="94"/>
        <v>1.4280765010350296</v>
      </c>
      <c r="O47" s="6">
        <f t="shared" si="95"/>
        <v>48.874246612844992</v>
      </c>
      <c r="P47" s="6">
        <f t="shared" si="96"/>
        <v>49.994521869852861</v>
      </c>
      <c r="Q47" s="6">
        <v>28.2</v>
      </c>
      <c r="R47" s="6">
        <v>2.7</v>
      </c>
      <c r="S47" s="6">
        <v>16.7</v>
      </c>
      <c r="T47" s="6">
        <v>54.6</v>
      </c>
      <c r="U47" s="6">
        <f t="shared" si="15"/>
        <v>2.82E-3</v>
      </c>
      <c r="V47" s="6">
        <f t="shared" si="16"/>
        <v>2.7E-4</v>
      </c>
      <c r="W47" s="6">
        <f t="shared" si="17"/>
        <v>5.4600000000000004E-3</v>
      </c>
      <c r="X47" s="6">
        <f>I47/I51-1</f>
        <v>6.953907815631255E-2</v>
      </c>
      <c r="Y47" s="6">
        <f>J47/J51-1</f>
        <v>2.6752767527675303E-2</v>
      </c>
      <c r="Z47" s="6">
        <f>K47/K51-1</f>
        <v>-0.171875</v>
      </c>
      <c r="AA47" s="6">
        <f t="shared" si="97"/>
        <v>-4.3856995947008696E-2</v>
      </c>
      <c r="AB47" s="6">
        <f t="shared" si="98"/>
        <v>-1.4034238703042784E-4</v>
      </c>
      <c r="AC47" s="6">
        <f t="shared" si="99"/>
        <v>-1.9297078216683825E-6</v>
      </c>
      <c r="AD47" s="6">
        <f>I51*(100-AB47)/100</f>
        <v>4.4014119570823969</v>
      </c>
      <c r="AE47" s="6">
        <f>K51*(100-AC47)/100</f>
        <v>1.0678388239571206</v>
      </c>
      <c r="AF47" s="6">
        <f t="shared" si="100"/>
        <v>4.1217942805000849</v>
      </c>
      <c r="AG47" s="6">
        <f>AF47/AH51-1</f>
        <v>1.3841267654246536E-6</v>
      </c>
      <c r="AH47" s="6">
        <f t="shared" si="101"/>
        <v>5.3233677926789769</v>
      </c>
      <c r="AI47" s="6">
        <f t="shared" si="102"/>
        <v>5.0599412744674757</v>
      </c>
      <c r="AJ47" s="6">
        <f t="shared" si="18"/>
        <v>3.7096186216835565</v>
      </c>
      <c r="AK47" s="6">
        <f t="shared" si="19"/>
        <v>3.1889485643169287E-3</v>
      </c>
      <c r="AL47" s="6">
        <f t="shared" si="20"/>
        <v>3.0532486254098253E-4</v>
      </c>
      <c r="AM47" s="6">
        <f t="shared" si="21"/>
        <v>6.1743472202732035E-3</v>
      </c>
      <c r="AN47" s="6">
        <f t="shared" si="22"/>
        <v>20.222222222222225</v>
      </c>
      <c r="AO47" s="6">
        <f t="shared" ref="AO47:AU47" si="108">AH47/AH51-1</f>
        <v>0.2915188868302645</v>
      </c>
      <c r="AP47" s="6">
        <f t="shared" si="108"/>
        <v>0.23985239852398532</v>
      </c>
      <c r="AQ47" s="6">
        <f t="shared" si="108"/>
        <v>-0.10602556299452237</v>
      </c>
      <c r="AR47" s="6">
        <f t="shared" si="108"/>
        <v>-0.14224609096525842</v>
      </c>
      <c r="AS47" s="6">
        <f t="shared" si="108"/>
        <v>-9.4339622641509524E-2</v>
      </c>
      <c r="AT47" s="6">
        <f t="shared" si="108"/>
        <v>0.24400142399430425</v>
      </c>
      <c r="AU47" s="6">
        <f t="shared" si="108"/>
        <v>0.37358490566037772</v>
      </c>
    </row>
    <row r="48" spans="1:47">
      <c r="A48" s="6" t="s">
        <v>216</v>
      </c>
      <c r="B48" s="6">
        <v>2800</v>
      </c>
      <c r="C48" s="6">
        <v>16.43</v>
      </c>
      <c r="D48" s="6">
        <v>4.82</v>
      </c>
      <c r="E48" s="6">
        <v>0.46</v>
      </c>
      <c r="F48" s="6">
        <v>12.87</v>
      </c>
      <c r="G48" s="6">
        <v>0.36</v>
      </c>
      <c r="H48" s="6">
        <v>3.37</v>
      </c>
      <c r="I48" s="6">
        <f t="shared" si="89"/>
        <v>4.347601020007847</v>
      </c>
      <c r="J48" s="6">
        <f t="shared" si="90"/>
        <v>2.9066330226972741</v>
      </c>
      <c r="K48" s="6">
        <f t="shared" si="91"/>
        <v>0.76750913990849645</v>
      </c>
      <c r="L48" s="6">
        <f t="shared" si="92"/>
        <v>9.1980701673044756</v>
      </c>
      <c r="M48" s="6">
        <f t="shared" si="93"/>
        <v>0.14942025477707005</v>
      </c>
      <c r="N48" s="6">
        <f t="shared" si="94"/>
        <v>1.2500305996072856</v>
      </c>
      <c r="O48" s="6">
        <f t="shared" si="95"/>
        <v>29.090435045482408</v>
      </c>
      <c r="P48" s="6">
        <f t="shared" si="96"/>
        <v>29.384216325929319</v>
      </c>
      <c r="Q48" s="6">
        <v>18.8</v>
      </c>
      <c r="R48" s="6">
        <v>3.2</v>
      </c>
      <c r="S48" s="6">
        <v>8.5</v>
      </c>
      <c r="T48" s="6">
        <v>29.3</v>
      </c>
      <c r="U48" s="6">
        <f t="shared" si="15"/>
        <v>1.8800000000000002E-3</v>
      </c>
      <c r="V48" s="6">
        <f t="shared" si="16"/>
        <v>3.2000000000000003E-4</v>
      </c>
      <c r="W48" s="6">
        <f t="shared" si="17"/>
        <v>2.9299999999999999E-3</v>
      </c>
      <c r="X48" s="6">
        <f>I48/I51-1</f>
        <v>-1.2224448897795503E-2</v>
      </c>
      <c r="Y48" s="6">
        <f>J48/J51-1</f>
        <v>-0.33302583025830246</v>
      </c>
      <c r="Z48" s="6">
        <f>K48/K51-1</f>
        <v>-0.28125</v>
      </c>
      <c r="AA48" s="6">
        <f t="shared" si="97"/>
        <v>0.54594398403000399</v>
      </c>
      <c r="AB48" s="6">
        <f t="shared" si="98"/>
        <v>1.7470207488960129E-3</v>
      </c>
      <c r="AC48" s="6">
        <f t="shared" si="99"/>
        <v>2.4021535297320175E-5</v>
      </c>
      <c r="AD48" s="6">
        <f>I51*(100-AB48)/100</f>
        <v>4.4013288865722417</v>
      </c>
      <c r="AE48" s="6">
        <f>K51*(100-AC48)/100</f>
        <v>1.0678385468396767</v>
      </c>
      <c r="AF48" s="6">
        <f t="shared" si="100"/>
        <v>4.1217175570203954</v>
      </c>
      <c r="AG48" s="6">
        <f>AF48/AH51-1</f>
        <v>-1.7229996275069936E-5</v>
      </c>
      <c r="AH48" s="6">
        <f t="shared" si="101"/>
        <v>5.6645592787679044</v>
      </c>
      <c r="AI48" s="6">
        <f t="shared" si="102"/>
        <v>3.7870989041821796</v>
      </c>
      <c r="AJ48" s="6">
        <f t="shared" si="18"/>
        <v>11.984313526743255</v>
      </c>
      <c r="AK48" s="6">
        <f t="shared" si="19"/>
        <v>2.4494822305622791E-3</v>
      </c>
      <c r="AL48" s="6">
        <f t="shared" si="20"/>
        <v>4.1693314562762197E-4</v>
      </c>
      <c r="AM48" s="6">
        <f t="shared" si="21"/>
        <v>3.817544114652913E-3</v>
      </c>
      <c r="AN48" s="6">
        <f t="shared" si="22"/>
        <v>9.1562499999999982</v>
      </c>
      <c r="AO48" s="6">
        <f t="shared" ref="AO48:AU48" si="109">AH48/AH51-1</f>
        <v>0.37429641892480658</v>
      </c>
      <c r="AP48" s="6">
        <f t="shared" si="109"/>
        <v>-7.2035937750681622E-2</v>
      </c>
      <c r="AQ48" s="6">
        <f t="shared" si="109"/>
        <v>1.8880785413744738</v>
      </c>
      <c r="AR48" s="6">
        <f t="shared" si="109"/>
        <v>-0.34114554813273468</v>
      </c>
      <c r="AS48" s="6">
        <f t="shared" si="109"/>
        <v>0.23671497584541079</v>
      </c>
      <c r="AT48" s="6">
        <f t="shared" si="109"/>
        <v>-0.23084495488105006</v>
      </c>
      <c r="AU48" s="6">
        <f t="shared" si="109"/>
        <v>-0.37806603773584913</v>
      </c>
    </row>
    <row r="49" spans="1:47">
      <c r="A49" s="6" t="s">
        <v>216</v>
      </c>
      <c r="B49" s="6">
        <v>2800</v>
      </c>
      <c r="C49" s="6">
        <v>16.43</v>
      </c>
      <c r="D49" s="6">
        <v>4.82</v>
      </c>
      <c r="E49" s="6">
        <v>0.46</v>
      </c>
      <c r="F49" s="6">
        <v>12.87</v>
      </c>
      <c r="G49" s="6">
        <v>0.37</v>
      </c>
      <c r="H49" s="6">
        <v>3.38</v>
      </c>
      <c r="I49" s="6">
        <f>C49*26.98/101.96</f>
        <v>4.347601020007847</v>
      </c>
      <c r="J49" s="6">
        <f>D49*24.305/40.3044</f>
        <v>2.9066330226972741</v>
      </c>
      <c r="K49" s="6">
        <f>E49*79.866/47.867</f>
        <v>0.76750913990849645</v>
      </c>
      <c r="L49" s="6">
        <f>F49*40.078/56.0774</f>
        <v>9.1980701673044756</v>
      </c>
      <c r="M49" s="6">
        <f>G49*39.0983/94.2</f>
        <v>0.15357081740976647</v>
      </c>
      <c r="N49" s="6">
        <f>H49*22.989769/61.9789</f>
        <v>1.2537398892203635</v>
      </c>
      <c r="O49" s="6">
        <f>100*(I49/(I49+L49+M49+N49))</f>
        <v>29.075144013710652</v>
      </c>
      <c r="P49" s="6">
        <f>100*(I49/(I49+L49+N49))</f>
        <v>29.376851535003347</v>
      </c>
      <c r="Q49" s="6">
        <v>18.5</v>
      </c>
      <c r="R49" s="6">
        <v>2.5</v>
      </c>
      <c r="S49" s="6">
        <v>7.8</v>
      </c>
      <c r="T49" s="6">
        <v>29</v>
      </c>
      <c r="U49" s="6">
        <f t="shared" si="15"/>
        <v>1.8500000000000001E-3</v>
      </c>
      <c r="V49" s="6">
        <f t="shared" si="16"/>
        <v>2.5000000000000001E-4</v>
      </c>
      <c r="W49" s="6">
        <f t="shared" si="17"/>
        <v>2.8999999999999998E-3</v>
      </c>
      <c r="X49" s="6">
        <f>I49/I51-1</f>
        <v>-1.2224448897795503E-2</v>
      </c>
      <c r="Y49" s="6">
        <f>J49/J51-1</f>
        <v>-0.33302583025830246</v>
      </c>
      <c r="Z49" s="6">
        <f>K49/K51-1</f>
        <v>-0.28125</v>
      </c>
      <c r="AA49" s="6">
        <f>Y49/-0.61</f>
        <v>0.54594398403000399</v>
      </c>
      <c r="AB49" s="6">
        <f>AA49*0.0032</f>
        <v>1.7470207488960129E-3</v>
      </c>
      <c r="AC49" s="6">
        <f>AA49*0.000044</f>
        <v>2.4021535297320175E-5</v>
      </c>
      <c r="AD49" s="6">
        <f>I51*(100-AB49)/100</f>
        <v>4.4013288865722417</v>
      </c>
      <c r="AE49" s="6">
        <f>K51*(100-AC49)/100</f>
        <v>1.0678385468396767</v>
      </c>
      <c r="AF49" s="6">
        <f>AD49/AE49</f>
        <v>4.1217175570203954</v>
      </c>
      <c r="AG49" s="6">
        <f>AF49/AH51-1</f>
        <v>-1.7229996275069936E-5</v>
      </c>
      <c r="AH49" s="6">
        <f>I49/K49</f>
        <v>5.6645592787679044</v>
      </c>
      <c r="AI49" s="6">
        <f>J49/K49</f>
        <v>3.7870989041821796</v>
      </c>
      <c r="AJ49" s="6">
        <f t="shared" si="18"/>
        <v>11.984313526743255</v>
      </c>
      <c r="AK49" s="6">
        <f t="shared" si="19"/>
        <v>2.4103947481596893E-3</v>
      </c>
      <c r="AL49" s="6">
        <f t="shared" si="20"/>
        <v>3.2572902002157963E-4</v>
      </c>
      <c r="AM49" s="6">
        <f t="shared" si="21"/>
        <v>3.7784566322503236E-3</v>
      </c>
      <c r="AN49" s="6">
        <f t="shared" si="22"/>
        <v>11.6</v>
      </c>
      <c r="AO49" s="6">
        <f t="shared" ref="AO49:AU49" si="110">AH49/AH51-1</f>
        <v>0.37429641892480658</v>
      </c>
      <c r="AP49" s="6">
        <f t="shared" si="110"/>
        <v>-7.2035937750681622E-2</v>
      </c>
      <c r="AQ49" s="6">
        <f t="shared" si="110"/>
        <v>1.8880785413744738</v>
      </c>
      <c r="AR49" s="6">
        <f t="shared" si="110"/>
        <v>-0.35165918300295695</v>
      </c>
      <c r="AS49" s="6">
        <f t="shared" si="110"/>
        <v>-3.3816425120772875E-2</v>
      </c>
      <c r="AT49" s="6">
        <f t="shared" si="110"/>
        <v>-0.23872026251025424</v>
      </c>
      <c r="AU49" s="6">
        <f t="shared" si="110"/>
        <v>-0.21207547169811314</v>
      </c>
    </row>
    <row r="50" spans="1:47">
      <c r="A50" s="6" t="s">
        <v>216</v>
      </c>
      <c r="B50" s="6">
        <v>2800</v>
      </c>
      <c r="C50" s="6">
        <v>16.510000000000002</v>
      </c>
      <c r="D50" s="6">
        <v>4.83</v>
      </c>
      <c r="E50" s="6">
        <v>0.46</v>
      </c>
      <c r="F50" s="6">
        <v>12.89</v>
      </c>
      <c r="G50" s="6">
        <v>0.36</v>
      </c>
      <c r="H50" s="6">
        <v>3.38</v>
      </c>
      <c r="I50" s="6">
        <f>C50*26.98/101.96</f>
        <v>4.3687701059238924</v>
      </c>
      <c r="J50" s="6">
        <f>D50*24.305/40.3044</f>
        <v>2.9126633816655256</v>
      </c>
      <c r="K50" s="6">
        <f>E50*79.866/47.867</f>
        <v>0.76750913990849645</v>
      </c>
      <c r="L50" s="6">
        <f>F50*40.078/56.0774</f>
        <v>9.2123639826382835</v>
      </c>
      <c r="M50" s="6">
        <f>G50*39.0983/94.2</f>
        <v>0.14942025477707005</v>
      </c>
      <c r="N50" s="6">
        <f>H50*22.989769/61.9789</f>
        <v>1.2537398892203635</v>
      </c>
      <c r="O50" s="6">
        <f>100*(I50/(I50+L50+M50+N50))</f>
        <v>29.155661508774454</v>
      </c>
      <c r="P50" s="6">
        <f>100*(I50/(I50+L50+N50))</f>
        <v>29.449324021672069</v>
      </c>
      <c r="Q50" s="6">
        <v>29.4</v>
      </c>
      <c r="R50" s="6">
        <v>1.4</v>
      </c>
      <c r="S50" s="6">
        <v>8</v>
      </c>
      <c r="T50" s="6">
        <v>30.4</v>
      </c>
      <c r="U50" s="6">
        <f t="shared" si="15"/>
        <v>2.9399999999999999E-3</v>
      </c>
      <c r="V50" s="6">
        <f t="shared" si="16"/>
        <v>1.3999999999999999E-4</v>
      </c>
      <c r="W50" s="6">
        <f t="shared" si="17"/>
        <v>3.0399999999999997E-3</v>
      </c>
      <c r="X50" s="6">
        <f>I50/I51-1</f>
        <v>-7.4148296593186114E-3</v>
      </c>
      <c r="Y50" s="6">
        <f>J50/J51-1</f>
        <v>-0.33164206642066407</v>
      </c>
      <c r="Z50" s="6">
        <f>K50/K51-1</f>
        <v>-0.28125</v>
      </c>
      <c r="AA50" s="6">
        <f>Y50/-0.61</f>
        <v>0.54367551872240016</v>
      </c>
      <c r="AB50" s="6">
        <f>AA50*0.0032</f>
        <v>1.7397616599116807E-3</v>
      </c>
      <c r="AC50" s="6">
        <f>AA50*0.000044</f>
        <v>2.3921722823785608E-5</v>
      </c>
      <c r="AD50" s="6">
        <f>I51*(100-AB50)/100</f>
        <v>4.4013292060742044</v>
      </c>
      <c r="AE50" s="6">
        <f>K51*(100-AC50)/100</f>
        <v>1.0678385479055128</v>
      </c>
      <c r="AF50" s="6">
        <f>AD50/AE50</f>
        <v>4.1217178521107796</v>
      </c>
      <c r="AG50" s="6">
        <f>AF50/AH51-1</f>
        <v>-1.7158403475270312E-5</v>
      </c>
      <c r="AH50" s="6">
        <f>I50/K50</f>
        <v>5.6921408212086479</v>
      </c>
      <c r="AI50" s="6">
        <f>J50/K50</f>
        <v>3.7949559558506074</v>
      </c>
      <c r="AJ50" s="6">
        <f t="shared" si="18"/>
        <v>12.002937168587458</v>
      </c>
      <c r="AK50" s="6">
        <f t="shared" si="19"/>
        <v>3.8305732754537764E-3</v>
      </c>
      <c r="AL50" s="6">
        <f t="shared" si="20"/>
        <v>1.8240825121208459E-4</v>
      </c>
      <c r="AM50" s="6">
        <f t="shared" si="21"/>
        <v>3.960864883462408E-3</v>
      </c>
      <c r="AN50" s="6">
        <f t="shared" si="22"/>
        <v>21.714285714285715</v>
      </c>
      <c r="AO50" s="6">
        <f t="shared" ref="AO50:AU50" si="111">AH50/AH51-1</f>
        <v>0.38098806308268718</v>
      </c>
      <c r="AP50" s="6">
        <f t="shared" si="111"/>
        <v>-7.0110701107010898E-2</v>
      </c>
      <c r="AQ50" s="6">
        <f t="shared" si="111"/>
        <v>1.8925666199158488</v>
      </c>
      <c r="AR50" s="6">
        <f t="shared" si="111"/>
        <v>3.0336217281787148E-2</v>
      </c>
      <c r="AS50" s="6">
        <f t="shared" si="111"/>
        <v>-0.45893719806763289</v>
      </c>
      <c r="AT50" s="6">
        <f t="shared" si="111"/>
        <v>-0.20196882690730111</v>
      </c>
      <c r="AU50" s="6">
        <f t="shared" si="111"/>
        <v>0.47493261455525615</v>
      </c>
    </row>
    <row r="51" spans="1:47" s="2" customFormat="1">
      <c r="A51" s="2" t="s">
        <v>42</v>
      </c>
      <c r="B51" s="2">
        <v>5000</v>
      </c>
      <c r="C51" s="2">
        <f>AVERAGE(16.6,16.66,16.64,16.6,16.66,16.64)</f>
        <v>16.633333333333333</v>
      </c>
      <c r="D51" s="2">
        <f>AVERAGE(7.22,7.23,7.23,7.22,7.23,7.23)</f>
        <v>7.2266666666666666</v>
      </c>
      <c r="E51" s="2">
        <v>0.64</v>
      </c>
      <c r="F51" s="2">
        <f>AVERAGE(6.19,6.21,6.2,6.19,6.21,6.2)</f>
        <v>6.2</v>
      </c>
      <c r="G51" s="2">
        <v>0.57999999999999996</v>
      </c>
      <c r="H51" s="2">
        <v>3.43</v>
      </c>
      <c r="I51" s="2">
        <f>C51*26.98/101.96</f>
        <v>4.4014057800444624</v>
      </c>
      <c r="J51" s="2">
        <f>D51*24.305/40.3044</f>
        <v>4.3579394143898265</v>
      </c>
      <c r="K51" s="2">
        <f>E51*79.866/47.867</f>
        <v>1.0678388033509516</v>
      </c>
      <c r="L51" s="2">
        <f>F51*40.078/56.0774</f>
        <v>4.4310827534800126</v>
      </c>
      <c r="M51" s="2">
        <f>G51*39.0983/94.2</f>
        <v>0.24073263269639064</v>
      </c>
      <c r="N51" s="2">
        <f>H51*22.989769/61.9789</f>
        <v>1.2722863372857536</v>
      </c>
      <c r="Q51" s="2">
        <v>39.700000000000003</v>
      </c>
      <c r="R51" s="2">
        <v>3.6</v>
      </c>
      <c r="S51" s="93">
        <v>10.066666666666666</v>
      </c>
      <c r="T51" s="2">
        <v>53</v>
      </c>
      <c r="U51" s="2">
        <f t="shared" si="15"/>
        <v>3.9700000000000004E-3</v>
      </c>
      <c r="V51" s="2">
        <f t="shared" si="16"/>
        <v>3.6000000000000002E-4</v>
      </c>
      <c r="W51" s="2">
        <f t="shared" si="17"/>
        <v>5.3E-3</v>
      </c>
      <c r="AH51" s="2">
        <f>I51/K51</f>
        <v>4.1217885754221966</v>
      </c>
      <c r="AI51" s="2">
        <f>J51/K51</f>
        <v>4.0810835874425173</v>
      </c>
      <c r="AJ51" s="2">
        <f t="shared" si="18"/>
        <v>4.1495801984110052</v>
      </c>
      <c r="AK51" s="2">
        <f t="shared" si="19"/>
        <v>3.7177896022713049E-3</v>
      </c>
      <c r="AL51" s="2">
        <f t="shared" si="20"/>
        <v>3.3712953572233491E-4</v>
      </c>
      <c r="AM51" s="2">
        <f t="shared" si="21"/>
        <v>4.9632959425788192E-3</v>
      </c>
      <c r="AN51" s="2">
        <f t="shared" si="22"/>
        <v>14.722222222222221</v>
      </c>
    </row>
    <row r="52" spans="1:47">
      <c r="AF52" s="39"/>
      <c r="AI52" s="39"/>
      <c r="AJ52" s="39"/>
      <c r="AK52" s="39"/>
      <c r="AL52" s="39"/>
      <c r="AM52" s="39"/>
      <c r="AN52" s="39" t="s">
        <v>97</v>
      </c>
      <c r="AO52" s="6">
        <f>_xlfn.VAR.P(AO3:AO50)</f>
        <v>3.2194988394834118E-2</v>
      </c>
    </row>
    <row r="53" spans="1:47">
      <c r="AN53" s="39" t="s">
        <v>98</v>
      </c>
      <c r="AO53" s="6">
        <f>AVERAGE(AO3:AO50)</f>
        <v>0.1991022069532333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workbookViewId="0">
      <selection activeCell="A9" sqref="A9"/>
    </sheetView>
  </sheetViews>
  <sheetFormatPr defaultRowHeight="14.5"/>
  <cols>
    <col min="1" max="1" width="31.26953125" customWidth="1"/>
    <col min="2" max="2" width="11.7265625" customWidth="1"/>
    <col min="3" max="3" width="11.81640625" customWidth="1"/>
    <col min="4" max="4" width="10.6328125" customWidth="1"/>
    <col min="5" max="5" width="12.54296875" customWidth="1"/>
    <col min="6" max="6" width="12.453125" customWidth="1"/>
    <col min="7" max="7" width="15.36328125" customWidth="1"/>
  </cols>
  <sheetData>
    <row r="1" spans="1:9">
      <c r="A1" s="101" t="s">
        <v>37</v>
      </c>
      <c r="B1" s="101"/>
      <c r="C1" s="101"/>
      <c r="D1" s="101"/>
      <c r="E1" s="101"/>
      <c r="F1" s="101"/>
      <c r="G1" s="101"/>
      <c r="H1" s="9"/>
      <c r="I1" s="9"/>
    </row>
    <row r="2" spans="1:9">
      <c r="A2" s="102" t="s">
        <v>38</v>
      </c>
      <c r="B2" s="102"/>
      <c r="C2" s="102"/>
      <c r="D2" s="102"/>
      <c r="E2" s="102"/>
      <c r="F2" s="102"/>
      <c r="G2" s="102"/>
      <c r="H2" s="10"/>
      <c r="I2" s="10"/>
    </row>
    <row r="3" spans="1:9">
      <c r="A3" s="1"/>
      <c r="B3" s="1" t="s">
        <v>25</v>
      </c>
      <c r="C3" s="1" t="s">
        <v>26</v>
      </c>
      <c r="D3" s="1" t="s">
        <v>27</v>
      </c>
      <c r="E3" s="1" t="s">
        <v>28</v>
      </c>
      <c r="F3" s="1" t="s">
        <v>29</v>
      </c>
      <c r="G3" s="1" t="s">
        <v>30</v>
      </c>
    </row>
    <row r="4" spans="1:9">
      <c r="A4" s="7" t="s">
        <v>31</v>
      </c>
      <c r="B4" s="7">
        <v>13.3</v>
      </c>
      <c r="C4" s="7">
        <v>2.15</v>
      </c>
      <c r="D4" s="7">
        <v>3.84</v>
      </c>
      <c r="E4" s="7"/>
      <c r="F4" s="7"/>
      <c r="G4" s="7"/>
    </row>
    <row r="5" spans="1:9">
      <c r="A5" s="7" t="s">
        <v>32</v>
      </c>
      <c r="B5" s="7"/>
      <c r="C5" s="7"/>
      <c r="D5" s="7"/>
      <c r="E5" s="7">
        <v>0.28999999999999998</v>
      </c>
      <c r="F5" s="7">
        <v>0.14000000000000001</v>
      </c>
      <c r="G5" s="7">
        <v>2.2999999999999998</v>
      </c>
    </row>
    <row r="6" spans="1:9">
      <c r="A6" s="7" t="s">
        <v>33</v>
      </c>
      <c r="B6" s="7"/>
      <c r="C6" s="7"/>
      <c r="D6" s="7"/>
      <c r="E6" s="7">
        <v>3.2000000000000002E-3</v>
      </c>
      <c r="F6" s="16">
        <v>4.3999999999999999E-5</v>
      </c>
      <c r="G6" s="7">
        <v>0.61</v>
      </c>
    </row>
    <row r="7" spans="1:9">
      <c r="A7" s="8" t="s">
        <v>34</v>
      </c>
      <c r="B7" s="8">
        <v>15.12</v>
      </c>
      <c r="C7" s="8">
        <v>0.42</v>
      </c>
      <c r="D7" s="8">
        <v>1.04</v>
      </c>
      <c r="E7" s="8"/>
      <c r="F7" s="8"/>
      <c r="G7" s="8"/>
    </row>
    <row r="8" spans="1:9">
      <c r="A8" s="8" t="s">
        <v>35</v>
      </c>
      <c r="B8" s="8"/>
      <c r="C8" s="8"/>
      <c r="D8" s="8"/>
      <c r="E8" s="8">
        <v>0.28000000000000003</v>
      </c>
      <c r="F8" s="8">
        <v>0.35</v>
      </c>
      <c r="G8" s="8">
        <v>1.6</v>
      </c>
    </row>
    <row r="9" spans="1:9">
      <c r="A9" s="8" t="s">
        <v>36</v>
      </c>
      <c r="B9" s="8"/>
      <c r="C9" s="8"/>
      <c r="D9" s="8"/>
      <c r="E9" s="8">
        <v>1.8E-3</v>
      </c>
      <c r="F9" s="8">
        <v>1.4999999999999999E-4</v>
      </c>
      <c r="G9" s="8">
        <v>0.13</v>
      </c>
    </row>
  </sheetData>
  <mergeCells count="2">
    <mergeCell ref="A1:G1"/>
    <mergeCell ref="A2:G2"/>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22"/>
  <sheetViews>
    <sheetView workbookViewId="0">
      <selection activeCell="B7" sqref="B7"/>
    </sheetView>
  </sheetViews>
  <sheetFormatPr defaultRowHeight="14.5"/>
  <cols>
    <col min="1" max="2" width="11.1796875" style="6" customWidth="1"/>
    <col min="3" max="3" width="9.90625" customWidth="1"/>
    <col min="7" max="9" width="8.7265625" style="6"/>
    <col min="13" max="17" width="8.7265625" style="6"/>
    <col min="18" max="18" width="11.26953125" customWidth="1"/>
    <col min="19" max="19" width="12.36328125" customWidth="1"/>
    <col min="20" max="20" width="11.1796875" customWidth="1"/>
    <col min="21" max="21" width="15.90625" customWidth="1"/>
    <col min="22" max="23" width="19.1796875" customWidth="1"/>
    <col min="24" max="24" width="11.54296875" customWidth="1"/>
    <col min="25" max="25" width="11.1796875" customWidth="1"/>
    <col min="26" max="26" width="13.7265625" customWidth="1"/>
    <col min="27" max="27" width="16.81640625" customWidth="1"/>
    <col min="30" max="30" width="8.7265625" style="6"/>
    <col min="32" max="32" width="10.36328125" customWidth="1"/>
  </cols>
  <sheetData>
    <row r="1" spans="1:33" s="6" customFormat="1">
      <c r="A1" s="81" t="s">
        <v>188</v>
      </c>
      <c r="B1" s="91"/>
      <c r="C1" s="81"/>
      <c r="D1" s="81"/>
      <c r="E1" s="81"/>
      <c r="F1" s="81"/>
      <c r="G1" s="81"/>
      <c r="H1" s="81"/>
      <c r="I1" s="81"/>
      <c r="J1" s="81"/>
      <c r="K1" s="81"/>
      <c r="L1" s="81"/>
      <c r="M1" s="81"/>
      <c r="N1" s="81"/>
      <c r="O1" s="81"/>
      <c r="P1" s="81"/>
    </row>
    <row r="2" spans="1:33">
      <c r="A2" s="1" t="s">
        <v>197</v>
      </c>
      <c r="B2" s="1" t="s">
        <v>196</v>
      </c>
      <c r="C2" s="1" t="s">
        <v>20</v>
      </c>
      <c r="D2" s="1" t="s">
        <v>1</v>
      </c>
      <c r="E2" s="1" t="s">
        <v>2</v>
      </c>
      <c r="F2" s="1" t="s">
        <v>3</v>
      </c>
      <c r="G2" s="1" t="s">
        <v>48</v>
      </c>
      <c r="H2" s="1" t="s">
        <v>49</v>
      </c>
      <c r="I2" s="1" t="s">
        <v>50</v>
      </c>
      <c r="J2" s="1" t="s">
        <v>4</v>
      </c>
      <c r="K2" s="1" t="s">
        <v>5</v>
      </c>
      <c r="L2" s="1" t="s">
        <v>6</v>
      </c>
      <c r="M2" s="1" t="s">
        <v>45</v>
      </c>
      <c r="N2" s="1" t="s">
        <v>46</v>
      </c>
      <c r="O2" s="1" t="s">
        <v>47</v>
      </c>
      <c r="P2" s="1" t="s">
        <v>51</v>
      </c>
      <c r="Q2" s="1" t="s">
        <v>52</v>
      </c>
      <c r="R2" s="1" t="s">
        <v>7</v>
      </c>
      <c r="S2" s="1" t="s">
        <v>8</v>
      </c>
      <c r="T2" s="1" t="s">
        <v>9</v>
      </c>
      <c r="U2" s="1" t="s">
        <v>10</v>
      </c>
      <c r="V2" s="1" t="s">
        <v>11</v>
      </c>
      <c r="W2" s="1" t="s">
        <v>12</v>
      </c>
      <c r="X2" s="1" t="s">
        <v>13</v>
      </c>
      <c r="Y2" s="1" t="s">
        <v>14</v>
      </c>
      <c r="Z2" s="1" t="s">
        <v>15</v>
      </c>
      <c r="AA2" s="1" t="s">
        <v>460</v>
      </c>
      <c r="AB2" s="1" t="s">
        <v>16</v>
      </c>
      <c r="AC2" s="1" t="s">
        <v>17</v>
      </c>
      <c r="AD2" s="1" t="s">
        <v>107</v>
      </c>
      <c r="AE2" s="1" t="s">
        <v>459</v>
      </c>
      <c r="AF2" s="1" t="s">
        <v>461</v>
      </c>
      <c r="AG2" s="1" t="s">
        <v>462</v>
      </c>
    </row>
    <row r="3" spans="1:33">
      <c r="A3" s="6" t="s">
        <v>419</v>
      </c>
      <c r="B3" s="6" t="s">
        <v>240</v>
      </c>
      <c r="C3">
        <v>273.83999999999997</v>
      </c>
      <c r="D3">
        <v>15.5</v>
      </c>
      <c r="E3">
        <v>1.83</v>
      </c>
      <c r="F3">
        <v>2.76</v>
      </c>
      <c r="G3" s="6">
        <v>0.23</v>
      </c>
      <c r="H3" s="6">
        <v>7.35</v>
      </c>
      <c r="I3" s="6">
        <v>0.06</v>
      </c>
      <c r="J3" s="6">
        <f>D3*26.98/101.96</f>
        <v>4.1015103962338175</v>
      </c>
      <c r="K3" s="6">
        <f>E3*24.305/40.3044</f>
        <v>1.1035556911900437</v>
      </c>
      <c r="L3" s="6">
        <f>F3*79.866/47.867</f>
        <v>4.605054839450978</v>
      </c>
      <c r="M3" s="6">
        <f>G3*40.078/56.0774</f>
        <v>0.16437887633877463</v>
      </c>
      <c r="N3" s="6">
        <f>H3*39.0983/94.2</f>
        <v>3.050663535031847</v>
      </c>
      <c r="O3" s="6">
        <f>I3*22.989769/61.9789</f>
        <v>2.2255737678467991E-2</v>
      </c>
      <c r="P3" s="6">
        <f>100*(J3/(J3+M3+N3+O3))</f>
        <v>55.887960163099002</v>
      </c>
      <c r="Q3" s="6">
        <f>100*(J3/(J3+M3+O3))</f>
        <v>95.647660851695022</v>
      </c>
      <c r="R3" s="6">
        <f>J3/J20-1</f>
        <v>0.26016260162601612</v>
      </c>
      <c r="S3" s="6">
        <f>K3/K20-1</f>
        <v>-0.45045045045045051</v>
      </c>
      <c r="T3" s="6">
        <f>L3/L20-1</f>
        <v>-0.10679611650485454</v>
      </c>
      <c r="U3" s="6">
        <f>S3/-0.61</f>
        <v>0.73844336139418121</v>
      </c>
      <c r="V3" s="6">
        <f>U3*0.0032</f>
        <v>2.3630187564613798E-3</v>
      </c>
      <c r="W3" s="6">
        <f>U3*0.000044</f>
        <v>3.2491507901343973E-5</v>
      </c>
      <c r="X3" s="6">
        <f>J20*(100-V3)/100</f>
        <v>3.2546700493108669</v>
      </c>
      <c r="Y3" s="6">
        <f>L20*(100-W3)/100</f>
        <v>5.1556575472773893</v>
      </c>
      <c r="Z3" s="6">
        <f>X3/Y3</f>
        <v>0.63128127100482068</v>
      </c>
      <c r="AA3" s="6">
        <f>Z3/AB20-1</f>
        <v>-2.3305280057783762E-5</v>
      </c>
      <c r="AB3" s="6">
        <f>J3/L3</f>
        <v>0.8906539746490415</v>
      </c>
      <c r="AC3" s="6">
        <f>K3/L3</f>
        <v>0.23964007588704664</v>
      </c>
      <c r="AD3" s="6">
        <f>M3/L3</f>
        <v>3.5695313534718325E-2</v>
      </c>
      <c r="AE3" s="6">
        <f>AB3/AB20-1</f>
        <v>0.41083421703782252</v>
      </c>
      <c r="AF3" s="6">
        <f>AC3/AC20-1</f>
        <v>-0.38474343909126518</v>
      </c>
      <c r="AG3" s="6">
        <f>AD3/AD20-1</f>
        <v>-0.91666666666666663</v>
      </c>
    </row>
    <row r="4" spans="1:33">
      <c r="A4" s="6" t="s">
        <v>420</v>
      </c>
      <c r="B4" s="6" t="s">
        <v>240</v>
      </c>
      <c r="C4">
        <v>274.02</v>
      </c>
      <c r="D4">
        <v>16.100000000000001</v>
      </c>
      <c r="E4">
        <v>2.1</v>
      </c>
      <c r="F4">
        <v>3.2</v>
      </c>
      <c r="G4" s="6">
        <v>0.23</v>
      </c>
      <c r="H4" s="6">
        <v>8.36</v>
      </c>
      <c r="I4" s="6">
        <v>0.02</v>
      </c>
      <c r="J4" s="6">
        <f t="shared" ref="J4:J20" si="0">D4*26.98/101.96</f>
        <v>4.2602785406041592</v>
      </c>
      <c r="K4" s="6">
        <f t="shared" ref="K4:K20" si="1">E4*24.305/40.3044</f>
        <v>1.2663753833328371</v>
      </c>
      <c r="L4" s="6">
        <f t="shared" ref="L4:L20" si="2">F4*79.866/47.867</f>
        <v>5.3391940167547585</v>
      </c>
      <c r="M4" s="6">
        <f t="shared" ref="M4:M20" si="3">G4*40.078/56.0774</f>
        <v>0.16437887633877463</v>
      </c>
      <c r="N4" s="6">
        <f t="shared" ref="N4:N20" si="4">H4*39.0983/94.2</f>
        <v>3.4698703609341823</v>
      </c>
      <c r="O4" s="6">
        <f t="shared" ref="O4:O20" si="5">I4*22.989769/61.9789</f>
        <v>7.4185792261559974E-3</v>
      </c>
      <c r="P4" s="6">
        <f t="shared" ref="P4:P18" si="6">100*(J4/(J4+M4+N4+O4))</f>
        <v>53.914293366146168</v>
      </c>
      <c r="Q4" s="6">
        <f t="shared" ref="Q4:Q19" si="7">100*(J4/(J4+M4+O4))</f>
        <v>96.123770086220844</v>
      </c>
      <c r="R4" s="6">
        <f>J4/J20-1</f>
        <v>0.30894308943089444</v>
      </c>
      <c r="S4" s="6">
        <f>K4/K20-1</f>
        <v>-0.36936936936936937</v>
      </c>
      <c r="T4" s="6">
        <f>L4/L20-1</f>
        <v>3.5598705501618255E-2</v>
      </c>
      <c r="U4" s="6">
        <f t="shared" ref="U4:U19" si="8">S4/-0.61</f>
        <v>0.60552355634322852</v>
      </c>
      <c r="V4" s="6">
        <f t="shared" ref="V4:V19" si="9">U4*0.0032</f>
        <v>1.9376753802983313E-3</v>
      </c>
      <c r="W4" s="6">
        <f t="shared" ref="W4:W19" si="10">U4*0.000044</f>
        <v>2.6643036479102053E-5</v>
      </c>
      <c r="X4" s="6">
        <f>J20*(100-V4)/100</f>
        <v>3.2546838931614701</v>
      </c>
      <c r="Y4" s="6">
        <f>L20*(100-W4)/100</f>
        <v>5.1556578488046458</v>
      </c>
      <c r="Z4" s="6">
        <f t="shared" ref="Z4:Z19" si="11">X4/Y4</f>
        <v>0.63128391926087146</v>
      </c>
      <c r="AA4" s="6">
        <f>Z4/AB20-1</f>
        <v>-1.9110328529747811E-5</v>
      </c>
      <c r="AB4" s="6">
        <f t="shared" ref="AB4:AB20" si="12">J4/L4</f>
        <v>0.79792540357872588</v>
      </c>
      <c r="AC4" s="6">
        <f t="shared" ref="AC4:AC20" si="13">K4/L4</f>
        <v>0.23718474724066291</v>
      </c>
      <c r="AD4" s="6">
        <f t="shared" ref="AD4:AD20" si="14">M4/L4</f>
        <v>3.0787207923694548E-2</v>
      </c>
      <c r="AE4" s="6">
        <f>AB4/AB20-1</f>
        <v>0.26394817073170729</v>
      </c>
      <c r="AF4" s="6">
        <f>AC4/AC20-1</f>
        <v>-0.39104729729729737</v>
      </c>
      <c r="AG4" s="6">
        <f>AD4/AD20-1</f>
        <v>-0.92812499999999998</v>
      </c>
    </row>
    <row r="5" spans="1:33">
      <c r="A5" s="6" t="s">
        <v>421</v>
      </c>
      <c r="B5" s="6" t="s">
        <v>240</v>
      </c>
      <c r="C5">
        <v>274.32</v>
      </c>
      <c r="D5">
        <v>14.6</v>
      </c>
      <c r="E5">
        <v>2.7</v>
      </c>
      <c r="F5">
        <v>2.88</v>
      </c>
      <c r="G5" s="6">
        <v>2.2599999999999998</v>
      </c>
      <c r="H5" s="6">
        <v>6.83</v>
      </c>
      <c r="I5" s="6">
        <v>0.05</v>
      </c>
      <c r="J5" s="6">
        <f t="shared" si="0"/>
        <v>3.8633581796783054</v>
      </c>
      <c r="K5" s="6">
        <f t="shared" si="1"/>
        <v>1.6281969214279335</v>
      </c>
      <c r="L5" s="6">
        <f t="shared" si="2"/>
        <v>4.8052746150792824</v>
      </c>
      <c r="M5" s="6">
        <f t="shared" si="3"/>
        <v>1.6152011327201332</v>
      </c>
      <c r="N5" s="6">
        <f t="shared" si="4"/>
        <v>2.8348342781316354</v>
      </c>
      <c r="O5" s="6">
        <f t="shared" si="5"/>
        <v>1.8546448065389996E-2</v>
      </c>
      <c r="P5" s="6">
        <f t="shared" si="6"/>
        <v>46.368050679461696</v>
      </c>
      <c r="Q5" s="6">
        <f t="shared" si="7"/>
        <v>70.279859038992328</v>
      </c>
      <c r="R5" s="6">
        <f>J5/J20-1</f>
        <v>0.18699186991869898</v>
      </c>
      <c r="S5" s="6">
        <f>K5/K20-1</f>
        <v>-0.18918918918918914</v>
      </c>
      <c r="T5" s="6">
        <f>L5/L20-1</f>
        <v>-6.7961165048543659E-2</v>
      </c>
      <c r="U5" s="6">
        <f t="shared" si="8"/>
        <v>0.31014621178555596</v>
      </c>
      <c r="V5" s="6">
        <f t="shared" si="9"/>
        <v>9.9246787771377918E-4</v>
      </c>
      <c r="W5" s="6">
        <f t="shared" si="10"/>
        <v>1.3646433318564462E-5</v>
      </c>
      <c r="X5" s="6">
        <f>J20*(100-V5)/100</f>
        <v>3.2547146572739227</v>
      </c>
      <c r="Y5" s="6">
        <f>L20*(100-W5)/100</f>
        <v>5.1556585188652146</v>
      </c>
      <c r="Z5" s="6">
        <f t="shared" si="11"/>
        <v>0.6312898042732088</v>
      </c>
      <c r="AA5" s="6">
        <f>Z5/AB20-1</f>
        <v>-9.7882157794604296E-6</v>
      </c>
      <c r="AB5" s="6">
        <f t="shared" si="12"/>
        <v>0.80398280829878521</v>
      </c>
      <c r="AC5" s="6">
        <f t="shared" si="13"/>
        <v>0.33883535320094704</v>
      </c>
      <c r="AD5" s="6">
        <f t="shared" si="14"/>
        <v>0.33613086911859746</v>
      </c>
      <c r="AE5" s="6">
        <f>AB5/AB20-1</f>
        <v>0.27354336043360417</v>
      </c>
      <c r="AF5" s="6">
        <f>AC5/AC20-1</f>
        <v>-0.13006756756756765</v>
      </c>
      <c r="AG5" s="6">
        <f>AD5/AD20-1</f>
        <v>-0.2152777777777779</v>
      </c>
    </row>
    <row r="6" spans="1:33">
      <c r="A6" s="6" t="s">
        <v>422</v>
      </c>
      <c r="B6" s="6" t="s">
        <v>240</v>
      </c>
      <c r="C6">
        <v>274.62</v>
      </c>
      <c r="D6">
        <v>14.5</v>
      </c>
      <c r="E6">
        <v>2.17</v>
      </c>
      <c r="F6">
        <v>3.08</v>
      </c>
      <c r="G6" s="6">
        <v>2.93</v>
      </c>
      <c r="H6" s="6">
        <v>7.53</v>
      </c>
      <c r="I6" s="6">
        <v>0.06</v>
      </c>
      <c r="J6" s="6">
        <f t="shared" si="0"/>
        <v>3.8368968222832485</v>
      </c>
      <c r="K6" s="6">
        <f t="shared" si="1"/>
        <v>1.3085878961105983</v>
      </c>
      <c r="L6" s="6">
        <f t="shared" si="2"/>
        <v>5.138974241126455</v>
      </c>
      <c r="M6" s="6">
        <f t="shared" si="3"/>
        <v>2.094043946402651</v>
      </c>
      <c r="N6" s="6">
        <f t="shared" si="4"/>
        <v>3.1253736624203823</v>
      </c>
      <c r="O6" s="6">
        <f t="shared" si="5"/>
        <v>2.2255737678467991E-2</v>
      </c>
      <c r="P6" s="6">
        <f t="shared" si="6"/>
        <v>42.26322813999743</v>
      </c>
      <c r="Q6" s="6">
        <f t="shared" si="7"/>
        <v>64.451035980104933</v>
      </c>
      <c r="R6" s="6">
        <f>J6/J20-1</f>
        <v>0.17886178861788604</v>
      </c>
      <c r="S6" s="6">
        <f>K6/K20-1</f>
        <v>-0.34834834834834838</v>
      </c>
      <c r="T6" s="6">
        <f>L6/L20-1</f>
        <v>-3.2362459546925182E-3</v>
      </c>
      <c r="U6" s="6">
        <f t="shared" si="8"/>
        <v>0.57106286614483337</v>
      </c>
      <c r="V6" s="6">
        <f t="shared" si="9"/>
        <v>1.8274011716634668E-3</v>
      </c>
      <c r="W6" s="6">
        <f t="shared" si="10"/>
        <v>2.5126766110372667E-5</v>
      </c>
      <c r="X6" s="6">
        <f>J20*(100-V6)/100</f>
        <v>3.254687482307923</v>
      </c>
      <c r="Y6" s="6">
        <f>L20*(100-W6)/100</f>
        <v>5.1556579269783791</v>
      </c>
      <c r="Z6" s="6">
        <f t="shared" si="11"/>
        <v>0.63128460584572288</v>
      </c>
      <c r="AA6" s="6">
        <f>Z6/AB20-1</f>
        <v>-1.8022748584201054E-5</v>
      </c>
      <c r="AB6" s="6">
        <f t="shared" si="12"/>
        <v>0.74662698084320556</v>
      </c>
      <c r="AC6" s="6">
        <f t="shared" si="13"/>
        <v>0.25463990179949958</v>
      </c>
      <c r="AD6" s="6">
        <f t="shared" si="14"/>
        <v>0.40748286489632995</v>
      </c>
      <c r="AE6" s="6">
        <f>AB6/AB20-1</f>
        <v>0.18268926195755442</v>
      </c>
      <c r="AF6" s="6">
        <f>AC6/AC20-1</f>
        <v>-0.34623259623259628</v>
      </c>
      <c r="AG6" s="6">
        <f>AD6/AD20-1</f>
        <v>-4.870129870129869E-2</v>
      </c>
    </row>
    <row r="7" spans="1:33">
      <c r="A7" s="6" t="s">
        <v>423</v>
      </c>
      <c r="B7" s="6" t="s">
        <v>240</v>
      </c>
      <c r="C7">
        <v>274.93</v>
      </c>
      <c r="D7">
        <v>13.8</v>
      </c>
      <c r="E7">
        <v>1.99</v>
      </c>
      <c r="F7">
        <v>3.47</v>
      </c>
      <c r="G7" s="6">
        <v>2.79</v>
      </c>
      <c r="H7" s="6">
        <v>7.59</v>
      </c>
      <c r="I7" s="6">
        <v>0.03</v>
      </c>
      <c r="J7" s="6">
        <f t="shared" si="0"/>
        <v>3.6516673205178507</v>
      </c>
      <c r="K7" s="6">
        <f t="shared" si="1"/>
        <v>1.2000414346820694</v>
      </c>
      <c r="L7" s="6">
        <f t="shared" si="2"/>
        <v>5.7896885119184409</v>
      </c>
      <c r="M7" s="6">
        <f t="shared" si="3"/>
        <v>1.9939872390660054</v>
      </c>
      <c r="N7" s="6">
        <f t="shared" si="4"/>
        <v>3.1502770382165606</v>
      </c>
      <c r="O7" s="6">
        <f t="shared" si="5"/>
        <v>1.1127868839233996E-2</v>
      </c>
      <c r="P7" s="6">
        <f t="shared" si="6"/>
        <v>41.46295746440726</v>
      </c>
      <c r="Q7" s="6">
        <f t="shared" si="7"/>
        <v>64.553787718079263</v>
      </c>
      <c r="R7" s="6">
        <f>J7/J20-1</f>
        <v>0.12195121951219523</v>
      </c>
      <c r="S7" s="6">
        <f>K7/K20-1</f>
        <v>-0.40240240240240244</v>
      </c>
      <c r="T7" s="6">
        <f>L7/L20-1</f>
        <v>0.12297734627831725</v>
      </c>
      <c r="U7" s="6">
        <f t="shared" si="8"/>
        <v>0.6596760695121352</v>
      </c>
      <c r="V7" s="6">
        <f t="shared" si="9"/>
        <v>2.1109634224388326E-3</v>
      </c>
      <c r="W7" s="6">
        <f t="shared" si="10"/>
        <v>2.9025747058533948E-5</v>
      </c>
      <c r="X7" s="6">
        <f>J20*(100-V7)/100</f>
        <v>3.2546782530741876</v>
      </c>
      <c r="Y7" s="6">
        <f>L20*(100-W7)/100</f>
        <v>5.1556577259602081</v>
      </c>
      <c r="Z7" s="6">
        <f t="shared" si="11"/>
        <v>0.63128284034177706</v>
      </c>
      <c r="AA7" s="6">
        <f>Z7/AB20-1</f>
        <v>-2.0819382796744001E-5</v>
      </c>
      <c r="AB7" s="6">
        <f t="shared" si="12"/>
        <v>0.63071913333518059</v>
      </c>
      <c r="AC7" s="6">
        <f t="shared" si="13"/>
        <v>0.20727219300515182</v>
      </c>
      <c r="AD7" s="6">
        <f t="shared" si="14"/>
        <v>0.34440319802373759</v>
      </c>
      <c r="AE7" s="6">
        <f>AB7/AB20-1</f>
        <v>-9.1375553524997155E-4</v>
      </c>
      <c r="AF7" s="6">
        <f>AC7/AC20-1</f>
        <v>-0.4678453669808138</v>
      </c>
      <c r="AG7" s="6">
        <f>AD7/AD20-1</f>
        <v>-0.19596541786743515</v>
      </c>
    </row>
    <row r="8" spans="1:33">
      <c r="A8" s="6" t="s">
        <v>424</v>
      </c>
      <c r="B8" s="6" t="s">
        <v>240</v>
      </c>
      <c r="C8">
        <v>275.23</v>
      </c>
      <c r="D8">
        <v>13.9</v>
      </c>
      <c r="E8">
        <v>2.14</v>
      </c>
      <c r="F8">
        <v>2.94</v>
      </c>
      <c r="G8" s="6">
        <v>2.37</v>
      </c>
      <c r="H8" s="6">
        <v>7.59</v>
      </c>
      <c r="I8" s="6">
        <v>0.06</v>
      </c>
      <c r="J8" s="6">
        <f t="shared" si="0"/>
        <v>3.6781286779129072</v>
      </c>
      <c r="K8" s="6">
        <f t="shared" si="1"/>
        <v>1.2904968192058435</v>
      </c>
      <c r="L8" s="6">
        <f t="shared" si="2"/>
        <v>4.9053845028934342</v>
      </c>
      <c r="M8" s="6">
        <f t="shared" si="3"/>
        <v>1.6938171170560692</v>
      </c>
      <c r="N8" s="6">
        <f t="shared" si="4"/>
        <v>3.1502770382165606</v>
      </c>
      <c r="O8" s="6">
        <f t="shared" si="5"/>
        <v>2.2255737678467991E-2</v>
      </c>
      <c r="P8" s="6">
        <f t="shared" si="6"/>
        <v>43.046847708823741</v>
      </c>
      <c r="Q8" s="6">
        <f t="shared" si="7"/>
        <v>68.186712262263256</v>
      </c>
      <c r="R8" s="6">
        <f>J8/J20-1</f>
        <v>0.13008130081300795</v>
      </c>
      <c r="S8" s="6">
        <f>K8/K20-1</f>
        <v>-0.35735735735735741</v>
      </c>
      <c r="T8" s="6">
        <f>L8/L20-1</f>
        <v>-4.8543689320388328E-2</v>
      </c>
      <c r="U8" s="6">
        <f t="shared" si="8"/>
        <v>0.5858317333727171</v>
      </c>
      <c r="V8" s="6">
        <f t="shared" si="9"/>
        <v>1.8746615467926948E-3</v>
      </c>
      <c r="W8" s="6">
        <f t="shared" si="10"/>
        <v>2.5776596268399552E-5</v>
      </c>
      <c r="X8" s="6">
        <f>J20*(100-V8)/100</f>
        <v>3.2546859441023002</v>
      </c>
      <c r="Y8" s="6">
        <f>L20*(100-W8)/100</f>
        <v>5.1556578934753494</v>
      </c>
      <c r="Z8" s="6">
        <f t="shared" si="11"/>
        <v>0.63128431159507492</v>
      </c>
      <c r="AA8" s="6">
        <f>Z8/AB20-1</f>
        <v>-1.8488854270914956E-5</v>
      </c>
      <c r="AB8" s="6">
        <f t="shared" si="12"/>
        <v>0.74981455087636206</v>
      </c>
      <c r="AC8" s="6">
        <f t="shared" si="13"/>
        <v>0.2630776075646355</v>
      </c>
      <c r="AD8" s="6">
        <f t="shared" si="14"/>
        <v>0.34529752276441805</v>
      </c>
      <c r="AE8" s="6">
        <f>AB8/AB20-1</f>
        <v>0.18773851003816144</v>
      </c>
      <c r="AF8" s="6">
        <f>AC8/AC20-1</f>
        <v>-0.32456946742661041</v>
      </c>
      <c r="AG8" s="6">
        <f>AD8/AD20-1</f>
        <v>-0.19387755102040816</v>
      </c>
    </row>
    <row r="9" spans="1:33">
      <c r="A9" s="6" t="s">
        <v>425</v>
      </c>
      <c r="B9" s="6" t="s">
        <v>240</v>
      </c>
      <c r="C9">
        <v>275.54000000000002</v>
      </c>
      <c r="D9">
        <v>14.7</v>
      </c>
      <c r="E9">
        <v>1.8</v>
      </c>
      <c r="F9">
        <v>2.82</v>
      </c>
      <c r="G9" s="6">
        <v>2.6</v>
      </c>
      <c r="H9" s="6">
        <v>7.94</v>
      </c>
      <c r="I9" s="6">
        <v>0.08</v>
      </c>
      <c r="J9" s="6">
        <f t="shared" si="0"/>
        <v>3.8898195370733624</v>
      </c>
      <c r="K9" s="6">
        <f t="shared" si="1"/>
        <v>1.0854646142852891</v>
      </c>
      <c r="L9" s="6">
        <f t="shared" si="2"/>
        <v>4.7051647272651307</v>
      </c>
      <c r="M9" s="6">
        <f t="shared" si="3"/>
        <v>1.8581959933948438</v>
      </c>
      <c r="N9" s="6">
        <f t="shared" si="4"/>
        <v>3.2955467303609343</v>
      </c>
      <c r="O9" s="6">
        <f t="shared" si="5"/>
        <v>2.9674316904623989E-2</v>
      </c>
      <c r="P9" s="6">
        <f t="shared" si="6"/>
        <v>42.871355813858081</v>
      </c>
      <c r="Q9" s="6">
        <f t="shared" si="7"/>
        <v>67.32482427803042</v>
      </c>
      <c r="R9" s="6">
        <f>J9/J20-1</f>
        <v>0.19512195121951215</v>
      </c>
      <c r="S9" s="6">
        <f>K9/K20-1</f>
        <v>-0.45945945945945943</v>
      </c>
      <c r="T9" s="6">
        <f>L9/L20-1</f>
        <v>-8.737864077669899E-2</v>
      </c>
      <c r="U9" s="6">
        <f t="shared" si="8"/>
        <v>0.75321222862206461</v>
      </c>
      <c r="V9" s="6">
        <f t="shared" si="9"/>
        <v>2.4102791315906069E-3</v>
      </c>
      <c r="W9" s="6">
        <f t="shared" si="10"/>
        <v>3.3141338059370841E-5</v>
      </c>
      <c r="X9" s="6">
        <f>J20*(100-V9)/100</f>
        <v>3.2546685111052445</v>
      </c>
      <c r="Y9" s="6">
        <f>L20*(100-W9)/100</f>
        <v>5.1556575137743605</v>
      </c>
      <c r="Z9" s="6">
        <f t="shared" si="11"/>
        <v>0.63128097675412931</v>
      </c>
      <c r="AA9" s="6">
        <f>Z9/AB20-1</f>
        <v>-2.3771385813331491E-5</v>
      </c>
      <c r="AB9" s="6">
        <f t="shared" si="12"/>
        <v>0.82671272156167708</v>
      </c>
      <c r="AC9" s="6">
        <f t="shared" si="13"/>
        <v>0.23069641069000651</v>
      </c>
      <c r="AD9" s="6">
        <f t="shared" si="14"/>
        <v>0.39492687315007508</v>
      </c>
      <c r="AE9" s="6">
        <f>AB9/AB20-1</f>
        <v>0.30954852101712493</v>
      </c>
      <c r="AF9" s="6">
        <f>AC9/AC20-1</f>
        <v>-0.40770557791834383</v>
      </c>
      <c r="AG9" s="6">
        <f>AD9/AD20-1</f>
        <v>-7.8014184397163122E-2</v>
      </c>
    </row>
    <row r="10" spans="1:33">
      <c r="A10" s="6" t="s">
        <v>426</v>
      </c>
      <c r="B10" s="6" t="s">
        <v>240</v>
      </c>
      <c r="C10">
        <v>275.83999999999997</v>
      </c>
      <c r="D10">
        <v>13.1</v>
      </c>
      <c r="E10">
        <v>2.08</v>
      </c>
      <c r="F10">
        <v>2.19</v>
      </c>
      <c r="G10" s="6">
        <v>2.33</v>
      </c>
      <c r="H10" s="6">
        <v>7.48</v>
      </c>
      <c r="I10" s="6">
        <v>0.06</v>
      </c>
      <c r="J10" s="6">
        <f t="shared" si="0"/>
        <v>3.466437818752452</v>
      </c>
      <c r="K10" s="6">
        <f t="shared" si="1"/>
        <v>1.254314665396334</v>
      </c>
      <c r="L10" s="6">
        <f t="shared" si="2"/>
        <v>3.6540109052165377</v>
      </c>
      <c r="M10" s="6">
        <f t="shared" si="3"/>
        <v>1.6652294863884562</v>
      </c>
      <c r="N10" s="6">
        <f t="shared" si="4"/>
        <v>3.1046208492569001</v>
      </c>
      <c r="O10" s="6">
        <f t="shared" si="5"/>
        <v>2.2255737678467991E-2</v>
      </c>
      <c r="P10" s="6">
        <f t="shared" si="6"/>
        <v>41.973958897020005</v>
      </c>
      <c r="Q10" s="6">
        <f t="shared" si="7"/>
        <v>67.258237850136567</v>
      </c>
      <c r="R10" s="6">
        <f>J10/J20-1</f>
        <v>6.5040650406503975E-2</v>
      </c>
      <c r="S10" s="6">
        <f>K10/K20-1</f>
        <v>-0.37537537537537535</v>
      </c>
      <c r="T10" s="6">
        <f>L10/L20-1</f>
        <v>-0.29126213592233008</v>
      </c>
      <c r="U10" s="6">
        <f t="shared" si="8"/>
        <v>0.61536946782848423</v>
      </c>
      <c r="V10" s="6">
        <f t="shared" si="9"/>
        <v>1.9691822970511496E-3</v>
      </c>
      <c r="W10" s="6">
        <f t="shared" si="10"/>
        <v>2.7076256584453306E-5</v>
      </c>
      <c r="X10" s="6">
        <f>J20*(100-V10)/100</f>
        <v>3.2546828676910553</v>
      </c>
      <c r="Y10" s="6">
        <f>L20*(100-W10)/100</f>
        <v>5.1556578264692936</v>
      </c>
      <c r="Z10" s="6">
        <f t="shared" si="11"/>
        <v>0.63128372309376724</v>
      </c>
      <c r="AA10" s="6">
        <f>Z10/AB20-1</f>
        <v>-1.942106566310553E-5</v>
      </c>
      <c r="AB10" s="6">
        <f t="shared" si="12"/>
        <v>0.94866652253382644</v>
      </c>
      <c r="AC10" s="6">
        <f t="shared" si="13"/>
        <v>0.34327064092930037</v>
      </c>
      <c r="AD10" s="6">
        <f t="shared" si="14"/>
        <v>0.45572646868982847</v>
      </c>
      <c r="AE10" s="6">
        <f>AB10/AB20-1</f>
        <v>0.50272858892972461</v>
      </c>
      <c r="AF10" s="6">
        <f>AC10/AC20-1</f>
        <v>-0.11868032415977625</v>
      </c>
      <c r="AG10" s="6">
        <f>AD10/AD20-1</f>
        <v>6.3926940639269514E-2</v>
      </c>
    </row>
    <row r="11" spans="1:33">
      <c r="A11" s="6" t="s">
        <v>427</v>
      </c>
      <c r="B11" s="6" t="s">
        <v>240</v>
      </c>
      <c r="C11">
        <v>276.14999999999998</v>
      </c>
      <c r="D11">
        <v>13.7</v>
      </c>
      <c r="E11">
        <v>2.15</v>
      </c>
      <c r="F11">
        <v>2.71</v>
      </c>
      <c r="G11" s="6">
        <v>1.94</v>
      </c>
      <c r="H11" s="6">
        <v>7.93</v>
      </c>
      <c r="I11" s="6">
        <v>0.02</v>
      </c>
      <c r="J11" s="6">
        <f t="shared" si="0"/>
        <v>3.6252059631227933</v>
      </c>
      <c r="K11" s="6">
        <f t="shared" si="1"/>
        <v>1.296527178174095</v>
      </c>
      <c r="L11" s="6">
        <f t="shared" si="2"/>
        <v>4.5216299329391862</v>
      </c>
      <c r="M11" s="6">
        <f t="shared" si="3"/>
        <v>1.3865000873792297</v>
      </c>
      <c r="N11" s="6">
        <f t="shared" si="4"/>
        <v>3.2913961677282373</v>
      </c>
      <c r="O11" s="6">
        <f t="shared" si="5"/>
        <v>7.4185792261559974E-3</v>
      </c>
      <c r="P11" s="6">
        <f t="shared" si="6"/>
        <v>43.62188666000754</v>
      </c>
      <c r="Q11" s="6">
        <f t="shared" si="7"/>
        <v>72.227853073238464</v>
      </c>
      <c r="R11" s="6">
        <f>J11/J20-1</f>
        <v>0.11382113821138207</v>
      </c>
      <c r="S11" s="6">
        <f>K11/K20-1</f>
        <v>-0.35435435435435436</v>
      </c>
      <c r="T11" s="6">
        <f>L11/L20-1</f>
        <v>-0.12297734627831702</v>
      </c>
      <c r="U11" s="6">
        <f t="shared" si="8"/>
        <v>0.58090877763008908</v>
      </c>
      <c r="V11" s="6">
        <f t="shared" si="9"/>
        <v>1.8589080884162852E-3</v>
      </c>
      <c r="W11" s="6">
        <f t="shared" si="10"/>
        <v>2.5559986215723917E-5</v>
      </c>
      <c r="X11" s="6">
        <f>J20*(100-V11)/100</f>
        <v>3.2546864568375078</v>
      </c>
      <c r="Y11" s="6">
        <f>L20*(100-W11)/100</f>
        <v>5.1556579046430269</v>
      </c>
      <c r="Z11" s="6">
        <f t="shared" si="11"/>
        <v>0.63128440967862454</v>
      </c>
      <c r="AA11" s="6">
        <f>Z11/AB20-1</f>
        <v>-1.8333485708232899E-5</v>
      </c>
      <c r="AB11" s="6">
        <f t="shared" si="12"/>
        <v>0.80174760360503627</v>
      </c>
      <c r="AC11" s="6">
        <f t="shared" si="13"/>
        <v>0.28673889668173619</v>
      </c>
      <c r="AD11" s="6">
        <f t="shared" si="14"/>
        <v>0.30663723213588284</v>
      </c>
      <c r="AE11" s="6">
        <f>AB11/AB20-1</f>
        <v>0.270002700027</v>
      </c>
      <c r="AF11" s="6">
        <f>AC11/AC20-1</f>
        <v>-0.2638210165885444</v>
      </c>
      <c r="AG11" s="6">
        <f>AD11/AD20-1</f>
        <v>-0.28413284132841332</v>
      </c>
    </row>
    <row r="12" spans="1:33">
      <c r="A12" s="6" t="s">
        <v>428</v>
      </c>
      <c r="B12" s="6" t="s">
        <v>240</v>
      </c>
      <c r="C12">
        <v>276.45</v>
      </c>
      <c r="D12">
        <v>13.3</v>
      </c>
      <c r="E12">
        <v>3.41</v>
      </c>
      <c r="F12">
        <v>3.33</v>
      </c>
      <c r="G12" s="6">
        <v>4.68</v>
      </c>
      <c r="H12" s="6">
        <v>8.5</v>
      </c>
      <c r="I12" s="6">
        <v>0.03</v>
      </c>
      <c r="J12" s="6">
        <f t="shared" si="0"/>
        <v>3.5193605335425659</v>
      </c>
      <c r="K12" s="6">
        <f t="shared" si="1"/>
        <v>2.0563524081737974</v>
      </c>
      <c r="L12" s="6">
        <f t="shared" si="2"/>
        <v>5.5560987736854202</v>
      </c>
      <c r="M12" s="6">
        <f t="shared" si="3"/>
        <v>3.3447527881107186</v>
      </c>
      <c r="N12" s="6">
        <f t="shared" si="4"/>
        <v>3.527978237791932</v>
      </c>
      <c r="O12" s="6">
        <f t="shared" si="5"/>
        <v>1.1127868839233996E-2</v>
      </c>
      <c r="P12" s="6">
        <f t="shared" si="6"/>
        <v>33.829532846092512</v>
      </c>
      <c r="Q12" s="6">
        <f t="shared" si="7"/>
        <v>51.188902847646155</v>
      </c>
      <c r="R12" s="6">
        <f>J12/J20-1</f>
        <v>8.1300813008130079E-2</v>
      </c>
      <c r="S12" s="6">
        <f>K12/K20-1</f>
        <v>2.4024024024023927E-2</v>
      </c>
      <c r="T12" s="6">
        <f>L12/L20-1</f>
        <v>7.7669902912621325E-2</v>
      </c>
      <c r="U12" s="6">
        <f t="shared" si="8"/>
        <v>-3.9383645941022831E-2</v>
      </c>
      <c r="V12" s="6">
        <f t="shared" si="9"/>
        <v>-1.2602766701127306E-4</v>
      </c>
      <c r="W12" s="6">
        <f t="shared" si="10"/>
        <v>-1.7328804214050046E-6</v>
      </c>
      <c r="X12" s="6">
        <f>J20*(100-V12)/100</f>
        <v>3.2547510614736574</v>
      </c>
      <c r="Y12" s="6">
        <f>L20*(100-W12)/100</f>
        <v>5.1556593117702221</v>
      </c>
      <c r="Z12" s="6">
        <f t="shared" si="11"/>
        <v>0.63129676820249825</v>
      </c>
      <c r="AA12" s="6">
        <f>Z12/AB20-1</f>
        <v>1.2429478444264674E-6</v>
      </c>
      <c r="AB12" s="6">
        <f t="shared" si="12"/>
        <v>0.63342296040718804</v>
      </c>
      <c r="AC12" s="6">
        <f t="shared" si="13"/>
        <v>0.37010724465753092</v>
      </c>
      <c r="AD12" s="6">
        <f t="shared" si="14"/>
        <v>0.60199663907200629</v>
      </c>
      <c r="AE12" s="6">
        <f>AB12/AB20-1</f>
        <v>3.3692228814179437E-3</v>
      </c>
      <c r="AF12" s="6">
        <f>AC12/AC20-1</f>
        <v>-4.9779509238968789E-2</v>
      </c>
      <c r="AG12" s="6">
        <f>AD12/AD20-1</f>
        <v>0.40540540540540548</v>
      </c>
    </row>
    <row r="13" spans="1:33">
      <c r="A13" s="6" t="s">
        <v>429</v>
      </c>
      <c r="B13" s="6" t="s">
        <v>240</v>
      </c>
      <c r="C13">
        <v>276.7</v>
      </c>
      <c r="D13">
        <v>10.199999999999999</v>
      </c>
      <c r="E13">
        <v>6.25</v>
      </c>
      <c r="F13">
        <v>2.4900000000000002</v>
      </c>
      <c r="G13" s="6">
        <v>9.81</v>
      </c>
      <c r="H13" s="6">
        <v>6.84</v>
      </c>
      <c r="I13" s="6">
        <v>0.04</v>
      </c>
      <c r="J13" s="6">
        <f t="shared" si="0"/>
        <v>2.6990584542958023</v>
      </c>
      <c r="K13" s="6">
        <f t="shared" si="1"/>
        <v>3.768974355157253</v>
      </c>
      <c r="L13" s="6">
        <f t="shared" si="2"/>
        <v>4.1545603442872965</v>
      </c>
      <c r="M13" s="6">
        <f t="shared" si="3"/>
        <v>7.0111164212320833</v>
      </c>
      <c r="N13" s="6">
        <f t="shared" si="4"/>
        <v>2.838984840764331</v>
      </c>
      <c r="O13" s="6">
        <f t="shared" si="5"/>
        <v>1.4837158452311995E-2</v>
      </c>
      <c r="P13" s="6">
        <f t="shared" si="6"/>
        <v>21.482482694032697</v>
      </c>
      <c r="Q13" s="6">
        <f t="shared" si="7"/>
        <v>27.753780096775333</v>
      </c>
      <c r="R13" s="6">
        <f>J13/J20-1</f>
        <v>-0.17073170731707332</v>
      </c>
      <c r="S13" s="6">
        <f>K13/K20-1</f>
        <v>0.87687687687687665</v>
      </c>
      <c r="T13" s="6">
        <f>L13/L20-1</f>
        <v>-0.19417475728155331</v>
      </c>
      <c r="U13" s="6">
        <f t="shared" si="8"/>
        <v>-1.4375030768473389</v>
      </c>
      <c r="V13" s="6">
        <f t="shared" si="9"/>
        <v>-4.6000098459114845E-3</v>
      </c>
      <c r="W13" s="6">
        <f t="shared" si="10"/>
        <v>-6.3250135381282905E-5</v>
      </c>
      <c r="X13" s="6">
        <f>J20*(100-V13)/100</f>
        <v>3.2548966782725985</v>
      </c>
      <c r="Y13" s="6">
        <f>L20*(100-W13)/100</f>
        <v>5.1556624833902518</v>
      </c>
      <c r="Z13" s="6">
        <f t="shared" si="11"/>
        <v>0.63132462389823651</v>
      </c>
      <c r="AA13" s="6">
        <f>Z13/AB20-1</f>
        <v>4.53675684104482E-5</v>
      </c>
      <c r="AB13" s="6">
        <f t="shared" si="12"/>
        <v>0.6496616321886205</v>
      </c>
      <c r="AC13" s="6">
        <f t="shared" si="13"/>
        <v>0.90718970067187943</v>
      </c>
      <c r="AD13" s="6">
        <f t="shared" si="14"/>
        <v>1.6875712085570445</v>
      </c>
      <c r="AE13" s="6">
        <f>AB13/AB20-1</f>
        <v>2.9091977666764413E-2</v>
      </c>
      <c r="AF13" s="6">
        <f>AC13/AC20-1</f>
        <v>1.3291363652809429</v>
      </c>
      <c r="AG13" s="6">
        <f>AD13/AD20-1</f>
        <v>2.939759036144578</v>
      </c>
    </row>
    <row r="14" spans="1:33">
      <c r="A14" s="6" t="s">
        <v>430</v>
      </c>
      <c r="B14" s="6" t="s">
        <v>216</v>
      </c>
      <c r="C14">
        <v>276.76</v>
      </c>
      <c r="D14">
        <v>13.5</v>
      </c>
      <c r="E14">
        <v>3.42</v>
      </c>
      <c r="F14">
        <v>3.55</v>
      </c>
      <c r="G14" s="6">
        <v>3.85</v>
      </c>
      <c r="H14" s="6">
        <v>8.48</v>
      </c>
      <c r="I14" s="6">
        <v>0.01</v>
      </c>
      <c r="J14" s="6">
        <f t="shared" si="0"/>
        <v>3.5722832483326799</v>
      </c>
      <c r="K14" s="6">
        <f t="shared" si="1"/>
        <v>2.0623827671420489</v>
      </c>
      <c r="L14" s="6">
        <f t="shared" si="2"/>
        <v>5.9231683623373099</v>
      </c>
      <c r="M14" s="6">
        <f t="shared" si="3"/>
        <v>2.7515594517577497</v>
      </c>
      <c r="N14" s="6">
        <f t="shared" si="4"/>
        <v>3.5196771125265398</v>
      </c>
      <c r="O14" s="6">
        <f t="shared" si="5"/>
        <v>3.7092896130779987E-3</v>
      </c>
      <c r="P14" s="6">
        <f t="shared" si="6"/>
        <v>36.277040081495464</v>
      </c>
      <c r="Q14" s="6">
        <f t="shared" si="7"/>
        <v>56.456007854944033</v>
      </c>
      <c r="R14" s="6">
        <f>J14/J20-1</f>
        <v>9.7560975609755962E-2</v>
      </c>
      <c r="S14" s="6">
        <f>K14/K20-1</f>
        <v>2.7027027027026973E-2</v>
      </c>
      <c r="T14" s="6">
        <f>L14/L20-1</f>
        <v>0.14886731391585761</v>
      </c>
      <c r="U14" s="6">
        <f t="shared" si="8"/>
        <v>-4.4306601683650776E-2</v>
      </c>
      <c r="V14" s="6">
        <f t="shared" si="9"/>
        <v>-1.417811253876825E-4</v>
      </c>
      <c r="W14" s="6">
        <f t="shared" si="10"/>
        <v>-1.9494904740806342E-6</v>
      </c>
      <c r="X14" s="6">
        <f>J20*(100-V14)/100</f>
        <v>3.2547515742088655</v>
      </c>
      <c r="Y14" s="6">
        <f>L20*(100-W14)/100</f>
        <v>5.1556593229378986</v>
      </c>
      <c r="Z14" s="6">
        <f t="shared" si="11"/>
        <v>0.63129686628599413</v>
      </c>
      <c r="AA14" s="6">
        <f>Z14/AB20-1</f>
        <v>1.3983163220654404E-6</v>
      </c>
      <c r="AB14" s="6">
        <f t="shared" si="12"/>
        <v>0.60310344562332185</v>
      </c>
      <c r="AC14" s="6">
        <f t="shared" si="13"/>
        <v>0.34818911788086049</v>
      </c>
      <c r="AD14" s="6">
        <f t="shared" si="14"/>
        <v>0.46454182684619344</v>
      </c>
      <c r="AE14" s="6">
        <f>AB14/AB20-1</f>
        <v>-4.4658193060803875E-2</v>
      </c>
      <c r="AF14" s="6">
        <f>AC14/AC20-1</f>
        <v>-0.10605253140464421</v>
      </c>
      <c r="AG14" s="6">
        <f>AD14/AD20-1</f>
        <v>8.4507042253521236E-2</v>
      </c>
    </row>
    <row r="15" spans="1:33">
      <c r="A15" s="6" t="s">
        <v>431</v>
      </c>
      <c r="B15" s="6" t="s">
        <v>216</v>
      </c>
      <c r="C15">
        <v>277.06</v>
      </c>
      <c r="D15">
        <v>12.9</v>
      </c>
      <c r="E15">
        <v>4.41</v>
      </c>
      <c r="F15">
        <v>3.23</v>
      </c>
      <c r="G15" s="6">
        <v>5.88</v>
      </c>
      <c r="H15" s="6">
        <v>7.77</v>
      </c>
      <c r="I15" s="6">
        <v>0.02</v>
      </c>
      <c r="J15" s="6">
        <f t="shared" si="0"/>
        <v>3.4135151039623386</v>
      </c>
      <c r="K15" s="6">
        <f t="shared" si="1"/>
        <v>2.659388304998958</v>
      </c>
      <c r="L15" s="6">
        <f t="shared" si="2"/>
        <v>5.3892489606618339</v>
      </c>
      <c r="M15" s="6">
        <f t="shared" si="3"/>
        <v>4.2023817081391082</v>
      </c>
      <c r="N15" s="6">
        <f t="shared" si="4"/>
        <v>3.2249871656050955</v>
      </c>
      <c r="O15" s="6">
        <f t="shared" si="5"/>
        <v>7.4185792261559974E-3</v>
      </c>
      <c r="P15" s="6">
        <f t="shared" si="6"/>
        <v>31.46589142446901</v>
      </c>
      <c r="Q15" s="6">
        <f t="shared" si="7"/>
        <v>44.777303951579967</v>
      </c>
      <c r="R15" s="6">
        <f>J15/J20-1</f>
        <v>4.8780487804878092E-2</v>
      </c>
      <c r="S15" s="6">
        <f>K15/K20-1</f>
        <v>0.32432432432432434</v>
      </c>
      <c r="T15" s="6">
        <f>L15/L20-1</f>
        <v>4.5307443365695921E-2</v>
      </c>
      <c r="U15" s="6">
        <f t="shared" si="8"/>
        <v>-0.53167922020381042</v>
      </c>
      <c r="V15" s="6">
        <f t="shared" si="9"/>
        <v>-1.7013735046521935E-3</v>
      </c>
      <c r="W15" s="6">
        <f t="shared" si="10"/>
        <v>-2.3393885688967657E-5</v>
      </c>
      <c r="X15" s="6">
        <f>J20*(100-V15)/100</f>
        <v>3.2548023349944115</v>
      </c>
      <c r="Y15" s="6">
        <f>L20*(100-W15)/100</f>
        <v>5.1556604285378373</v>
      </c>
      <c r="Z15" s="6">
        <f t="shared" si="11"/>
        <v>0.63130657654997735</v>
      </c>
      <c r="AA15" s="6">
        <f>Z15/AB20-1</f>
        <v>1.6779792264332016E-5</v>
      </c>
      <c r="AB15" s="6">
        <f t="shared" si="12"/>
        <v>0.63339347075610652</v>
      </c>
      <c r="AC15" s="6">
        <f t="shared" si="13"/>
        <v>0.49346176515704487</v>
      </c>
      <c r="AD15" s="6">
        <f t="shared" si="14"/>
        <v>0.77977130743335132</v>
      </c>
      <c r="AE15" s="6">
        <f>AB15/AB20-1</f>
        <v>3.3225100052858281E-3</v>
      </c>
      <c r="AF15" s="6">
        <f>AC15/AC20-1</f>
        <v>0.26692327001924521</v>
      </c>
      <c r="AG15" s="6">
        <f>AD15/AD20-1</f>
        <v>0.82043343653250767</v>
      </c>
    </row>
    <row r="16" spans="1:33">
      <c r="A16" s="6" t="s">
        <v>432</v>
      </c>
      <c r="B16" s="6" t="s">
        <v>216</v>
      </c>
      <c r="C16">
        <v>277.52</v>
      </c>
      <c r="D16">
        <v>14.6</v>
      </c>
      <c r="E16">
        <v>3.21</v>
      </c>
      <c r="F16">
        <v>3.84</v>
      </c>
      <c r="G16" s="6">
        <v>4.53</v>
      </c>
      <c r="H16" s="6">
        <v>6.91</v>
      </c>
      <c r="I16" s="6">
        <v>0.02</v>
      </c>
      <c r="J16" s="6">
        <f t="shared" si="0"/>
        <v>3.8633581796783054</v>
      </c>
      <c r="K16" s="6">
        <f t="shared" si="1"/>
        <v>1.9357452288087651</v>
      </c>
      <c r="L16" s="6">
        <f t="shared" si="2"/>
        <v>6.4070328201057096</v>
      </c>
      <c r="M16" s="6">
        <f t="shared" si="3"/>
        <v>3.2375491731071704</v>
      </c>
      <c r="N16" s="6">
        <f t="shared" si="4"/>
        <v>2.8680387791932063</v>
      </c>
      <c r="O16" s="6">
        <f t="shared" si="5"/>
        <v>7.4185792261559974E-3</v>
      </c>
      <c r="P16" s="6">
        <f t="shared" si="6"/>
        <v>38.725109711949671</v>
      </c>
      <c r="Q16" s="6">
        <f t="shared" si="7"/>
        <v>54.349761345073667</v>
      </c>
      <c r="R16" s="6">
        <f>J16/J20-1</f>
        <v>0.18699186991869898</v>
      </c>
      <c r="S16" s="6">
        <f>K16/K20-1</f>
        <v>-3.6036036036036112E-2</v>
      </c>
      <c r="T16" s="6">
        <f>L16/L20-1</f>
        <v>0.24271844660194186</v>
      </c>
      <c r="U16" s="6">
        <f t="shared" si="8"/>
        <v>5.9075468911534611E-2</v>
      </c>
      <c r="V16" s="6">
        <f t="shared" si="9"/>
        <v>1.8904150051691078E-4</v>
      </c>
      <c r="W16" s="6">
        <f t="shared" si="10"/>
        <v>2.5993206321075229E-6</v>
      </c>
      <c r="X16" s="6">
        <f>J20*(100-V16)/100</f>
        <v>3.2547408067695067</v>
      </c>
      <c r="Y16" s="6">
        <f>L20*(100-W16)/100</f>
        <v>5.1556590884166988</v>
      </c>
      <c r="Z16" s="6">
        <f t="shared" si="11"/>
        <v>0.63129480653249248</v>
      </c>
      <c r="AA16" s="6">
        <f>Z16/AB20-1</f>
        <v>-1.8644218473529151E-6</v>
      </c>
      <c r="AB16" s="6">
        <f t="shared" si="12"/>
        <v>0.60298710622408891</v>
      </c>
      <c r="AC16" s="6">
        <f t="shared" si="13"/>
        <v>0.30212818993751106</v>
      </c>
      <c r="AD16" s="6">
        <f t="shared" si="14"/>
        <v>0.50531178222585627</v>
      </c>
      <c r="AE16" s="6">
        <f>AB16/AB20-1</f>
        <v>-4.484247967479682E-2</v>
      </c>
      <c r="AF16" s="6">
        <f>AC16/AC20-1</f>
        <v>-0.22431024774774788</v>
      </c>
      <c r="AG16" s="6">
        <f>AD16/AD20-1</f>
        <v>0.1796875</v>
      </c>
    </row>
    <row r="17" spans="1:33">
      <c r="A17" s="6" t="s">
        <v>433</v>
      </c>
      <c r="B17" s="6" t="s">
        <v>216</v>
      </c>
      <c r="C17">
        <v>277.83</v>
      </c>
      <c r="D17">
        <v>11.5</v>
      </c>
      <c r="E17">
        <v>5.07</v>
      </c>
      <c r="F17">
        <v>3.49</v>
      </c>
      <c r="G17" s="6">
        <v>7.86</v>
      </c>
      <c r="H17" s="6">
        <v>7.18</v>
      </c>
      <c r="I17" s="6">
        <v>0.01</v>
      </c>
      <c r="J17" s="6">
        <f t="shared" si="0"/>
        <v>3.0430561004315417</v>
      </c>
      <c r="K17" s="6">
        <f t="shared" si="1"/>
        <v>3.0573919969035641</v>
      </c>
      <c r="L17" s="6">
        <f t="shared" si="2"/>
        <v>5.8230584745231591</v>
      </c>
      <c r="M17" s="6">
        <f t="shared" si="3"/>
        <v>5.6174694261859512</v>
      </c>
      <c r="N17" s="6">
        <f t="shared" si="4"/>
        <v>2.9801039702760086</v>
      </c>
      <c r="O17" s="6">
        <f t="shared" si="5"/>
        <v>3.7092896130779987E-3</v>
      </c>
      <c r="P17" s="6">
        <f t="shared" si="6"/>
        <v>26.133352491923588</v>
      </c>
      <c r="Q17" s="6">
        <f t="shared" si="7"/>
        <v>35.122040953126458</v>
      </c>
      <c r="R17" s="6">
        <f>J17/J20-1</f>
        <v>-6.5040650406504197E-2</v>
      </c>
      <c r="S17" s="6">
        <f>K17/K20-1</f>
        <v>0.52252252252252274</v>
      </c>
      <c r="T17" s="6">
        <f>L17/L20-1</f>
        <v>0.1294498381877025</v>
      </c>
      <c r="U17" s="6">
        <f t="shared" si="8"/>
        <v>-0.85659429921725039</v>
      </c>
      <c r="V17" s="6">
        <f t="shared" si="9"/>
        <v>-2.7411017574952012E-3</v>
      </c>
      <c r="W17" s="6">
        <f t="shared" si="10"/>
        <v>-3.7690149165559014E-5</v>
      </c>
      <c r="X17" s="6">
        <f>J20*(100-V17)/100</f>
        <v>3.254836175518109</v>
      </c>
      <c r="Y17" s="6">
        <f>L20*(100-W17)/100</f>
        <v>5.1556611656044655</v>
      </c>
      <c r="Z17" s="6">
        <f t="shared" si="11"/>
        <v>0.63131305005698568</v>
      </c>
      <c r="AA17" s="6">
        <f>Z17/AB20-1</f>
        <v>2.7034105894108151E-5</v>
      </c>
      <c r="AB17" s="6">
        <f t="shared" si="12"/>
        <v>0.5225872475341633</v>
      </c>
      <c r="AC17" s="6">
        <f t="shared" si="13"/>
        <v>0.52504916622083708</v>
      </c>
      <c r="AD17" s="6">
        <f t="shared" si="14"/>
        <v>0.96469397495548193</v>
      </c>
      <c r="AE17" s="6">
        <f>AB17/AB20-1</f>
        <v>-0.17219931511636066</v>
      </c>
      <c r="AF17" s="6">
        <f>AC17/AC20-1</f>
        <v>0.34802137380933917</v>
      </c>
      <c r="AG17" s="6">
        <f>AD17/AD20-1</f>
        <v>1.2521489971346704</v>
      </c>
    </row>
    <row r="18" spans="1:33">
      <c r="A18" s="6" t="s">
        <v>434</v>
      </c>
      <c r="B18" s="6" t="s">
        <v>216</v>
      </c>
      <c r="C18">
        <v>278.02</v>
      </c>
      <c r="D18">
        <v>9.26</v>
      </c>
      <c r="E18">
        <v>5.81</v>
      </c>
      <c r="F18">
        <v>2.72</v>
      </c>
      <c r="G18" s="6">
        <v>9.08</v>
      </c>
      <c r="H18" s="6">
        <v>6.29</v>
      </c>
      <c r="I18" s="6">
        <v>0.04</v>
      </c>
      <c r="J18" s="6">
        <f t="shared" si="0"/>
        <v>2.4503216947822679</v>
      </c>
      <c r="K18" s="6">
        <f t="shared" si="1"/>
        <v>3.5036385605541818</v>
      </c>
      <c r="L18" s="6">
        <f t="shared" si="2"/>
        <v>4.5383149142415444</v>
      </c>
      <c r="M18" s="6">
        <f t="shared" si="3"/>
        <v>6.4893921615481469</v>
      </c>
      <c r="N18" s="6">
        <f t="shared" si="4"/>
        <v>2.6107038959660298</v>
      </c>
      <c r="O18" s="6">
        <f t="shared" si="5"/>
        <v>1.4837158452311995E-2</v>
      </c>
      <c r="P18" s="6">
        <f t="shared" si="6"/>
        <v>21.186923363919437</v>
      </c>
      <c r="Q18" s="6">
        <f t="shared" si="7"/>
        <v>27.363981630537648</v>
      </c>
      <c r="R18" s="6">
        <f>J18/J20-1</f>
        <v>-0.24715447154471548</v>
      </c>
      <c r="S18" s="6">
        <f>K18/K20-1</f>
        <v>0.74474474474474439</v>
      </c>
      <c r="T18" s="6">
        <f>L18/L20-1</f>
        <v>-0.11974110032362462</v>
      </c>
      <c r="U18" s="6">
        <f t="shared" si="8"/>
        <v>-1.2208930241717122</v>
      </c>
      <c r="V18" s="6">
        <f t="shared" si="9"/>
        <v>-3.9068576773494791E-3</v>
      </c>
      <c r="W18" s="6">
        <f t="shared" si="10"/>
        <v>-5.3719293063555335E-5</v>
      </c>
      <c r="X18" s="6">
        <f>J20*(100-V18)/100</f>
        <v>3.2548741179234661</v>
      </c>
      <c r="Y18" s="6">
        <f>L20*(100-W18)/100</f>
        <v>5.1556619920125</v>
      </c>
      <c r="Z18" s="6">
        <f t="shared" si="11"/>
        <v>0.63132030822930929</v>
      </c>
      <c r="AA18" s="6">
        <f>Z18/AB20-1</f>
        <v>3.853136314413419E-5</v>
      </c>
      <c r="AB18" s="6">
        <f t="shared" si="12"/>
        <v>0.53991883355052994</v>
      </c>
      <c r="AC18" s="6">
        <f t="shared" si="13"/>
        <v>0.77201309886176539</v>
      </c>
      <c r="AD18" s="6">
        <f t="shared" si="14"/>
        <v>1.4299122657143046</v>
      </c>
      <c r="AE18" s="6">
        <f>AB18/AB20-1</f>
        <v>-0.14474533715925397</v>
      </c>
      <c r="AF18" s="6">
        <f>AC18/AC20-1</f>
        <v>0.98208134605193353</v>
      </c>
      <c r="AG18" s="6">
        <f>AD18/AD20-1</f>
        <v>2.3382352941176472</v>
      </c>
    </row>
    <row r="19" spans="1:33">
      <c r="A19" s="6" t="s">
        <v>435</v>
      </c>
      <c r="B19" s="6" t="s">
        <v>216</v>
      </c>
      <c r="C19">
        <v>278.27999999999997</v>
      </c>
      <c r="D19">
        <v>11.4</v>
      </c>
      <c r="E19">
        <v>4.18</v>
      </c>
      <c r="F19">
        <v>3.04</v>
      </c>
      <c r="G19" s="6">
        <v>5.57</v>
      </c>
      <c r="H19" s="6">
        <v>6.86</v>
      </c>
      <c r="I19" s="6">
        <v>0.04</v>
      </c>
      <c r="J19" s="6">
        <f t="shared" si="0"/>
        <v>3.0165947430364852</v>
      </c>
      <c r="K19" s="6">
        <f t="shared" si="1"/>
        <v>2.520690048729171</v>
      </c>
      <c r="L19" s="6">
        <f t="shared" si="2"/>
        <v>5.0722343159170205</v>
      </c>
      <c r="M19" s="6">
        <f t="shared" si="3"/>
        <v>3.9808275704651082</v>
      </c>
      <c r="N19" s="6">
        <f t="shared" si="4"/>
        <v>2.8472859660297241</v>
      </c>
      <c r="O19" s="6">
        <f t="shared" si="5"/>
        <v>1.4837158452311995E-2</v>
      </c>
      <c r="P19" s="6">
        <f>100*(J19/(J19+M19+N19+O19))</f>
        <v>30.595677681195482</v>
      </c>
      <c r="Q19" s="6">
        <f t="shared" si="7"/>
        <v>43.018869382994147</v>
      </c>
      <c r="R19" s="6">
        <f>J19/J20-1</f>
        <v>-7.3170731707317138E-2</v>
      </c>
      <c r="S19" s="6">
        <f>K19/K20-1</f>
        <v>0.25525525525525516</v>
      </c>
      <c r="T19" s="6">
        <f>L19/L20-1</f>
        <v>-1.6181229773462702E-2</v>
      </c>
      <c r="U19" s="6">
        <f t="shared" si="8"/>
        <v>-0.41845123812336915</v>
      </c>
      <c r="V19" s="6">
        <f t="shared" si="9"/>
        <v>-1.3390439619947814E-3</v>
      </c>
      <c r="W19" s="6">
        <f t="shared" si="10"/>
        <v>-1.8411854477428244E-5</v>
      </c>
      <c r="X19" s="6">
        <f>J20*(100-V19)/100</f>
        <v>3.2547905420846375</v>
      </c>
      <c r="Y19" s="6">
        <f>L20*(100-W19)/100</f>
        <v>5.1556601716812871</v>
      </c>
      <c r="Z19" s="6">
        <f t="shared" si="11"/>
        <v>0.63130432063043318</v>
      </c>
      <c r="AA19" s="6">
        <f>Z19/AB20-1</f>
        <v>1.3206318643321779E-5</v>
      </c>
      <c r="AB19" s="6">
        <f t="shared" si="12"/>
        <v>0.59472700887855345</v>
      </c>
      <c r="AC19" s="6">
        <f t="shared" si="13"/>
        <v>0.49695851802805563</v>
      </c>
      <c r="AD19" s="6">
        <f t="shared" si="14"/>
        <v>0.7848272225857148</v>
      </c>
      <c r="AE19" s="6">
        <f>AB19/AB20-1</f>
        <v>-5.7926829268292734E-2</v>
      </c>
      <c r="AF19" s="6">
        <f>AC19/AC20-1</f>
        <v>0.2759009009009008</v>
      </c>
      <c r="AG19" s="6">
        <f>AD19/AD20-1</f>
        <v>0.8322368421052635</v>
      </c>
    </row>
    <row r="20" spans="1:33" s="2" customFormat="1">
      <c r="A20" s="2" t="s">
        <v>436</v>
      </c>
      <c r="B20" s="2" t="s">
        <v>42</v>
      </c>
      <c r="C20" s="2">
        <v>304.8</v>
      </c>
      <c r="D20" s="2">
        <v>12.3</v>
      </c>
      <c r="E20" s="2">
        <v>3.33</v>
      </c>
      <c r="F20" s="2">
        <v>3.09</v>
      </c>
      <c r="G20" s="2">
        <v>3.09</v>
      </c>
      <c r="H20" s="2">
        <v>1.65</v>
      </c>
      <c r="I20" s="2">
        <v>2.62</v>
      </c>
      <c r="J20" s="2">
        <f t="shared" si="0"/>
        <v>3.2547469595919973</v>
      </c>
      <c r="K20" s="2">
        <f t="shared" si="1"/>
        <v>2.0081095364277846</v>
      </c>
      <c r="L20" s="2">
        <f t="shared" si="2"/>
        <v>5.1556592224288131</v>
      </c>
      <c r="M20" s="2">
        <f t="shared" si="3"/>
        <v>2.2083944690731028</v>
      </c>
      <c r="N20" s="2">
        <f t="shared" si="4"/>
        <v>0.68484283439490445</v>
      </c>
      <c r="O20" s="2">
        <f t="shared" si="5"/>
        <v>0.97183387862643567</v>
      </c>
      <c r="AB20" s="2">
        <f t="shared" si="12"/>
        <v>0.63129598353451633</v>
      </c>
      <c r="AC20" s="2">
        <f t="shared" si="13"/>
        <v>0.38949617299992362</v>
      </c>
      <c r="AD20" s="2">
        <f t="shared" si="14"/>
        <v>0.42834376241661987</v>
      </c>
    </row>
    <row r="21" spans="1:33">
      <c r="Z21" s="39"/>
      <c r="AA21" s="6"/>
      <c r="AC21" s="39"/>
      <c r="AD21" s="39" t="s">
        <v>97</v>
      </c>
      <c r="AE21" s="6">
        <f>_xlfn.VAR.P(AE3:AE19)</f>
        <v>3.726759555294018E-2</v>
      </c>
    </row>
    <row r="22" spans="1:33">
      <c r="AD22" s="39" t="s">
        <v>98</v>
      </c>
      <c r="AE22">
        <f>AVERAGE(AE3:AE19)</f>
        <v>0.11597241946537699</v>
      </c>
    </row>
  </sheetData>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19"/>
  <sheetViews>
    <sheetView topLeftCell="R4" workbookViewId="0">
      <selection activeCell="Y18" sqref="Y18:Y19"/>
    </sheetView>
  </sheetViews>
  <sheetFormatPr defaultRowHeight="14.5"/>
  <cols>
    <col min="1" max="1" width="12.6328125" style="6" customWidth="1"/>
    <col min="2" max="2" width="11.1796875" style="6" customWidth="1"/>
    <col min="3" max="3" width="9.90625" style="6" customWidth="1"/>
    <col min="4" max="11" width="8.7265625" style="6"/>
    <col min="12" max="12" width="11.26953125" style="6" customWidth="1"/>
    <col min="13" max="13" width="12.36328125" style="6" customWidth="1"/>
    <col min="14" max="14" width="11.1796875" style="6" customWidth="1"/>
    <col min="15" max="15" width="15.90625" style="6" customWidth="1"/>
    <col min="16" max="17" width="19.1796875" style="6" customWidth="1"/>
    <col min="18" max="18" width="11.54296875" style="6" customWidth="1"/>
    <col min="19" max="19" width="11.1796875" style="6" customWidth="1"/>
    <col min="20" max="20" width="13.7265625" style="6" customWidth="1"/>
    <col min="21" max="21" width="16.81640625" style="6" customWidth="1"/>
    <col min="22" max="25" width="8.7265625" style="6"/>
    <col min="26" max="26" width="10.36328125" style="6" customWidth="1"/>
    <col min="27" max="16384" width="8.7265625" style="6"/>
  </cols>
  <sheetData>
    <row r="1" spans="1:27">
      <c r="A1" s="98" t="s">
        <v>168</v>
      </c>
      <c r="B1" s="98"/>
      <c r="C1" s="98"/>
      <c r="D1" s="98"/>
      <c r="E1" s="98"/>
      <c r="F1" s="98"/>
      <c r="G1" s="98"/>
      <c r="H1" s="98"/>
      <c r="I1" s="98"/>
      <c r="J1" s="98"/>
    </row>
    <row r="2" spans="1:27">
      <c r="A2" s="1" t="s">
        <v>197</v>
      </c>
      <c r="B2" s="1" t="s">
        <v>196</v>
      </c>
      <c r="C2" s="1" t="s">
        <v>20</v>
      </c>
      <c r="D2" s="1" t="s">
        <v>4</v>
      </c>
      <c r="E2" s="1" t="s">
        <v>5</v>
      </c>
      <c r="F2" s="1" t="s">
        <v>6</v>
      </c>
      <c r="G2" s="1" t="s">
        <v>45</v>
      </c>
      <c r="H2" s="1" t="s">
        <v>46</v>
      </c>
      <c r="I2" s="1" t="s">
        <v>47</v>
      </c>
      <c r="J2" s="1" t="s">
        <v>51</v>
      </c>
      <c r="K2" s="1" t="s">
        <v>52</v>
      </c>
      <c r="L2" s="1" t="s">
        <v>7</v>
      </c>
      <c r="M2" s="1" t="s">
        <v>8</v>
      </c>
      <c r="N2" s="1" t="s">
        <v>9</v>
      </c>
      <c r="O2" s="1" t="s">
        <v>10</v>
      </c>
      <c r="P2" s="1" t="s">
        <v>11</v>
      </c>
      <c r="Q2" s="1" t="s">
        <v>12</v>
      </c>
      <c r="R2" s="1" t="s">
        <v>13</v>
      </c>
      <c r="S2" s="1" t="s">
        <v>14</v>
      </c>
      <c r="T2" s="1" t="s">
        <v>15</v>
      </c>
      <c r="U2" s="1" t="s">
        <v>460</v>
      </c>
      <c r="V2" s="1" t="s">
        <v>16</v>
      </c>
      <c r="W2" s="1" t="s">
        <v>17</v>
      </c>
      <c r="X2" s="1" t="s">
        <v>107</v>
      </c>
      <c r="Y2" s="1" t="s">
        <v>459</v>
      </c>
      <c r="Z2" s="1" t="s">
        <v>461</v>
      </c>
      <c r="AA2" s="1" t="s">
        <v>462</v>
      </c>
    </row>
    <row r="3" spans="1:27">
      <c r="A3" s="6" t="s">
        <v>545</v>
      </c>
      <c r="B3" s="6" t="s">
        <v>240</v>
      </c>
      <c r="C3" s="6">
        <v>0</v>
      </c>
      <c r="D3" s="6">
        <v>21.073008439999999</v>
      </c>
      <c r="E3" s="6">
        <v>887.54557620000003</v>
      </c>
      <c r="F3" s="6">
        <v>204.85795619999999</v>
      </c>
      <c r="G3" s="6">
        <v>4046.9348669999999</v>
      </c>
      <c r="H3" s="6">
        <v>16.422910689999998</v>
      </c>
      <c r="I3" s="6">
        <v>77.780469389999993</v>
      </c>
      <c r="J3" s="6">
        <f>100*(D3/(D3+G3+H3+I3))</f>
        <v>0.50629358161608429</v>
      </c>
      <c r="K3" s="6">
        <f>100*(D3/(D3+G3+I3))</f>
        <v>0.5082991867223291</v>
      </c>
      <c r="L3" s="6">
        <f>D3/D17-1</f>
        <v>0.21871424187802502</v>
      </c>
      <c r="M3" s="6">
        <f>E3/E17-1</f>
        <v>1.8712989569826686</v>
      </c>
      <c r="N3" s="6">
        <f>F3/F17-1</f>
        <v>1.7581360762410903E-3</v>
      </c>
      <c r="O3" s="6">
        <f>M3/-0.61</f>
        <v>-3.0677032081683091</v>
      </c>
      <c r="P3" s="6">
        <f>O3*0.0032</f>
        <v>-9.81665026613859E-3</v>
      </c>
      <c r="Q3" s="6">
        <f>O3*0.000044</f>
        <v>-1.349789411594056E-4</v>
      </c>
      <c r="R3" s="6">
        <f>D17*(100-P3)/100</f>
        <v>17.292878329757311</v>
      </c>
      <c r="S3" s="6">
        <f>F17*(100-Q3)/100</f>
        <v>204.49869617980221</v>
      </c>
      <c r="T3" s="6">
        <f>R3/S3</f>
        <v>8.456229136323111E-2</v>
      </c>
      <c r="U3" s="6">
        <f>T3/V17-1</f>
        <v>9.6816582567882392E-5</v>
      </c>
      <c r="V3" s="6">
        <f>D3/F3</f>
        <v>0.10286643892623196</v>
      </c>
      <c r="W3" s="6">
        <f>E3/F3</f>
        <v>4.3324925849279756</v>
      </c>
      <c r="X3" s="6">
        <f>G3/F3</f>
        <v>19.754833749532448</v>
      </c>
      <c r="Y3" s="6">
        <f>V3/V17-1</f>
        <v>0.21657533688877595</v>
      </c>
      <c r="Z3" s="6">
        <f>W3/W17-1</f>
        <v>1.8662596824311111</v>
      </c>
      <c r="AA3" s="6">
        <f>X3/X17-1</f>
        <v>0.36790729018054824</v>
      </c>
    </row>
    <row r="4" spans="1:27">
      <c r="A4" s="6" t="s">
        <v>546</v>
      </c>
      <c r="B4" s="6" t="s">
        <v>240</v>
      </c>
      <c r="C4" s="6">
        <v>0.5</v>
      </c>
      <c r="D4" s="6">
        <v>30.94466207</v>
      </c>
      <c r="E4" s="6">
        <v>2042.3285189999999</v>
      </c>
      <c r="F4" s="6">
        <v>271.9989774</v>
      </c>
      <c r="G4" s="6">
        <v>6805.7016240000003</v>
      </c>
      <c r="H4" s="6">
        <v>12.703349169999999</v>
      </c>
      <c r="I4" s="6">
        <v>191.4153987</v>
      </c>
      <c r="J4" s="6">
        <f t="shared" ref="J4:J16" si="0">100*(D4/(D4+G4+H4+I4))</f>
        <v>0.4395070978910855</v>
      </c>
      <c r="K4" s="6">
        <f t="shared" ref="K4:K16" si="1">100*(D4/(D4+G4+I4))</f>
        <v>0.44030151495479786</v>
      </c>
      <c r="L4" s="6">
        <f>D4/D17-1</f>
        <v>0.78962109193801133</v>
      </c>
      <c r="M4" s="6">
        <f>E4/E17-1</f>
        <v>5.6071375979673981</v>
      </c>
      <c r="N4" s="6">
        <f>F4/F17-1</f>
        <v>0.33007862457073367</v>
      </c>
      <c r="O4" s="6">
        <f t="shared" ref="O4:O16" si="2">M4/-0.61</f>
        <v>-9.1920288491268831</v>
      </c>
      <c r="P4" s="6">
        <f t="shared" ref="P4:P16" si="3">O4*0.0032</f>
        <v>-2.9414492317206026E-2</v>
      </c>
      <c r="Q4" s="6">
        <f t="shared" ref="Q4:Q16" si="4">O4*0.000044</f>
        <v>-4.0444926936158287E-4</v>
      </c>
      <c r="R4" s="6">
        <f>D17*(100-P4)/100</f>
        <v>17.296267028081797</v>
      </c>
      <c r="S4" s="6">
        <f>F17*(100-Q4)/100</f>
        <v>204.49924724236615</v>
      </c>
      <c r="T4" s="6">
        <f t="shared" ref="T4:T16" si="5">R4/S4</f>
        <v>8.4578634206818368E-2</v>
      </c>
      <c r="U4" s="6">
        <f>T4/V17-1</f>
        <v>2.9009925717415896E-4</v>
      </c>
      <c r="V4" s="6">
        <f t="shared" ref="V4:V17" si="6">D4/F4</f>
        <v>0.11376756767909819</v>
      </c>
      <c r="W4" s="6">
        <f t="shared" ref="W4:W17" si="7">E4/F4</f>
        <v>7.5085889605995257</v>
      </c>
      <c r="X4" s="6">
        <f t="shared" ref="X4:X17" si="8">G4/F4</f>
        <v>25.02105592107274</v>
      </c>
      <c r="Y4" s="6">
        <f>V4/V17-1</f>
        <v>0.34550022748887455</v>
      </c>
      <c r="Z4" s="6">
        <f>W4/W17-1</f>
        <v>3.9674789714779219</v>
      </c>
      <c r="AA4" s="6">
        <f>X4/X17-1</f>
        <v>0.73256253311980601</v>
      </c>
    </row>
    <row r="5" spans="1:27">
      <c r="A5" s="6" t="s">
        <v>547</v>
      </c>
      <c r="B5" s="6" t="s">
        <v>240</v>
      </c>
      <c r="C5" s="6">
        <v>1</v>
      </c>
      <c r="D5" s="6">
        <v>26.896647919999999</v>
      </c>
      <c r="E5" s="6">
        <v>867.11118699999997</v>
      </c>
      <c r="F5" s="6">
        <v>165.28633389999999</v>
      </c>
      <c r="G5" s="6">
        <v>8121.5583349999997</v>
      </c>
      <c r="H5" s="6">
        <v>12.555836299999999</v>
      </c>
      <c r="I5" s="6">
        <v>120.7528568</v>
      </c>
      <c r="J5" s="6">
        <f t="shared" si="0"/>
        <v>0.32476956566485637</v>
      </c>
      <c r="K5" s="6">
        <f t="shared" si="1"/>
        <v>0.32526269071150515</v>
      </c>
      <c r="L5" s="6">
        <f>D5/D17-1</f>
        <v>0.55551249230567668</v>
      </c>
      <c r="M5" s="6">
        <f>E5/E17-1</f>
        <v>1.8051916584169478</v>
      </c>
      <c r="N5" s="6">
        <f>F5/F17-1</f>
        <v>-0.19174762436422665</v>
      </c>
      <c r="O5" s="6">
        <f t="shared" si="2"/>
        <v>-2.959330587568767</v>
      </c>
      <c r="P5" s="6">
        <f t="shared" si="3"/>
        <v>-9.4698578802200548E-3</v>
      </c>
      <c r="Q5" s="6">
        <f t="shared" si="4"/>
        <v>-1.3021054585302575E-4</v>
      </c>
      <c r="R5" s="6">
        <f>D17*(100-P5)/100</f>
        <v>17.292818365258462</v>
      </c>
      <c r="S5" s="6">
        <f>F17*(100-Q5)/100</f>
        <v>204.4986864285091</v>
      </c>
      <c r="T5" s="6">
        <f t="shared" si="5"/>
        <v>8.4562002168673461E-2</v>
      </c>
      <c r="U5" s="6">
        <f>T5/V17-1</f>
        <v>9.3396351732000227E-5</v>
      </c>
      <c r="V5" s="6">
        <f t="shared" si="6"/>
        <v>0.16272759692445452</v>
      </c>
      <c r="W5" s="6">
        <f t="shared" si="7"/>
        <v>5.2461154321724601</v>
      </c>
      <c r="X5" s="6">
        <f t="shared" si="8"/>
        <v>49.136296651806859</v>
      </c>
      <c r="Y5" s="6">
        <f>V5/V17-1</f>
        <v>0.9245381012114029</v>
      </c>
      <c r="Z5" s="6">
        <f>W5/W17-1</f>
        <v>2.4706877987341231</v>
      </c>
      <c r="AA5" s="6">
        <f>X5/X17-1</f>
        <v>2.4024026349536585</v>
      </c>
    </row>
    <row r="6" spans="1:27">
      <c r="A6" s="6" t="s">
        <v>548</v>
      </c>
      <c r="B6" s="6" t="s">
        <v>240</v>
      </c>
      <c r="C6" s="6">
        <v>1.5</v>
      </c>
      <c r="D6" s="6">
        <v>21.06971278</v>
      </c>
      <c r="E6" s="6">
        <v>1058.830152</v>
      </c>
      <c r="F6" s="6">
        <v>167.12746989999999</v>
      </c>
      <c r="G6" s="6">
        <v>3740.9793020000002</v>
      </c>
      <c r="H6" s="6">
        <v>10.017575799999999</v>
      </c>
      <c r="I6" s="6">
        <v>92.341026839999998</v>
      </c>
      <c r="J6" s="6">
        <f t="shared" si="0"/>
        <v>0.54522490549448821</v>
      </c>
      <c r="K6" s="6">
        <f t="shared" si="1"/>
        <v>0.54664194729873261</v>
      </c>
      <c r="L6" s="6">
        <f>D6/D17-1</f>
        <v>0.21852364413827563</v>
      </c>
      <c r="M6" s="6">
        <f>E6/E17-1</f>
        <v>2.4254217389894532</v>
      </c>
      <c r="N6" s="6">
        <f>F6/F17-1</f>
        <v>-0.18274444478636231</v>
      </c>
      <c r="O6" s="6">
        <f t="shared" si="2"/>
        <v>-3.9761012114581202</v>
      </c>
      <c r="P6" s="6">
        <f t="shared" si="3"/>
        <v>-1.2723523876665985E-2</v>
      </c>
      <c r="Q6" s="6">
        <f t="shared" si="4"/>
        <v>-1.7494845330415728E-4</v>
      </c>
      <c r="R6" s="6">
        <f>D17*(100-P6)/100</f>
        <v>17.293380962532275</v>
      </c>
      <c r="S6" s="6">
        <f>F17*(100-Q6)/100</f>
        <v>204.49877791682309</v>
      </c>
      <c r="T6" s="6">
        <f t="shared" si="5"/>
        <v>8.4564715440823349E-2</v>
      </c>
      <c r="U6" s="6">
        <f>T6/V17-1</f>
        <v>1.2548553469837742E-4</v>
      </c>
      <c r="V6" s="6">
        <f t="shared" si="6"/>
        <v>0.1260697166815663</v>
      </c>
      <c r="W6" s="6">
        <f t="shared" si="7"/>
        <v>6.3354644968510954</v>
      </c>
      <c r="X6" s="6">
        <f t="shared" si="8"/>
        <v>22.383988127376064</v>
      </c>
      <c r="Y6" s="6">
        <f>V6/V17-1</f>
        <v>0.49099462997194676</v>
      </c>
      <c r="Z6" s="6">
        <f>W6/W17-1</f>
        <v>3.1913716182620728</v>
      </c>
      <c r="AA6" s="6">
        <f>X6/X17-1</f>
        <v>0.54996093264906576</v>
      </c>
    </row>
    <row r="7" spans="1:27">
      <c r="A7" s="6" t="s">
        <v>549</v>
      </c>
      <c r="B7" s="6" t="s">
        <v>240</v>
      </c>
      <c r="C7" s="6">
        <v>2</v>
      </c>
      <c r="D7" s="6">
        <v>19.96994582</v>
      </c>
      <c r="E7" s="6">
        <v>662.11824869999998</v>
      </c>
      <c r="F7" s="6">
        <v>177.56424799999999</v>
      </c>
      <c r="G7" s="6">
        <v>5618.0113600000004</v>
      </c>
      <c r="H7" s="6">
        <v>9.5514436580000002</v>
      </c>
      <c r="I7" s="6">
        <v>71.761340829999995</v>
      </c>
      <c r="J7" s="6">
        <f t="shared" si="0"/>
        <v>0.34916801802238778</v>
      </c>
      <c r="K7" s="6">
        <f t="shared" si="1"/>
        <v>0.34975211766710174</v>
      </c>
      <c r="L7" s="6">
        <f>D7/D17-1</f>
        <v>0.15492087661150933</v>
      </c>
      <c r="M7" s="6">
        <f>E7/E17-1</f>
        <v>1.1420189428819794</v>
      </c>
      <c r="N7" s="6">
        <f>F7/F17-1</f>
        <v>-0.13170846078049758</v>
      </c>
      <c r="O7" s="6">
        <f t="shared" si="2"/>
        <v>-1.8721622014458679</v>
      </c>
      <c r="P7" s="6">
        <f t="shared" si="3"/>
        <v>-5.9909190446267779E-3</v>
      </c>
      <c r="Q7" s="6">
        <f t="shared" si="4"/>
        <v>-8.2375136863618186E-5</v>
      </c>
      <c r="R7" s="6">
        <f>D17*(100-P7)/100</f>
        <v>17.292216815650473</v>
      </c>
      <c r="S7" s="6">
        <f>F17*(100-Q7)/100</f>
        <v>204.49858860585348</v>
      </c>
      <c r="T7" s="6">
        <f t="shared" si="5"/>
        <v>8.4559101036042597E-2</v>
      </c>
      <c r="U7" s="6">
        <f>T7/V17-1</f>
        <v>5.908539040588856E-5</v>
      </c>
      <c r="V7" s="6">
        <f t="shared" si="6"/>
        <v>0.11246602874695812</v>
      </c>
      <c r="W7" s="6">
        <f t="shared" si="7"/>
        <v>3.7288939420958211</v>
      </c>
      <c r="X7" s="6">
        <f t="shared" si="8"/>
        <v>31.63931604069306</v>
      </c>
      <c r="Y7" s="6">
        <f>V7/V17-1</f>
        <v>0.33010725596803003</v>
      </c>
      <c r="Z7" s="6">
        <f>W7/W17-1</f>
        <v>1.4669351780249018</v>
      </c>
      <c r="AA7" s="6">
        <f>X7/X17-1</f>
        <v>1.1908385368930134</v>
      </c>
    </row>
    <row r="8" spans="1:27">
      <c r="A8" s="6" t="s">
        <v>550</v>
      </c>
      <c r="B8" s="6" t="s">
        <v>240</v>
      </c>
      <c r="C8" s="6">
        <v>3.5</v>
      </c>
      <c r="D8" s="6">
        <v>21.84979989</v>
      </c>
      <c r="E8" s="6">
        <v>1212.607152</v>
      </c>
      <c r="F8" s="6">
        <v>229.01102370000001</v>
      </c>
      <c r="G8" s="6">
        <v>5301.4452970000002</v>
      </c>
      <c r="H8" s="6">
        <v>12.1192774</v>
      </c>
      <c r="I8" s="6">
        <v>287.16287740000001</v>
      </c>
      <c r="J8" s="6">
        <f t="shared" si="0"/>
        <v>0.38860826471406007</v>
      </c>
      <c r="K8" s="6">
        <f t="shared" si="1"/>
        <v>0.38944770623230762</v>
      </c>
      <c r="L8" s="6">
        <f>D8/D17-1</f>
        <v>0.26363838290798447</v>
      </c>
      <c r="M8" s="6">
        <f>E8/E17-1</f>
        <v>2.9229057573295179</v>
      </c>
      <c r="N8" s="6">
        <f>F8/F17-1</f>
        <v>0.11986695805287884</v>
      </c>
      <c r="O8" s="6">
        <f t="shared" si="2"/>
        <v>-4.7916487825074068</v>
      </c>
      <c r="P8" s="6">
        <f t="shared" si="3"/>
        <v>-1.5333276104023703E-2</v>
      </c>
      <c r="Q8" s="6">
        <f t="shared" si="4"/>
        <v>-2.1083254643032589E-4</v>
      </c>
      <c r="R8" s="6">
        <f>D17*(100-P8)/100</f>
        <v>17.293832219511341</v>
      </c>
      <c r="S8" s="6">
        <f>F17*(100-Q8)/100</f>
        <v>204.4988512992266</v>
      </c>
      <c r="T8" s="6">
        <f t="shared" si="5"/>
        <v>8.4566891743595551E-2</v>
      </c>
      <c r="U8" s="6">
        <f>T8/V17-1</f>
        <v>1.5122411674628466E-4</v>
      </c>
      <c r="V8" s="6">
        <f t="shared" si="6"/>
        <v>9.5409380461190435E-2</v>
      </c>
      <c r="W8" s="6">
        <f t="shared" si="7"/>
        <v>5.2949728463224188</v>
      </c>
      <c r="X8" s="6">
        <f t="shared" si="8"/>
        <v>23.149301773109361</v>
      </c>
      <c r="Y8" s="6">
        <f>V8/V17-1</f>
        <v>0.12838259386193718</v>
      </c>
      <c r="Z8" s="6">
        <f>W8/W17-1</f>
        <v>2.5030105398861879</v>
      </c>
      <c r="AA8" s="6">
        <f>X8/X17-1</f>
        <v>0.60295444950404864</v>
      </c>
    </row>
    <row r="9" spans="1:27">
      <c r="A9" s="6" t="s">
        <v>551</v>
      </c>
      <c r="B9" s="6" t="s">
        <v>240</v>
      </c>
      <c r="C9" s="6">
        <v>3</v>
      </c>
      <c r="D9" s="6">
        <v>18.90880014</v>
      </c>
      <c r="E9" s="6">
        <v>447.8176598</v>
      </c>
      <c r="F9" s="6">
        <v>154.17860529999999</v>
      </c>
      <c r="G9" s="6">
        <v>6723.1655710000005</v>
      </c>
      <c r="H9" s="6">
        <v>10.018617949999999</v>
      </c>
      <c r="I9" s="6">
        <v>77.801200390000005</v>
      </c>
      <c r="J9" s="6">
        <f t="shared" si="0"/>
        <v>0.27685348579960412</v>
      </c>
      <c r="K9" s="6">
        <f t="shared" si="1"/>
        <v>0.2772601925310188</v>
      </c>
      <c r="L9" s="6">
        <f>D9/D17-1</f>
        <v>9.3551691637019818E-2</v>
      </c>
      <c r="M9" s="6">
        <f>E9/E17-1</f>
        <v>0.44873504412849718</v>
      </c>
      <c r="N9" s="6">
        <f>F9/F17-1</f>
        <v>-0.24606456525722942</v>
      </c>
      <c r="O9" s="6">
        <f t="shared" si="2"/>
        <v>-0.73563121988278224</v>
      </c>
      <c r="P9" s="6">
        <f t="shared" si="3"/>
        <v>-2.3540199036249034E-3</v>
      </c>
      <c r="Q9" s="6">
        <f t="shared" si="4"/>
        <v>-3.2367773674842416E-5</v>
      </c>
      <c r="R9" s="6">
        <f>D17*(100-P9)/100</f>
        <v>17.29158795284031</v>
      </c>
      <c r="S9" s="6">
        <f>F17*(100-Q9)/100</f>
        <v>204.49848634158579</v>
      </c>
      <c r="T9" s="6">
        <f t="shared" si="5"/>
        <v>8.4556068175278123E-2</v>
      </c>
      <c r="U9" s="6">
        <f>T9/V17-1</f>
        <v>2.3216513785007109E-5</v>
      </c>
      <c r="V9" s="6">
        <f t="shared" si="6"/>
        <v>0.12264217919994377</v>
      </c>
      <c r="W9" s="6">
        <f t="shared" si="7"/>
        <v>2.9045382718869361</v>
      </c>
      <c r="X9" s="6">
        <f t="shared" si="8"/>
        <v>43.606345756715712</v>
      </c>
      <c r="Y9" s="6">
        <f>V9/V17-1</f>
        <v>0.45045801171305921</v>
      </c>
      <c r="Z9" s="6">
        <f>W9/W17-1</f>
        <v>0.92156380688325124</v>
      </c>
      <c r="AA9" s="6">
        <f>X9/X17-1</f>
        <v>2.0194857124604657</v>
      </c>
    </row>
    <row r="10" spans="1:27">
      <c r="A10" s="6" t="s">
        <v>552</v>
      </c>
      <c r="B10" s="6" t="s">
        <v>240</v>
      </c>
      <c r="C10" s="6">
        <v>3.5</v>
      </c>
      <c r="D10" s="6">
        <v>17.806077380000001</v>
      </c>
      <c r="E10" s="6">
        <v>323.03647269999999</v>
      </c>
      <c r="F10" s="6">
        <v>158.05479969999999</v>
      </c>
      <c r="G10" s="6">
        <v>6490.5968759999996</v>
      </c>
      <c r="H10" s="6">
        <v>9.6915313879999996</v>
      </c>
      <c r="I10" s="6">
        <v>59.949824159999999</v>
      </c>
      <c r="J10" s="6">
        <f t="shared" si="0"/>
        <v>0.27068953238628751</v>
      </c>
      <c r="K10" s="6">
        <f t="shared" si="1"/>
        <v>0.27108893177733351</v>
      </c>
      <c r="L10" s="6">
        <f>D10/D17-1</f>
        <v>2.9777981476865722E-2</v>
      </c>
      <c r="M10" s="6">
        <f>E10/E17-1</f>
        <v>4.5055388707001098E-2</v>
      </c>
      <c r="N10" s="6">
        <f>F10/F17-1</f>
        <v>-0.22710992298098687</v>
      </c>
      <c r="O10" s="6">
        <f t="shared" si="2"/>
        <v>-7.386129296229689E-2</v>
      </c>
      <c r="P10" s="6">
        <f t="shared" si="3"/>
        <v>-2.3635613747935005E-4</v>
      </c>
      <c r="Q10" s="6">
        <f t="shared" si="4"/>
        <v>-3.2498968903410633E-6</v>
      </c>
      <c r="R10" s="6">
        <f>D17*(100-P10)/100</f>
        <v>17.291221783767334</v>
      </c>
      <c r="S10" s="6">
        <f>F17*(100-Q10)/100</f>
        <v>204.4984267959878</v>
      </c>
      <c r="T10" s="6">
        <f t="shared" si="5"/>
        <v>8.4554302224620251E-2</v>
      </c>
      <c r="U10" s="6">
        <f>T10/V17-1</f>
        <v>2.3310623300520916E-6</v>
      </c>
      <c r="V10" s="6">
        <f t="shared" si="6"/>
        <v>0.11265761883724688</v>
      </c>
      <c r="W10" s="6">
        <f t="shared" si="7"/>
        <v>2.0438257700060216</v>
      </c>
      <c r="X10" s="6">
        <f t="shared" si="8"/>
        <v>41.065484175865869</v>
      </c>
      <c r="Y10" s="6">
        <f>V10/V17-1</f>
        <v>0.33237314347294067</v>
      </c>
      <c r="Z10" s="6">
        <f>W10/W17-1</f>
        <v>0.35213974118766278</v>
      </c>
      <c r="AA10" s="6">
        <f>X10/X17-1</f>
        <v>1.843545832436599</v>
      </c>
    </row>
    <row r="11" spans="1:27">
      <c r="A11" s="6" t="s">
        <v>553</v>
      </c>
      <c r="B11" s="6" t="s">
        <v>240</v>
      </c>
      <c r="C11" s="6">
        <v>4</v>
      </c>
      <c r="D11" s="6">
        <v>20.006818410000001</v>
      </c>
      <c r="E11" s="6">
        <v>389.94034770000002</v>
      </c>
      <c r="F11" s="6">
        <v>123.65374970000001</v>
      </c>
      <c r="G11" s="6">
        <v>5504.3340680000001</v>
      </c>
      <c r="H11" s="6">
        <v>7.8291118790000001</v>
      </c>
      <c r="I11" s="6">
        <v>84.45784184</v>
      </c>
      <c r="J11" s="6">
        <f t="shared" si="0"/>
        <v>0.35620694444196066</v>
      </c>
      <c r="K11" s="6">
        <f t="shared" si="1"/>
        <v>0.35670416036202329</v>
      </c>
      <c r="L11" s="6">
        <f>D11/D17-1</f>
        <v>0.15705332726258181</v>
      </c>
      <c r="M11" s="6">
        <f>E11/E17-1</f>
        <v>0.26149613457615839</v>
      </c>
      <c r="N11" s="6">
        <f>F11/F17-1</f>
        <v>-0.39533151596330307</v>
      </c>
      <c r="O11" s="6">
        <f t="shared" si="2"/>
        <v>-0.42868218782976786</v>
      </c>
      <c r="P11" s="6">
        <f t="shared" si="3"/>
        <v>-1.3717830010552571E-3</v>
      </c>
      <c r="Q11" s="6">
        <f t="shared" si="4"/>
        <v>-1.8862016264509786E-5</v>
      </c>
      <c r="R11" s="6">
        <f>D17*(100-P11)/100</f>
        <v>17.291418112480475</v>
      </c>
      <c r="S11" s="6">
        <f>F17*(100-Q11)/100</f>
        <v>204.49845872252524</v>
      </c>
      <c r="T11" s="6">
        <f t="shared" si="5"/>
        <v>8.4555249073746924E-2</v>
      </c>
      <c r="U11" s="6">
        <f>T11/V17-1</f>
        <v>1.3529207296469892E-5</v>
      </c>
      <c r="V11" s="6">
        <f t="shared" si="6"/>
        <v>0.16179710246182694</v>
      </c>
      <c r="W11" s="6">
        <f t="shared" si="7"/>
        <v>3.1534858315744225</v>
      </c>
      <c r="X11" s="6">
        <f t="shared" si="8"/>
        <v>44.514089393602916</v>
      </c>
      <c r="Y11" s="6">
        <f>V11/V17-1</f>
        <v>0.91353337871725615</v>
      </c>
      <c r="Z11" s="6">
        <f>W11/W17-1</f>
        <v>1.0862607658242016</v>
      </c>
      <c r="AA11" s="6">
        <f>X11/X17-1</f>
        <v>2.0823416774489028</v>
      </c>
    </row>
    <row r="12" spans="1:27">
      <c r="A12" s="6" t="s">
        <v>554</v>
      </c>
      <c r="B12" s="6" t="s">
        <v>240</v>
      </c>
      <c r="C12" s="6">
        <v>5</v>
      </c>
      <c r="D12" s="6">
        <v>18.00189803</v>
      </c>
      <c r="E12" s="6">
        <v>465.02498379999997</v>
      </c>
      <c r="F12" s="6">
        <v>167.28891440000001</v>
      </c>
      <c r="G12" s="6">
        <v>6008.6823290000002</v>
      </c>
      <c r="H12" s="6">
        <v>5.1687063149999997</v>
      </c>
      <c r="I12" s="6">
        <v>82.458850159999997</v>
      </c>
      <c r="J12" s="6">
        <f t="shared" si="0"/>
        <v>0.29442231059536345</v>
      </c>
      <c r="K12" s="6">
        <f t="shared" si="1"/>
        <v>0.29467140976309014</v>
      </c>
      <c r="L12" s="6">
        <f>D12/D17-1</f>
        <v>4.1102867322581726E-2</v>
      </c>
      <c r="M12" s="6">
        <f>E12/E17-1</f>
        <v>0.50440246310792469</v>
      </c>
      <c r="N12" s="6">
        <f>F12/F17-1</f>
        <v>-0.1819549790296997</v>
      </c>
      <c r="O12" s="6">
        <f t="shared" si="2"/>
        <v>-0.82688928378348314</v>
      </c>
      <c r="P12" s="6">
        <f t="shared" si="3"/>
        <v>-2.6460457081071464E-3</v>
      </c>
      <c r="Q12" s="6">
        <f t="shared" si="4"/>
        <v>-3.6383128486473259E-5</v>
      </c>
      <c r="R12" s="6">
        <f>D17*(100-P12)/100</f>
        <v>17.291638447550483</v>
      </c>
      <c r="S12" s="6">
        <f>F17*(100-Q12)/100</f>
        <v>204.49849455292292</v>
      </c>
      <c r="T12" s="6">
        <f t="shared" si="5"/>
        <v>8.4556311699769099E-2</v>
      </c>
      <c r="U12" s="6">
        <f>T12/V17-1</f>
        <v>2.6096616301707343E-5</v>
      </c>
      <c r="V12" s="6">
        <f t="shared" si="6"/>
        <v>0.10760962909327122</v>
      </c>
      <c r="W12" s="6">
        <f t="shared" si="7"/>
        <v>2.7797716631007079</v>
      </c>
      <c r="X12" s="6">
        <f t="shared" si="8"/>
        <v>35.917994629535357</v>
      </c>
      <c r="Y12" s="6">
        <f>V12/V17-1</f>
        <v>0.27267184645621079</v>
      </c>
      <c r="Z12" s="6">
        <f>W12/W17-1</f>
        <v>0.83902159972017376</v>
      </c>
      <c r="AA12" s="6">
        <f>X12/X17-1</f>
        <v>1.4871121329264563</v>
      </c>
    </row>
    <row r="13" spans="1:27">
      <c r="A13" s="6" t="s">
        <v>555</v>
      </c>
      <c r="B13" s="6" t="s">
        <v>240</v>
      </c>
      <c r="C13" s="6">
        <v>6</v>
      </c>
      <c r="D13" s="6">
        <v>17.651817609999998</v>
      </c>
      <c r="E13" s="6">
        <v>519.90812070000004</v>
      </c>
      <c r="F13" s="6">
        <v>150.52504980000001</v>
      </c>
      <c r="G13" s="6">
        <v>5619.1965790000004</v>
      </c>
      <c r="H13" s="6">
        <v>6.2132286399999996</v>
      </c>
      <c r="I13" s="6">
        <v>143.48526720000001</v>
      </c>
      <c r="J13" s="6">
        <f t="shared" si="0"/>
        <v>0.30504924505202258</v>
      </c>
      <c r="K13" s="6">
        <f t="shared" si="1"/>
        <v>0.30537713974049602</v>
      </c>
      <c r="L13" s="6">
        <f>D13/D17-1</f>
        <v>2.0856683923025088E-2</v>
      </c>
      <c r="M13" s="6">
        <f>E13/E17-1</f>
        <v>0.6819549155820912</v>
      </c>
      <c r="N13" s="6">
        <f>F13/F17-1</f>
        <v>-0.26393050034523691</v>
      </c>
      <c r="O13" s="6">
        <f t="shared" si="2"/>
        <v>-1.1179588780034282</v>
      </c>
      <c r="P13" s="6">
        <f t="shared" si="3"/>
        <v>-3.5774684096109705E-3</v>
      </c>
      <c r="Q13" s="6">
        <f t="shared" si="4"/>
        <v>-4.9190190632150841E-5</v>
      </c>
      <c r="R13" s="6">
        <f>D17*(100-P13)/100</f>
        <v>17.291799501534882</v>
      </c>
      <c r="S13" s="6">
        <f>F17*(100-Q13)/100</f>
        <v>204.49852074316269</v>
      </c>
      <c r="T13" s="6">
        <f t="shared" si="5"/>
        <v>8.4557088426337801E-2</v>
      </c>
      <c r="U13" s="6">
        <f>T13/V17-1</f>
        <v>3.5282764834221325E-5</v>
      </c>
      <c r="V13" s="6">
        <f t="shared" si="6"/>
        <v>0.11726830606237074</v>
      </c>
      <c r="W13" s="6">
        <f t="shared" si="7"/>
        <v>3.4539641168748512</v>
      </c>
      <c r="X13" s="6">
        <f t="shared" si="8"/>
        <v>37.330640889779666</v>
      </c>
      <c r="Y13" s="6">
        <f>V13/V17-1</f>
        <v>0.3869025742838621</v>
      </c>
      <c r="Z13" s="6">
        <f>W13/W17-1</f>
        <v>1.2850490563336403</v>
      </c>
      <c r="AA13" s="6">
        <f>X13/X17-1</f>
        <v>1.5849296667176591</v>
      </c>
    </row>
    <row r="14" spans="1:27">
      <c r="A14" s="6" t="s">
        <v>556</v>
      </c>
      <c r="B14" s="6" t="s">
        <v>216</v>
      </c>
      <c r="C14" s="6">
        <v>7</v>
      </c>
      <c r="D14" s="6">
        <v>17.48682071</v>
      </c>
      <c r="E14" s="6">
        <v>259.19939649999998</v>
      </c>
      <c r="F14" s="6">
        <v>170.3560343</v>
      </c>
      <c r="G14" s="6">
        <v>5862.0354280000001</v>
      </c>
      <c r="H14" s="6">
        <v>6.5729329740000004</v>
      </c>
      <c r="I14" s="6">
        <v>75.755775389999997</v>
      </c>
      <c r="J14" s="6">
        <f t="shared" si="0"/>
        <v>0.29331194013247031</v>
      </c>
      <c r="K14" s="6">
        <f t="shared" si="1"/>
        <v>0.29363567308249594</v>
      </c>
      <c r="L14" s="6">
        <f>D14/D17-1</f>
        <v>1.1314426467557537E-2</v>
      </c>
      <c r="M14" s="6">
        <f>E14/E17-1</f>
        <v>-0.16146395545406911</v>
      </c>
      <c r="N14" s="6">
        <f>F14/F17-1</f>
        <v>-0.16695672184145227</v>
      </c>
      <c r="O14" s="6">
        <f t="shared" si="2"/>
        <v>0.26469500894109688</v>
      </c>
      <c r="P14" s="6">
        <f t="shared" si="3"/>
        <v>8.4702402861151001E-4</v>
      </c>
      <c r="Q14" s="6">
        <f t="shared" si="4"/>
        <v>1.1646580393408262E-5</v>
      </c>
      <c r="R14" s="6">
        <f>D17*(100-P14)/100</f>
        <v>17.291034454542817</v>
      </c>
      <c r="S14" s="6">
        <f>F17*(100-Q14)/100</f>
        <v>204.49839633292709</v>
      </c>
      <c r="T14" s="6">
        <f t="shared" si="5"/>
        <v>8.455339877772293E-2</v>
      </c>
      <c r="U14" s="6">
        <f>T14/V17-1</f>
        <v>-8.3537754551610277E-6</v>
      </c>
      <c r="V14" s="6">
        <f t="shared" si="6"/>
        <v>0.10264867212866319</v>
      </c>
      <c r="W14" s="6">
        <f t="shared" si="7"/>
        <v>1.5215157922938334</v>
      </c>
      <c r="X14" s="6">
        <f t="shared" si="8"/>
        <v>34.410494774002849</v>
      </c>
      <c r="Y14" s="6">
        <f>V14/V17-1</f>
        <v>0.21399986409239191</v>
      </c>
      <c r="Z14" s="6">
        <f>W14/W17-1</f>
        <v>6.593614679329507E-3</v>
      </c>
      <c r="AA14" s="6">
        <f>X14/X17-1</f>
        <v>1.3827265395838726</v>
      </c>
    </row>
    <row r="15" spans="1:27">
      <c r="A15" s="6" t="s">
        <v>557</v>
      </c>
      <c r="B15" s="6" t="s">
        <v>216</v>
      </c>
      <c r="C15" s="6">
        <v>12</v>
      </c>
      <c r="D15" s="6">
        <v>17.88037018</v>
      </c>
      <c r="E15" s="6">
        <v>339.33931610000002</v>
      </c>
      <c r="F15" s="6">
        <v>131.88555840000001</v>
      </c>
      <c r="G15" s="6">
        <v>3248.4685549999999</v>
      </c>
      <c r="H15" s="6">
        <v>19.797621410000001</v>
      </c>
      <c r="I15" s="6">
        <v>79.789635399999995</v>
      </c>
      <c r="J15" s="6">
        <f t="shared" si="0"/>
        <v>0.53121536515373902</v>
      </c>
      <c r="K15" s="6">
        <f t="shared" si="1"/>
        <v>0.53435833144042677</v>
      </c>
      <c r="L15" s="6">
        <f>D15/D17-1</f>
        <v>3.4074553259048068E-2</v>
      </c>
      <c r="M15" s="6">
        <f>E15/E17-1</f>
        <v>9.7796722228924438E-2</v>
      </c>
      <c r="N15" s="6">
        <f>F15/F17-1</f>
        <v>-0.35507786171031686</v>
      </c>
      <c r="O15" s="6">
        <f t="shared" si="2"/>
        <v>-0.16032249545725319</v>
      </c>
      <c r="P15" s="6">
        <f t="shared" si="3"/>
        <v>-5.1303198546321022E-4</v>
      </c>
      <c r="Q15" s="6">
        <f t="shared" si="4"/>
        <v>-7.0541898001191398E-6</v>
      </c>
      <c r="R15" s="6">
        <f>D17*(100-P15)/100</f>
        <v>17.291269624288756</v>
      </c>
      <c r="S15" s="6">
        <f>F17*(100-Q15)/100</f>
        <v>204.49843457570668</v>
      </c>
      <c r="T15" s="6">
        <f t="shared" si="5"/>
        <v>8.4554532948698011E-2</v>
      </c>
      <c r="U15" s="6">
        <f>T15/V17-1</f>
        <v>5.0597775995697702E-6</v>
      </c>
      <c r="V15" s="6">
        <f t="shared" si="6"/>
        <v>0.1355748908138224</v>
      </c>
      <c r="W15" s="6">
        <f t="shared" si="7"/>
        <v>2.5729831242842129</v>
      </c>
      <c r="X15" s="6">
        <f t="shared" si="8"/>
        <v>24.63096486385275</v>
      </c>
      <c r="Y15" s="6">
        <f>V15/V17-1</f>
        <v>0.60340991860100668</v>
      </c>
      <c r="Z15" s="6">
        <f>W15/W17-1</f>
        <v>0.70221590646624898</v>
      </c>
      <c r="AA15" s="6">
        <f>X15/X17-1</f>
        <v>0.70555099722074566</v>
      </c>
    </row>
    <row r="16" spans="1:27">
      <c r="A16" s="6" t="s">
        <v>558</v>
      </c>
      <c r="B16" s="6" t="s">
        <v>216</v>
      </c>
      <c r="C16" s="6">
        <v>13</v>
      </c>
      <c r="D16" s="6">
        <v>16.880936460000001</v>
      </c>
      <c r="E16" s="6">
        <v>246.47650719999999</v>
      </c>
      <c r="F16" s="6">
        <v>154.02628369999999</v>
      </c>
      <c r="G16" s="6">
        <v>2732.5259620000002</v>
      </c>
      <c r="H16" s="6">
        <v>7.6433299799999999</v>
      </c>
      <c r="I16" s="6">
        <v>78.595143899999997</v>
      </c>
      <c r="J16" s="6">
        <f t="shared" si="0"/>
        <v>0.59531197464475949</v>
      </c>
      <c r="K16" s="6">
        <f t="shared" si="1"/>
        <v>0.59692094302423715</v>
      </c>
      <c r="L16" s="6">
        <f>D16/D17-1</f>
        <v>-2.3725647022992624E-2</v>
      </c>
      <c r="M16" s="6">
        <f>E16/E17-1</f>
        <v>-0.20262377840457413</v>
      </c>
      <c r="N16" s="6">
        <f>F16/F17-1</f>
        <v>-0.24680941991130578</v>
      </c>
      <c r="O16" s="6">
        <f t="shared" si="2"/>
        <v>0.33217012853208872</v>
      </c>
      <c r="P16" s="6">
        <f t="shared" si="3"/>
        <v>1.0629444113026839E-3</v>
      </c>
      <c r="Q16" s="6">
        <f t="shared" si="4"/>
        <v>1.4615485655411904E-5</v>
      </c>
      <c r="R16" s="6">
        <f>D17*(100-P16)/100</f>
        <v>17.290997119358813</v>
      </c>
      <c r="S16" s="6">
        <f>F17*(100-Q16)/100</f>
        <v>204.49839026156275</v>
      </c>
      <c r="T16" s="6">
        <f t="shared" si="5"/>
        <v>8.4553218718459555E-2</v>
      </c>
      <c r="U16" s="6">
        <f>T16/V17-1</f>
        <v>-1.0483290788676491E-5</v>
      </c>
      <c r="V16" s="6">
        <f t="shared" si="6"/>
        <v>0.10959776509884074</v>
      </c>
      <c r="W16" s="6">
        <f t="shared" si="7"/>
        <v>1.6002236844204272</v>
      </c>
      <c r="X16" s="6">
        <f t="shared" si="8"/>
        <v>17.740647221757257</v>
      </c>
      <c r="Y16" s="6">
        <f>V16/V17-1</f>
        <v>0.29618502778147238</v>
      </c>
      <c r="Z16" s="6">
        <f>W16/W17-1</f>
        <v>5.8664623104458524E-2</v>
      </c>
      <c r="AA16" s="6">
        <f>X16/X17-1</f>
        <v>0.22843659303067532</v>
      </c>
    </row>
    <row r="17" spans="1:25" s="100" customFormat="1" ht="29">
      <c r="A17" s="99" t="s">
        <v>560</v>
      </c>
      <c r="B17" s="100" t="s">
        <v>42</v>
      </c>
      <c r="C17" s="100" t="s">
        <v>559</v>
      </c>
      <c r="D17" s="100">
        <v>17.291180914999998</v>
      </c>
      <c r="E17" s="100">
        <v>309.10942729999999</v>
      </c>
      <c r="F17" s="100">
        <v>204.49842014999999</v>
      </c>
      <c r="G17" s="100">
        <v>2953.2939265</v>
      </c>
      <c r="H17" s="100">
        <v>17.429290420499999</v>
      </c>
      <c r="I17" s="100">
        <v>44.632544629999998</v>
      </c>
      <c r="V17" s="100">
        <f t="shared" si="6"/>
        <v>8.4554105123730947E-2</v>
      </c>
      <c r="W17" s="100">
        <f t="shared" si="7"/>
        <v>1.5115492191737601</v>
      </c>
      <c r="X17" s="100">
        <f t="shared" si="8"/>
        <v>14.44164666080918</v>
      </c>
    </row>
    <row r="18" spans="1:25">
      <c r="T18" s="39"/>
      <c r="W18" s="39"/>
      <c r="X18" s="39" t="s">
        <v>97</v>
      </c>
      <c r="Y18" s="6">
        <f>_xlfn.VAR.P(Y3:Y16)</f>
        <v>5.4713786420099109E-2</v>
      </c>
    </row>
    <row r="19" spans="1:25">
      <c r="X19" s="39" t="s">
        <v>98</v>
      </c>
      <c r="Y19" s="6">
        <f>AVERAGE(Y3:Y16)</f>
        <v>0.42183085075065485</v>
      </c>
    </row>
  </sheetData>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9"/>
  <sheetViews>
    <sheetView topLeftCell="A14" workbookViewId="0">
      <selection activeCell="D8" sqref="D8"/>
    </sheetView>
  </sheetViews>
  <sheetFormatPr defaultRowHeight="14.5"/>
  <cols>
    <col min="1" max="1" width="10.90625" style="6" customWidth="1"/>
    <col min="2" max="2" width="15.1796875" style="6" customWidth="1"/>
    <col min="3" max="3" width="9.90625" style="6" customWidth="1"/>
    <col min="4" max="19" width="8.7265625" style="6"/>
    <col min="20" max="20" width="11.26953125" style="6" customWidth="1"/>
    <col min="21" max="21" width="12.36328125" style="6" customWidth="1"/>
    <col min="22" max="22" width="11.1796875" style="6" customWidth="1"/>
    <col min="23" max="23" width="15.90625" style="6" customWidth="1"/>
    <col min="24" max="25" width="19.1796875" style="6" customWidth="1"/>
    <col min="26" max="26" width="11.54296875" style="6" customWidth="1"/>
    <col min="27" max="27" width="11.1796875" style="6" customWidth="1"/>
    <col min="28" max="28" width="13.7265625" style="6" customWidth="1"/>
    <col min="29" max="29" width="16.81640625" style="6" customWidth="1"/>
    <col min="30" max="34" width="8.7265625" style="6"/>
    <col min="35" max="35" width="10.7265625" style="6" customWidth="1"/>
    <col min="36" max="16384" width="8.7265625" style="6"/>
  </cols>
  <sheetData>
    <row r="1" spans="1:37">
      <c r="A1" s="81" t="s">
        <v>189</v>
      </c>
      <c r="B1" s="91"/>
      <c r="C1" s="81"/>
      <c r="D1" s="81"/>
      <c r="E1" s="81"/>
      <c r="F1" s="81"/>
      <c r="G1" s="81"/>
      <c r="H1" s="81"/>
      <c r="I1" s="81"/>
      <c r="J1" s="81"/>
      <c r="K1" s="81"/>
      <c r="L1" s="81"/>
      <c r="M1" s="81"/>
      <c r="N1" s="81"/>
      <c r="O1" s="81"/>
      <c r="P1" s="81"/>
      <c r="Q1" s="81"/>
      <c r="R1" s="81"/>
    </row>
    <row r="2" spans="1:37">
      <c r="A2" s="1" t="s">
        <v>197</v>
      </c>
      <c r="B2" s="1" t="s">
        <v>196</v>
      </c>
      <c r="C2" s="1" t="s">
        <v>18</v>
      </c>
      <c r="D2" s="1" t="s">
        <v>1</v>
      </c>
      <c r="E2" s="1" t="s">
        <v>2</v>
      </c>
      <c r="F2" s="1" t="s">
        <v>3</v>
      </c>
      <c r="G2" s="1" t="s">
        <v>48</v>
      </c>
      <c r="H2" s="1" t="s">
        <v>49</v>
      </c>
      <c r="I2" s="1" t="s">
        <v>50</v>
      </c>
      <c r="J2" s="1" t="s">
        <v>4</v>
      </c>
      <c r="K2" s="1" t="s">
        <v>5</v>
      </c>
      <c r="L2" s="1" t="s">
        <v>6</v>
      </c>
      <c r="M2" s="1" t="s">
        <v>45</v>
      </c>
      <c r="N2" s="1" t="s">
        <v>46</v>
      </c>
      <c r="O2" s="1" t="s">
        <v>47</v>
      </c>
      <c r="P2" s="1" t="s">
        <v>51</v>
      </c>
      <c r="Q2" s="1" t="s">
        <v>52</v>
      </c>
      <c r="R2" s="1" t="s">
        <v>110</v>
      </c>
      <c r="S2" s="1" t="s">
        <v>120</v>
      </c>
      <c r="T2" s="1" t="s">
        <v>7</v>
      </c>
      <c r="U2" s="1" t="s">
        <v>8</v>
      </c>
      <c r="V2" s="1" t="s">
        <v>9</v>
      </c>
      <c r="W2" s="1" t="s">
        <v>10</v>
      </c>
      <c r="X2" s="1" t="s">
        <v>11</v>
      </c>
      <c r="Y2" s="1" t="s">
        <v>12</v>
      </c>
      <c r="Z2" s="1" t="s">
        <v>13</v>
      </c>
      <c r="AA2" s="1" t="s">
        <v>14</v>
      </c>
      <c r="AB2" s="1" t="s">
        <v>15</v>
      </c>
      <c r="AC2" s="1" t="s">
        <v>460</v>
      </c>
      <c r="AD2" s="1" t="s">
        <v>16</v>
      </c>
      <c r="AE2" s="1" t="s">
        <v>17</v>
      </c>
      <c r="AF2" s="1" t="s">
        <v>107</v>
      </c>
      <c r="AG2" s="1" t="s">
        <v>134</v>
      </c>
      <c r="AH2" s="1" t="s">
        <v>459</v>
      </c>
      <c r="AI2" s="1" t="s">
        <v>461</v>
      </c>
      <c r="AJ2" s="1" t="s">
        <v>462</v>
      </c>
      <c r="AK2" s="1" t="s">
        <v>465</v>
      </c>
    </row>
    <row r="3" spans="1:37">
      <c r="A3" s="6" t="s">
        <v>437</v>
      </c>
      <c r="B3" s="6" t="s">
        <v>452</v>
      </c>
      <c r="C3" s="6">
        <v>1</v>
      </c>
      <c r="D3" s="6">
        <v>12.6</v>
      </c>
      <c r="E3" s="6">
        <v>1.1100000000000001</v>
      </c>
      <c r="F3" s="6">
        <v>1.071</v>
      </c>
      <c r="G3" s="6">
        <v>0.06</v>
      </c>
      <c r="H3" s="6">
        <v>3.11</v>
      </c>
      <c r="I3" s="6">
        <v>0.39</v>
      </c>
      <c r="J3" s="6">
        <f t="shared" ref="J3:J17" si="0">D3*26.98/101.96</f>
        <v>3.3341310317771673</v>
      </c>
      <c r="K3" s="6">
        <f t="shared" ref="K3:K17" si="1">E3*24.305/40.3044</f>
        <v>0.66936984547592826</v>
      </c>
      <c r="L3" s="6">
        <f t="shared" ref="L3:L17" si="2">F3*79.866/47.867</f>
        <v>1.786961497482608</v>
      </c>
      <c r="M3" s="6">
        <f>G3*40.078/56.0774</f>
        <v>4.2881446001419465E-2</v>
      </c>
      <c r="N3" s="6">
        <f>H3*39.0983/94.2</f>
        <v>1.2908249787685775</v>
      </c>
      <c r="O3" s="6">
        <f>I3*22.989769/61.9789</f>
        <v>0.14466229491004196</v>
      </c>
      <c r="P3" s="6">
        <f>100*(J3/(J3+M3+N3+O3))</f>
        <v>69.280648394165752</v>
      </c>
      <c r="Q3" s="6">
        <f>100*(J3/(J3+M3+O3))</f>
        <v>94.674586581194134</v>
      </c>
      <c r="R3" s="6">
        <v>181</v>
      </c>
      <c r="S3" s="6">
        <f>R3/10000</f>
        <v>1.8100000000000002E-2</v>
      </c>
      <c r="T3" s="6">
        <f>J3/J8-1</f>
        <v>-0.21348314606741581</v>
      </c>
      <c r="U3" s="6">
        <f>K3/K8-1</f>
        <v>-0.81154499151103554</v>
      </c>
      <c r="V3" s="6">
        <f>L3/L8-1</f>
        <v>-0.6150251617541338</v>
      </c>
      <c r="W3" s="6">
        <f>U3/-0.61</f>
        <v>1.3304016254279272</v>
      </c>
      <c r="X3" s="6">
        <f>W3*0.0032</f>
        <v>4.2572852013693669E-3</v>
      </c>
      <c r="Y3" s="6">
        <f>W3*0.000044</f>
        <v>5.8537671518828796E-5</v>
      </c>
      <c r="Z3" s="6">
        <f>J8*(100-X3)/100</f>
        <v>4.2389289837086288</v>
      </c>
      <c r="AA3" s="6">
        <f>L8*(100-Y3)/100</f>
        <v>4.6417590811368932</v>
      </c>
      <c r="AB3" s="6">
        <f>Z3/AA3</f>
        <v>0.91321606951440482</v>
      </c>
      <c r="AC3" s="6">
        <f>AB3/AD8-1</f>
        <v>-4.1987499876938728E-5</v>
      </c>
      <c r="AD3" s="6">
        <f t="shared" ref="AD3:AD13" si="3">J3/L3</f>
        <v>1.8658102239327166</v>
      </c>
      <c r="AE3" s="6">
        <f t="shared" ref="AE3:AE13" si="4">K3/L3</f>
        <v>0.37458548850599566</v>
      </c>
      <c r="AF3" s="6">
        <f>M3/L3</f>
        <v>2.3996849435104751E-2</v>
      </c>
      <c r="AG3" s="6">
        <f>S3/L3</f>
        <v>1.0128925567505779E-2</v>
      </c>
      <c r="AH3" s="6">
        <f>AD3/AD8-1</f>
        <v>1.043034442241316</v>
      </c>
      <c r="AI3" s="6">
        <f>AE3/AE8-1</f>
        <v>-0.51047447841615412</v>
      </c>
      <c r="AJ3" s="6">
        <f>AF3/AF8-1</f>
        <v>-0.97510314029765266</v>
      </c>
      <c r="AK3" s="6">
        <f>AG3/AG8-1</f>
        <v>2.0529908933270282</v>
      </c>
    </row>
    <row r="4" spans="1:37">
      <c r="A4" s="6" t="s">
        <v>438</v>
      </c>
      <c r="B4" s="6" t="s">
        <v>452</v>
      </c>
      <c r="C4" s="6">
        <v>20</v>
      </c>
      <c r="D4" s="6">
        <v>14.39</v>
      </c>
      <c r="E4" s="6">
        <v>2.61</v>
      </c>
      <c r="F4" s="6">
        <v>1.1599999999999999</v>
      </c>
      <c r="G4" s="6">
        <v>0.33</v>
      </c>
      <c r="H4" s="6">
        <v>2.87</v>
      </c>
      <c r="I4" s="6">
        <v>0.42</v>
      </c>
      <c r="J4" s="6">
        <f t="shared" si="0"/>
        <v>3.8077893291486862</v>
      </c>
      <c r="K4" s="6">
        <f t="shared" si="1"/>
        <v>1.5739236907136689</v>
      </c>
      <c r="L4" s="6">
        <f t="shared" si="2"/>
        <v>1.9354578310735999</v>
      </c>
      <c r="M4" s="6">
        <f t="shared" ref="M4:M17" si="5">G4*40.078/56.0774</f>
        <v>0.23584795300780712</v>
      </c>
      <c r="N4" s="6">
        <f t="shared" ref="N4:N17" si="6">H4*39.0983/94.2</f>
        <v>1.1912114755838641</v>
      </c>
      <c r="O4" s="6">
        <f t="shared" ref="O4:O17" si="7">I4*22.989769/61.9789</f>
        <v>0.15579016374927593</v>
      </c>
      <c r="P4" s="6">
        <f t="shared" ref="P4:P16" si="8">100*(J4/(J4+M4+N4+O4))</f>
        <v>70.637068900479292</v>
      </c>
      <c r="Q4" s="6">
        <f t="shared" ref="Q4:Q16" si="9">100*(J4/(J4+M4+O4))</f>
        <v>90.67401159320157</v>
      </c>
      <c r="R4" s="6">
        <v>155</v>
      </c>
      <c r="S4" s="6">
        <f t="shared" ref="S4:S17" si="10">R4/10000</f>
        <v>1.55E-2</v>
      </c>
      <c r="T4" s="6">
        <f>J4/J8-1</f>
        <v>-0.10174781523096121</v>
      </c>
      <c r="U4" s="6">
        <f>K4/K8-1</f>
        <v>-0.55687606112054322</v>
      </c>
      <c r="V4" s="6">
        <f>L4/L8-1</f>
        <v>-0.58303378864126532</v>
      </c>
      <c r="W4" s="6">
        <f>U4/-0.61</f>
        <v>0.91291157560744796</v>
      </c>
      <c r="X4" s="6">
        <f>W4*0.0032</f>
        <v>2.9213170419438335E-3</v>
      </c>
      <c r="Y4" s="6">
        <f>W4*0.000044</f>
        <v>4.016810932672771E-5</v>
      </c>
      <c r="Z4" s="6">
        <f>J8*(100-X4)/100</f>
        <v>4.2389856168611866</v>
      </c>
      <c r="AA4" s="6">
        <f>L8*(100-Y4)/100</f>
        <v>4.6417599338082143</v>
      </c>
      <c r="AB4" s="6">
        <f>Z4/AA4</f>
        <v>0.91322810255364029</v>
      </c>
      <c r="AC4" s="6">
        <f>AB4/AD8-1</f>
        <v>-2.8811500899283971E-5</v>
      </c>
      <c r="AD4" s="6">
        <f t="shared" si="3"/>
        <v>1.967384289140778</v>
      </c>
      <c r="AE4" s="6">
        <f t="shared" si="4"/>
        <v>0.81320484768227275</v>
      </c>
      <c r="AF4" s="6">
        <f t="shared" ref="AF4:AF17" si="11">M4/L4</f>
        <v>0.12185641517024531</v>
      </c>
      <c r="AG4" s="6">
        <f t="shared" ref="AG4:AG17" si="12">S4/L4</f>
        <v>8.0084410784615947E-3</v>
      </c>
      <c r="AH4" s="6">
        <f>AD4/AD8-1</f>
        <v>1.154256532782298</v>
      </c>
      <c r="AI4" s="6">
        <f>AE4/AE8-1</f>
        <v>6.2733446519524616E-2</v>
      </c>
      <c r="AJ4" s="6">
        <f>AF4/AF8-1</f>
        <v>-0.8735733171752782</v>
      </c>
      <c r="AK4" s="6">
        <f>AG4/AG8-1</f>
        <v>1.41384908195253</v>
      </c>
    </row>
    <row r="5" spans="1:37">
      <c r="A5" s="6" t="s">
        <v>439</v>
      </c>
      <c r="B5" s="6" t="s">
        <v>452</v>
      </c>
      <c r="C5" s="6">
        <v>40</v>
      </c>
      <c r="D5" s="6">
        <v>17.2</v>
      </c>
      <c r="E5" s="6">
        <v>2.86</v>
      </c>
      <c r="F5" s="6">
        <v>1.4370000000000001</v>
      </c>
      <c r="G5" s="6">
        <v>0.13</v>
      </c>
      <c r="H5" s="6">
        <v>3.47</v>
      </c>
      <c r="I5" s="6">
        <v>0.54</v>
      </c>
      <c r="J5" s="6">
        <f t="shared" si="0"/>
        <v>4.5513534719497839</v>
      </c>
      <c r="K5" s="6">
        <f t="shared" si="1"/>
        <v>1.7246826649199589</v>
      </c>
      <c r="L5" s="6">
        <f t="shared" si="2"/>
        <v>2.3976318131489336</v>
      </c>
      <c r="M5" s="6">
        <f t="shared" si="5"/>
        <v>9.2909799669742194E-2</v>
      </c>
      <c r="N5" s="6">
        <f t="shared" si="6"/>
        <v>1.4402452335456477</v>
      </c>
      <c r="O5" s="6">
        <f t="shared" si="7"/>
        <v>0.20030163910621193</v>
      </c>
      <c r="P5" s="6">
        <f t="shared" si="8"/>
        <v>72.418312844316375</v>
      </c>
      <c r="Q5" s="6">
        <f t="shared" si="9"/>
        <v>93.947620804361762</v>
      </c>
      <c r="R5" s="6">
        <v>186</v>
      </c>
      <c r="S5" s="6">
        <f t="shared" si="10"/>
        <v>1.8599999999999998E-2</v>
      </c>
      <c r="T5" s="6">
        <f>J5/J8-1</f>
        <v>7.3657927590511818E-2</v>
      </c>
      <c r="U5" s="6">
        <f>K5/K8-1</f>
        <v>-0.51443123938879454</v>
      </c>
      <c r="V5" s="6">
        <f>L5/L8-1</f>
        <v>-0.48346513299784322</v>
      </c>
      <c r="W5" s="6">
        <f>U5/-0.61</f>
        <v>0.84332990063736812</v>
      </c>
      <c r="X5" s="6">
        <f>W5*0.0032</f>
        <v>2.6986556820395779E-3</v>
      </c>
      <c r="Y5" s="6">
        <f>W5*0.000044</f>
        <v>3.7106515628044196E-5</v>
      </c>
      <c r="Z5" s="6">
        <f>J8*(100-X5)/100</f>
        <v>4.2389950557199461</v>
      </c>
      <c r="AA5" s="6">
        <f>L8*(100-Y5)/100</f>
        <v>4.6417600759201001</v>
      </c>
      <c r="AB5" s="6">
        <f>Z5/AA5</f>
        <v>0.91323010805974991</v>
      </c>
      <c r="AC5" s="6">
        <f>AB5/AD8-1</f>
        <v>-2.6615501540150355E-5</v>
      </c>
      <c r="AD5" s="6">
        <f t="shared" si="3"/>
        <v>1.8982703878842251</v>
      </c>
      <c r="AE5" s="6">
        <f t="shared" si="4"/>
        <v>0.71932756958827815</v>
      </c>
      <c r="AF5" s="6">
        <f t="shared" si="11"/>
        <v>3.8750653524120104E-2</v>
      </c>
      <c r="AG5" s="6">
        <f t="shared" si="12"/>
        <v>7.7576548233949478E-3</v>
      </c>
      <c r="AH5" s="6">
        <f>AD5/AD8-1</f>
        <v>1.0785778389400167</v>
      </c>
      <c r="AI5" s="6">
        <f>AE5/AE8-1</f>
        <v>-5.9949692400575016E-2</v>
      </c>
      <c r="AJ5" s="6">
        <f>AF5/AF8-1</f>
        <v>-0.95979598960382939</v>
      </c>
      <c r="AK5" s="6">
        <f>AG5/AG8-1</f>
        <v>1.3382588184258326</v>
      </c>
    </row>
    <row r="6" spans="1:37">
      <c r="A6" s="6" t="s">
        <v>440</v>
      </c>
      <c r="B6" s="6" t="s">
        <v>453</v>
      </c>
      <c r="C6" s="6">
        <v>65</v>
      </c>
      <c r="D6" s="6">
        <v>16.12</v>
      </c>
      <c r="E6" s="6">
        <v>4.5599999999999996</v>
      </c>
      <c r="F6" s="6">
        <v>2.681</v>
      </c>
      <c r="G6" s="6">
        <v>3.4</v>
      </c>
      <c r="H6" s="6">
        <v>2.5299999999999998</v>
      </c>
      <c r="I6" s="6">
        <v>0.43</v>
      </c>
      <c r="J6" s="6">
        <f t="shared" si="0"/>
        <v>4.2655708120831708</v>
      </c>
      <c r="K6" s="6">
        <f t="shared" si="1"/>
        <v>2.7498436895227316</v>
      </c>
      <c r="L6" s="6">
        <f t="shared" si="2"/>
        <v>4.4732434871623461</v>
      </c>
      <c r="M6" s="6">
        <f t="shared" si="5"/>
        <v>2.4299486067471032</v>
      </c>
      <c r="N6" s="6">
        <f t="shared" si="6"/>
        <v>1.0500923460721869</v>
      </c>
      <c r="O6" s="6">
        <f t="shared" si="7"/>
        <v>0.15949945336235394</v>
      </c>
      <c r="P6" s="6">
        <f t="shared" si="8"/>
        <v>53.959655902469017</v>
      </c>
      <c r="Q6" s="6">
        <f t="shared" si="9"/>
        <v>62.225515226317626</v>
      </c>
      <c r="R6" s="6">
        <v>186</v>
      </c>
      <c r="S6" s="6">
        <f t="shared" si="10"/>
        <v>1.8599999999999998E-2</v>
      </c>
      <c r="T6" s="6">
        <f>J6/J8-1</f>
        <v>6.2421972534334458E-3</v>
      </c>
      <c r="U6" s="6">
        <f>K6/K8-1</f>
        <v>-0.22580645161290325</v>
      </c>
      <c r="V6" s="6">
        <f>L6/L8-1</f>
        <v>-3.6304816678648377E-2</v>
      </c>
      <c r="W6" s="6">
        <f>U6/-0.61</f>
        <v>0.37017451084082498</v>
      </c>
      <c r="X6" s="6">
        <f>W6*0.0032</f>
        <v>1.1845584346906401E-3</v>
      </c>
      <c r="Y6" s="6">
        <f>W6*0.000044</f>
        <v>1.6287678476996297E-5</v>
      </c>
      <c r="Z6" s="6">
        <f>J8*(100-X6)/100</f>
        <v>4.2390592399595119</v>
      </c>
      <c r="AA6" s="6">
        <f>L8*(100-Y6)/100</f>
        <v>4.6417610422809306</v>
      </c>
      <c r="AB6" s="6">
        <f>Z6/AA6</f>
        <v>0.91324374549803766</v>
      </c>
      <c r="AC6" s="6">
        <f>AB6/AD8-1</f>
        <v>-1.1682709464944097E-5</v>
      </c>
      <c r="AD6" s="6">
        <f t="shared" si="3"/>
        <v>0.95357447550638141</v>
      </c>
      <c r="AE6" s="6">
        <f t="shared" si="4"/>
        <v>0.61473150241305707</v>
      </c>
      <c r="AF6" s="6">
        <f t="shared" si="11"/>
        <v>0.54321849765628771</v>
      </c>
      <c r="AG6" s="6">
        <f t="shared" si="12"/>
        <v>4.1580566882575675E-3</v>
      </c>
      <c r="AH6" s="6">
        <f>AD6/AD8-1</f>
        <v>4.4149866750858413E-2</v>
      </c>
      <c r="AI6" s="6">
        <f>AE6/AE8-1</f>
        <v>-0.19664063722010328</v>
      </c>
      <c r="AJ6" s="6">
        <f>AF6/AF8-1</f>
        <v>-0.43640790177714917</v>
      </c>
      <c r="AK6" s="6">
        <f>AG6/AG8-1</f>
        <v>0.25329277212902701</v>
      </c>
    </row>
    <row r="7" spans="1:37">
      <c r="A7" s="6" t="s">
        <v>441</v>
      </c>
      <c r="B7" s="6" t="s">
        <v>216</v>
      </c>
      <c r="C7" s="6">
        <v>115</v>
      </c>
      <c r="D7" s="6">
        <v>16.8</v>
      </c>
      <c r="E7" s="6">
        <v>6.06</v>
      </c>
      <c r="F7" s="6">
        <v>2.7469999999999999</v>
      </c>
      <c r="G7" s="6">
        <v>1.46</v>
      </c>
      <c r="H7" s="6">
        <v>0.89</v>
      </c>
      <c r="I7" s="6">
        <v>2.91</v>
      </c>
      <c r="J7" s="6">
        <f t="shared" si="0"/>
        <v>4.445508042369557</v>
      </c>
      <c r="K7" s="6">
        <f t="shared" si="1"/>
        <v>3.6543975347604727</v>
      </c>
      <c r="L7" s="6">
        <f t="shared" si="2"/>
        <v>4.5833643637579122</v>
      </c>
      <c r="M7" s="6">
        <f t="shared" si="5"/>
        <v>1.0434485193678738</v>
      </c>
      <c r="N7" s="6">
        <f t="shared" si="6"/>
        <v>0.36940007430997879</v>
      </c>
      <c r="O7" s="6">
        <f t="shared" si="7"/>
        <v>1.0794032774056976</v>
      </c>
      <c r="P7" s="6">
        <f t="shared" si="8"/>
        <v>64.076994560581596</v>
      </c>
      <c r="Q7" s="6">
        <f t="shared" si="9"/>
        <v>67.680641000775211</v>
      </c>
      <c r="R7" s="6">
        <v>152</v>
      </c>
      <c r="S7" s="6">
        <f t="shared" si="10"/>
        <v>1.52E-2</v>
      </c>
      <c r="T7" s="6">
        <f>J7/J8-1</f>
        <v>4.8689138576779145E-2</v>
      </c>
      <c r="U7" s="6">
        <f>K7/K8-1</f>
        <v>2.8862478777589295E-2</v>
      </c>
      <c r="V7" s="6">
        <f>L7/L8-1</f>
        <v>-1.2580877066858398E-2</v>
      </c>
      <c r="W7" s="6">
        <f>U7/-0.61</f>
        <v>-4.7315538979654584E-2</v>
      </c>
      <c r="X7" s="6">
        <f>W7*0.0032</f>
        <v>-1.5140972473489468E-4</v>
      </c>
      <c r="Y7" s="6">
        <f>W7*0.000044</f>
        <v>-2.0818837151048015E-6</v>
      </c>
      <c r="Z7" s="6">
        <f>J8*(100-X7)/100</f>
        <v>4.2391158731120697</v>
      </c>
      <c r="AA7" s="6">
        <f>L8*(100-Y7)/100</f>
        <v>4.6417618949522508</v>
      </c>
      <c r="AB7" s="6">
        <f>Z7/AA7</f>
        <v>0.91325577852710538</v>
      </c>
      <c r="AC7" s="6">
        <f>AB7/AD8-1</f>
        <v>1.4932783791721249E-6</v>
      </c>
      <c r="AD7" s="6">
        <f t="shared" si="3"/>
        <v>0.96992246078482691</v>
      </c>
      <c r="AE7" s="6">
        <f t="shared" si="4"/>
        <v>0.79731770043353545</v>
      </c>
      <c r="AF7" s="6">
        <f t="shared" si="11"/>
        <v>0.2276599538144394</v>
      </c>
      <c r="AG7" s="6">
        <f t="shared" si="12"/>
        <v>3.3163411838236403E-3</v>
      </c>
      <c r="AH7" s="6">
        <f>AD7/AD8-1</f>
        <v>6.2050667462904885E-2</v>
      </c>
      <c r="AI7" s="6">
        <f>AE7/AE8-1</f>
        <v>4.1971392777303773E-2</v>
      </c>
      <c r="AJ7" s="6">
        <f>AF7/AF8-1</f>
        <v>-0.76380157964948103</v>
      </c>
      <c r="AK7" s="6">
        <f>AG7/AG8-1</f>
        <v>-4.113105678449358E-4</v>
      </c>
    </row>
    <row r="8" spans="1:37" s="2" customFormat="1">
      <c r="A8" s="2" t="s">
        <v>442</v>
      </c>
      <c r="B8" s="2" t="s">
        <v>42</v>
      </c>
      <c r="C8" s="2">
        <v>200</v>
      </c>
      <c r="D8" s="2">
        <v>16.02</v>
      </c>
      <c r="E8" s="2">
        <v>5.89</v>
      </c>
      <c r="F8" s="2">
        <v>2.782</v>
      </c>
      <c r="G8" s="2">
        <v>6.26</v>
      </c>
      <c r="H8" s="2">
        <v>0.21</v>
      </c>
      <c r="I8" s="2">
        <v>3.75</v>
      </c>
      <c r="J8" s="2">
        <f t="shared" si="0"/>
        <v>4.239109454688113</v>
      </c>
      <c r="K8" s="2">
        <f t="shared" si="1"/>
        <v>3.551881432300195</v>
      </c>
      <c r="L8" s="2">
        <f t="shared" si="2"/>
        <v>4.6417617983161676</v>
      </c>
      <c r="M8" s="2">
        <f t="shared" si="5"/>
        <v>4.473964199481431</v>
      </c>
      <c r="N8" s="2">
        <f t="shared" si="6"/>
        <v>8.7161815286624186E-2</v>
      </c>
      <c r="O8" s="2">
        <f t="shared" si="7"/>
        <v>1.3909836049042494</v>
      </c>
      <c r="R8" s="2">
        <v>154</v>
      </c>
      <c r="S8" s="2">
        <f t="shared" si="10"/>
        <v>1.54E-2</v>
      </c>
      <c r="AD8" s="2">
        <f t="shared" si="3"/>
        <v>0.91325441478403313</v>
      </c>
      <c r="AE8" s="2">
        <f t="shared" si="4"/>
        <v>0.76520114271884121</v>
      </c>
      <c r="AF8" s="2">
        <f t="shared" si="11"/>
        <v>0.96385045029764205</v>
      </c>
      <c r="AG8" s="2">
        <f t="shared" si="12"/>
        <v>3.3177057912765926E-3</v>
      </c>
    </row>
    <row r="9" spans="1:37">
      <c r="A9" s="6" t="s">
        <v>443</v>
      </c>
      <c r="B9" s="6" t="s">
        <v>452</v>
      </c>
      <c r="C9" s="6">
        <v>3</v>
      </c>
      <c r="D9" s="6">
        <v>10.46</v>
      </c>
      <c r="E9" s="6">
        <v>2.04</v>
      </c>
      <c r="F9" s="6">
        <v>1.034</v>
      </c>
      <c r="G9" s="6">
        <v>0.19</v>
      </c>
      <c r="H9" s="6">
        <v>2.29</v>
      </c>
      <c r="I9" s="6">
        <v>0.25</v>
      </c>
      <c r="J9" s="6">
        <f t="shared" si="0"/>
        <v>2.7678579835229504</v>
      </c>
      <c r="K9" s="6">
        <f t="shared" si="1"/>
        <v>1.2301932295233275</v>
      </c>
      <c r="L9" s="6">
        <f t="shared" si="2"/>
        <v>1.7252270666638814</v>
      </c>
      <c r="M9" s="6">
        <f t="shared" si="5"/>
        <v>0.13579124567116166</v>
      </c>
      <c r="N9" s="6">
        <f t="shared" si="6"/>
        <v>0.95047884288747353</v>
      </c>
      <c r="O9" s="6">
        <f t="shared" si="7"/>
        <v>9.2732240326949975E-2</v>
      </c>
      <c r="P9" s="6">
        <f t="shared" si="8"/>
        <v>70.128095864479434</v>
      </c>
      <c r="Q9" s="6">
        <f t="shared" si="9"/>
        <v>92.373351379901607</v>
      </c>
      <c r="R9" s="6">
        <v>183</v>
      </c>
      <c r="S9" s="6">
        <f t="shared" si="10"/>
        <v>1.83E-2</v>
      </c>
      <c r="T9" s="6">
        <f>J9/J12-1</f>
        <v>-0.38651026392961874</v>
      </c>
      <c r="U9" s="6">
        <f>K9/K12-1</f>
        <v>-0.74752475247524752</v>
      </c>
      <c r="V9" s="6">
        <f>L9/L12-1</f>
        <v>-0.60936909709104636</v>
      </c>
      <c r="W9" s="6">
        <f>U9/-0.61</f>
        <v>1.2254504138938485</v>
      </c>
      <c r="X9" s="6">
        <f>W9*0.0032</f>
        <v>3.9214413244603149E-3</v>
      </c>
      <c r="Y9" s="6">
        <f>W9*0.000044</f>
        <v>5.3919818211329327E-5</v>
      </c>
      <c r="Z9" s="6">
        <f>J12*(100-X9)/100</f>
        <v>4.5114845137012338</v>
      </c>
      <c r="AA9" s="6">
        <f>L12*(100-Y9)/100</f>
        <v>4.4165121693577092</v>
      </c>
      <c r="AB9" s="6">
        <f>Z9/AA9</f>
        <v>1.021503924522716</v>
      </c>
      <c r="AC9" s="6">
        <f>AB9/AD12-1</f>
        <v>-3.8675235916052486E-5</v>
      </c>
      <c r="AD9" s="6">
        <f t="shared" si="3"/>
        <v>1.6043441683738668</v>
      </c>
      <c r="AE9" s="6">
        <f t="shared" si="4"/>
        <v>0.71306163304183823</v>
      </c>
      <c r="AF9" s="6">
        <f t="shared" si="11"/>
        <v>7.8709201991448513E-2</v>
      </c>
      <c r="AG9" s="6">
        <f t="shared" si="12"/>
        <v>1.0607299383139873E-2</v>
      </c>
      <c r="AH9" s="6">
        <f>AD9/AD12-1</f>
        <v>0.57050999166179794</v>
      </c>
      <c r="AI9" s="6">
        <f>AE9/AE12-1</f>
        <v>-0.35367313327077399</v>
      </c>
      <c r="AJ9" s="6">
        <f>AF9/AF12-1</f>
        <v>-0.92574158016743691</v>
      </c>
      <c r="AK9" s="6">
        <f>AG9/AG12-1</f>
        <v>0.22636890234640017</v>
      </c>
    </row>
    <row r="10" spans="1:37">
      <c r="A10" s="6" t="s">
        <v>444</v>
      </c>
      <c r="B10" s="6" t="s">
        <v>452</v>
      </c>
      <c r="C10" s="6">
        <v>85</v>
      </c>
      <c r="D10" s="6">
        <v>15.95</v>
      </c>
      <c r="E10" s="6">
        <v>4.2</v>
      </c>
      <c r="F10" s="6">
        <v>1.2629999999999999</v>
      </c>
      <c r="G10" s="6">
        <v>0.08</v>
      </c>
      <c r="H10" s="6">
        <v>2.97</v>
      </c>
      <c r="I10" s="6">
        <v>0.34</v>
      </c>
      <c r="J10" s="6">
        <f t="shared" si="0"/>
        <v>4.2205865045115729</v>
      </c>
      <c r="K10" s="6">
        <f t="shared" si="1"/>
        <v>2.5327507666656741</v>
      </c>
      <c r="L10" s="6">
        <f t="shared" si="2"/>
        <v>2.1073131384878936</v>
      </c>
      <c r="M10" s="6">
        <f t="shared" si="5"/>
        <v>5.7175261335225963E-2</v>
      </c>
      <c r="N10" s="6">
        <f t="shared" si="6"/>
        <v>1.2327171019108281</v>
      </c>
      <c r="O10" s="6">
        <f t="shared" si="7"/>
        <v>0.12611584684465196</v>
      </c>
      <c r="P10" s="6">
        <f t="shared" si="8"/>
        <v>74.878303625017324</v>
      </c>
      <c r="Q10" s="6">
        <f t="shared" si="9"/>
        <v>95.837960899466083</v>
      </c>
      <c r="R10" s="6">
        <v>163</v>
      </c>
      <c r="S10" s="6">
        <f t="shared" si="10"/>
        <v>1.6299999999999999E-2</v>
      </c>
      <c r="T10" s="6">
        <f>J10/J12-1</f>
        <v>-6.4516129032258229E-2</v>
      </c>
      <c r="U10" s="6">
        <f>K10/K12-1</f>
        <v>-0.48019801980198018</v>
      </c>
      <c r="V10" s="6">
        <f>L10/L12-1</f>
        <v>-0.522856063468077</v>
      </c>
      <c r="W10" s="6">
        <f>U10/-0.61</f>
        <v>0.78720986852783637</v>
      </c>
      <c r="X10" s="6">
        <f>W10*0.0032</f>
        <v>2.5190715792890767E-3</v>
      </c>
      <c r="Y10" s="6">
        <f>W10*0.000044</f>
        <v>3.4637234215224798E-5</v>
      </c>
      <c r="Z10" s="6">
        <f>J12*(100-X10)/100</f>
        <v>4.5115477838762148</v>
      </c>
      <c r="AA10" s="6">
        <f>L12*(100-Y10)/100</f>
        <v>4.4165130209758363</v>
      </c>
      <c r="AB10" s="6">
        <f>Z10/AA10</f>
        <v>1.0215180533712953</v>
      </c>
      <c r="AC10" s="6">
        <f>AB10/AD12-1</f>
        <v>-2.4844352055852781E-5</v>
      </c>
      <c r="AD10" s="6">
        <f t="shared" si="3"/>
        <v>2.0028283539958673</v>
      </c>
      <c r="AE10" s="6">
        <f t="shared" si="4"/>
        <v>1.2018862884720845</v>
      </c>
      <c r="AF10" s="6">
        <f t="shared" si="11"/>
        <v>2.7131829765106565E-2</v>
      </c>
      <c r="AG10" s="6">
        <f t="shared" si="12"/>
        <v>7.7349681460706374E-3</v>
      </c>
      <c r="AH10" s="6">
        <f>AD10/AD12-1</f>
        <v>0.9605905039205167</v>
      </c>
      <c r="AI10" s="6">
        <f>AE10/AE12-1</f>
        <v>8.9402883281202161E-2</v>
      </c>
      <c r="AJ10" s="6">
        <f>AF10/AF12-1</f>
        <v>-0.97440239826415964</v>
      </c>
      <c r="AK10" s="6">
        <f>AG10/AG12-1</f>
        <v>-0.10571729406839048</v>
      </c>
    </row>
    <row r="11" spans="1:37">
      <c r="A11" s="6" t="s">
        <v>445</v>
      </c>
      <c r="B11" s="6" t="s">
        <v>453</v>
      </c>
      <c r="C11" s="6">
        <v>130</v>
      </c>
      <c r="D11" s="6">
        <v>20.5</v>
      </c>
      <c r="E11" s="6">
        <v>8.7200000000000006</v>
      </c>
      <c r="F11" s="6">
        <v>3.6030000000000002</v>
      </c>
      <c r="G11" s="6">
        <v>2.21</v>
      </c>
      <c r="H11" s="6">
        <v>2.5499999999999998</v>
      </c>
      <c r="I11" s="6">
        <v>0.34</v>
      </c>
      <c r="J11" s="6">
        <f t="shared" si="0"/>
        <v>5.4245782659866624</v>
      </c>
      <c r="K11" s="6">
        <f t="shared" si="1"/>
        <v>5.2584730203153995</v>
      </c>
      <c r="L11" s="6">
        <f t="shared" si="2"/>
        <v>6.0115987632398111</v>
      </c>
      <c r="M11" s="6">
        <f t="shared" si="5"/>
        <v>1.5794665943856172</v>
      </c>
      <c r="N11" s="6">
        <f t="shared" si="6"/>
        <v>1.0583934713375795</v>
      </c>
      <c r="O11" s="6">
        <f t="shared" si="7"/>
        <v>0.12611584684465196</v>
      </c>
      <c r="P11" s="6">
        <f t="shared" si="8"/>
        <v>66.245861573382641</v>
      </c>
      <c r="Q11" s="6">
        <f t="shared" si="9"/>
        <v>76.079326802495061</v>
      </c>
      <c r="R11" s="6">
        <v>138</v>
      </c>
      <c r="S11" s="6">
        <f t="shared" si="10"/>
        <v>1.38E-2</v>
      </c>
      <c r="T11" s="6">
        <f>J11/J12-1</f>
        <v>0.20234604105571852</v>
      </c>
      <c r="U11" s="6">
        <f>K11/K12-1</f>
        <v>7.9207920792079278E-2</v>
      </c>
      <c r="V11" s="6">
        <f>L11/L12-1</f>
        <v>0.3611635814129206</v>
      </c>
      <c r="W11" s="6">
        <f>U11/-0.61</f>
        <v>-0.12984905047881848</v>
      </c>
      <c r="X11" s="6">
        <f>W11*0.0032</f>
        <v>-4.1551696153221913E-4</v>
      </c>
      <c r="Y11" s="6">
        <f>W11*0.000044</f>
        <v>-5.7133582210680127E-6</v>
      </c>
      <c r="Z11" s="6">
        <f>J12*(100-X11)/100</f>
        <v>4.5116801825757129</v>
      </c>
      <c r="AA11" s="6">
        <f>L12*(100-Y11)/100</f>
        <v>4.4165148030656232</v>
      </c>
      <c r="AB11" s="6">
        <f>Z11/AA11</f>
        <v>1.0215476192775428</v>
      </c>
      <c r="AC11" s="6">
        <f>AB11/AD12-1</f>
        <v>4.0980357991493577E-6</v>
      </c>
      <c r="AD11" s="6">
        <f t="shared" si="3"/>
        <v>0.90235201643151786</v>
      </c>
      <c r="AE11" s="6">
        <f t="shared" si="4"/>
        <v>0.87472122265882357</v>
      </c>
      <c r="AF11" s="6">
        <f t="shared" si="11"/>
        <v>0.26273652926470437</v>
      </c>
      <c r="AG11" s="6">
        <f t="shared" si="12"/>
        <v>2.2955623858972934E-3</v>
      </c>
      <c r="AH11" s="6">
        <f>AD11/AD12-1</f>
        <v>-0.11667777666542145</v>
      </c>
      <c r="AI11" s="6">
        <f>AE11/AE12-1</f>
        <v>-0.20714311231289684</v>
      </c>
      <c r="AJ11" s="6">
        <f>AF11/AF12-1</f>
        <v>-0.75212047636299695</v>
      </c>
      <c r="AK11" s="6">
        <f>AG11/AG12-1</f>
        <v>-0.73459725970068579</v>
      </c>
    </row>
    <row r="12" spans="1:37" s="2" customFormat="1">
      <c r="A12" s="2" t="s">
        <v>446</v>
      </c>
      <c r="B12" s="2" t="s">
        <v>42</v>
      </c>
      <c r="C12" s="2">
        <v>200</v>
      </c>
      <c r="D12" s="2">
        <v>17.05</v>
      </c>
      <c r="E12" s="2">
        <v>8.08</v>
      </c>
      <c r="F12" s="2">
        <v>2.6469999999999998</v>
      </c>
      <c r="G12" s="2">
        <v>6.55</v>
      </c>
      <c r="H12" s="2">
        <v>0.36</v>
      </c>
      <c r="I12" s="2">
        <v>2.86</v>
      </c>
      <c r="J12" s="2">
        <f t="shared" si="0"/>
        <v>4.5116614358571994</v>
      </c>
      <c r="K12" s="2">
        <f t="shared" si="1"/>
        <v>4.8725300463472969</v>
      </c>
      <c r="L12" s="2">
        <f t="shared" si="2"/>
        <v>4.416514550734326</v>
      </c>
      <c r="M12" s="2">
        <f t="shared" si="5"/>
        <v>4.6812245218216253</v>
      </c>
      <c r="N12" s="2">
        <f t="shared" si="6"/>
        <v>0.14942025477707005</v>
      </c>
      <c r="O12" s="2">
        <f t="shared" si="7"/>
        <v>1.0608568293403076</v>
      </c>
      <c r="R12" s="2">
        <v>382</v>
      </c>
      <c r="S12" s="2">
        <f t="shared" si="10"/>
        <v>3.8199999999999998E-2</v>
      </c>
      <c r="AD12" s="2">
        <f t="shared" si="3"/>
        <v>1.021543432955984</v>
      </c>
      <c r="AE12" s="2">
        <f t="shared" si="4"/>
        <v>1.1032523476090779</v>
      </c>
      <c r="AF12" s="2">
        <f t="shared" si="11"/>
        <v>1.0599363973663998</v>
      </c>
      <c r="AG12" s="2">
        <f t="shared" si="12"/>
        <v>8.6493544991601019E-3</v>
      </c>
    </row>
    <row r="13" spans="1:37">
      <c r="A13" s="6" t="s">
        <v>447</v>
      </c>
      <c r="B13" s="6" t="s">
        <v>452</v>
      </c>
      <c r="C13" s="6">
        <v>5</v>
      </c>
      <c r="D13" s="6">
        <v>16.34</v>
      </c>
      <c r="E13" s="6">
        <v>2.25</v>
      </c>
      <c r="F13" s="6">
        <v>1.32</v>
      </c>
      <c r="G13" s="6">
        <v>0.16</v>
      </c>
      <c r="H13" s="6">
        <v>5.26</v>
      </c>
      <c r="I13" s="6">
        <v>0.19</v>
      </c>
      <c r="J13" s="6">
        <f t="shared" si="0"/>
        <v>4.3237857983522954</v>
      </c>
      <c r="K13" s="6">
        <f t="shared" si="1"/>
        <v>1.3568307678566112</v>
      </c>
      <c r="L13" s="6">
        <f t="shared" si="2"/>
        <v>2.2024175319113382</v>
      </c>
      <c r="M13" s="6">
        <f t="shared" si="5"/>
        <v>0.11435052267045193</v>
      </c>
      <c r="N13" s="6">
        <f t="shared" si="6"/>
        <v>2.1831959447983014</v>
      </c>
      <c r="O13" s="6">
        <f t="shared" si="7"/>
        <v>7.0476502648481973E-2</v>
      </c>
      <c r="P13" s="6">
        <f t="shared" si="8"/>
        <v>64.61311056474166</v>
      </c>
      <c r="Q13" s="6">
        <f t="shared" si="9"/>
        <v>95.900578902039442</v>
      </c>
      <c r="R13" s="6">
        <v>170</v>
      </c>
      <c r="S13" s="6">
        <f t="shared" si="10"/>
        <v>1.7000000000000001E-2</v>
      </c>
      <c r="T13" s="6">
        <f>J13/J17-1</f>
        <v>-5.9297639608520525E-2</v>
      </c>
      <c r="U13" s="6">
        <f>K13/K17-1</f>
        <v>-0.68085106382978722</v>
      </c>
      <c r="V13" s="6">
        <f>L13/L17-1</f>
        <v>-0.38317757009345788</v>
      </c>
      <c r="W13" s="6">
        <f>U13/-0.61</f>
        <v>1.1161492849668644</v>
      </c>
      <c r="X13" s="6">
        <f>W13*0.0032</f>
        <v>3.5716777118939662E-3</v>
      </c>
      <c r="Y13" s="6">
        <f>W13*0.000044</f>
        <v>4.9110568538542033E-5</v>
      </c>
      <c r="Z13" s="6">
        <f>J17*(100-X13)/100</f>
        <v>4.5961736131493476</v>
      </c>
      <c r="AA13" s="6">
        <f>L17*(100-Y13)/100</f>
        <v>3.5705842451696608</v>
      </c>
      <c r="AB13" s="6">
        <f>Z13/AA13</f>
        <v>1.2872329281593395</v>
      </c>
      <c r="AC13" s="6">
        <f>AB13/AD17-1</f>
        <v>-3.5225688733153682E-5</v>
      </c>
      <c r="AD13" s="6">
        <f t="shared" si="3"/>
        <v>1.9631998636516286</v>
      </c>
      <c r="AE13" s="6">
        <f t="shared" si="4"/>
        <v>0.61606427854717627</v>
      </c>
      <c r="AF13" s="6">
        <f t="shared" si="11"/>
        <v>5.1920456050499372E-2</v>
      </c>
      <c r="AG13" s="6">
        <f t="shared" si="12"/>
        <v>7.718790716875007E-3</v>
      </c>
      <c r="AH13" s="6">
        <f>AD13/AD17-1</f>
        <v>0.52507806911951938</v>
      </c>
      <c r="AI13" s="6">
        <f>AE13/AE17-1</f>
        <v>-0.48259187620889754</v>
      </c>
      <c r="AJ13" s="6">
        <f>AF13/AF17-1</f>
        <v>-0.73798591980410166</v>
      </c>
      <c r="AK13" s="6">
        <f>AG13/AG17-1</f>
        <v>0.74434215573456064</v>
      </c>
    </row>
    <row r="14" spans="1:37">
      <c r="A14" s="6" t="s">
        <v>448</v>
      </c>
      <c r="B14" s="6" t="s">
        <v>452</v>
      </c>
      <c r="C14" s="6">
        <v>40</v>
      </c>
      <c r="D14" s="6">
        <v>17.93</v>
      </c>
      <c r="E14" s="6">
        <v>2.34</v>
      </c>
      <c r="F14" s="6">
        <v>1.59</v>
      </c>
      <c r="G14" s="6">
        <v>0.13</v>
      </c>
      <c r="H14" s="6">
        <v>6.03</v>
      </c>
      <c r="I14" s="6">
        <v>0.27</v>
      </c>
      <c r="J14" s="6">
        <f t="shared" si="0"/>
        <v>4.7445213809336995</v>
      </c>
      <c r="K14" s="6">
        <f t="shared" si="1"/>
        <v>1.4111039985708753</v>
      </c>
      <c r="L14" s="6">
        <f t="shared" si="2"/>
        <v>2.6529120270750206</v>
      </c>
      <c r="M14" s="6">
        <f t="shared" si="5"/>
        <v>9.2909799669742194E-2</v>
      </c>
      <c r="N14" s="6">
        <f t="shared" si="6"/>
        <v>2.5027892675159236</v>
      </c>
      <c r="O14" s="6">
        <f t="shared" si="7"/>
        <v>0.10015081955310597</v>
      </c>
      <c r="P14" s="6">
        <f t="shared" si="8"/>
        <v>63.767266581818035</v>
      </c>
      <c r="Q14" s="6">
        <f t="shared" si="9"/>
        <v>96.089976445622028</v>
      </c>
      <c r="R14" s="6">
        <v>182</v>
      </c>
      <c r="S14" s="6">
        <f t="shared" si="10"/>
        <v>1.8200000000000001E-2</v>
      </c>
      <c r="T14" s="6">
        <f>J14/J17-1</f>
        <v>3.2239493379389472E-2</v>
      </c>
      <c r="U14" s="6">
        <f>K14/K17-1</f>
        <v>-0.66808510638297869</v>
      </c>
      <c r="V14" s="6">
        <f>L14/L17-1</f>
        <v>-0.2570093457943925</v>
      </c>
      <c r="W14" s="6">
        <f>U14/-0.61</f>
        <v>1.0952214858737357</v>
      </c>
      <c r="X14" s="6">
        <f>W14*0.0032</f>
        <v>3.5047087547959545E-3</v>
      </c>
      <c r="Y14" s="6">
        <f>W14*0.000044</f>
        <v>4.8189745378444367E-5</v>
      </c>
      <c r="Z14" s="6">
        <f>J17*(100-X14)/100</f>
        <v>4.5961766912688233</v>
      </c>
      <c r="AA14" s="6">
        <f>L17*(100-Y14)/100</f>
        <v>3.5705842780484431</v>
      </c>
      <c r="AB14" s="6">
        <f>Z14/AA14</f>
        <v>1.2872337783834451</v>
      </c>
      <c r="AC14" s="6">
        <f>AB14/AD17-1</f>
        <v>-3.4565206751047128E-5</v>
      </c>
      <c r="AD14" s="6">
        <f>J14/L14</f>
        <v>1.7884201709337462</v>
      </c>
      <c r="AE14" s="6">
        <f>K14/L14</f>
        <v>0.53190757332676952</v>
      </c>
      <c r="AF14" s="6">
        <f t="shared" si="11"/>
        <v>3.5021817052931184E-2</v>
      </c>
      <c r="AG14" s="6">
        <f t="shared" si="12"/>
        <v>6.8603858003035588E-3</v>
      </c>
      <c r="AH14" s="6">
        <f>AD14/AD17-1</f>
        <v>0.38930346907666258</v>
      </c>
      <c r="AI14" s="6">
        <f>AE14/AE17-1</f>
        <v>-0.55327177840224817</v>
      </c>
      <c r="AJ14" s="6">
        <f>AF14/AF17-1</f>
        <v>-0.82326408741503077</v>
      </c>
      <c r="AK14" s="6">
        <f>AG14/AG17-1</f>
        <v>0.55035427115675506</v>
      </c>
    </row>
    <row r="15" spans="1:37">
      <c r="A15" s="6" t="s">
        <v>449</v>
      </c>
      <c r="B15" s="6" t="s">
        <v>453</v>
      </c>
      <c r="C15" s="6">
        <v>60</v>
      </c>
      <c r="D15" s="6">
        <v>20.100000000000001</v>
      </c>
      <c r="E15" s="6">
        <v>2.79</v>
      </c>
      <c r="F15" s="6">
        <v>2.62</v>
      </c>
      <c r="G15" s="6">
        <v>0.38</v>
      </c>
      <c r="H15" s="6">
        <v>6.96</v>
      </c>
      <c r="I15" s="6">
        <v>0.26</v>
      </c>
      <c r="J15" s="6">
        <f t="shared" si="0"/>
        <v>5.3187328364064346</v>
      </c>
      <c r="K15" s="6">
        <f t="shared" si="1"/>
        <v>1.6824701521421979</v>
      </c>
      <c r="L15" s="6">
        <f t="shared" si="2"/>
        <v>4.3714651012179582</v>
      </c>
      <c r="M15" s="6">
        <f t="shared" si="5"/>
        <v>0.27158249134232332</v>
      </c>
      <c r="N15" s="6">
        <f t="shared" si="6"/>
        <v>2.8887915923566876</v>
      </c>
      <c r="O15" s="6">
        <f t="shared" si="7"/>
        <v>9.644152994002797E-2</v>
      </c>
      <c r="P15" s="6">
        <f t="shared" si="8"/>
        <v>62.022072027104343</v>
      </c>
      <c r="Q15" s="6">
        <f t="shared" si="9"/>
        <v>93.528402383077719</v>
      </c>
      <c r="R15" s="6">
        <v>177</v>
      </c>
      <c r="S15" s="6">
        <f t="shared" si="10"/>
        <v>1.77E-2</v>
      </c>
      <c r="T15" s="6">
        <f>J15/J17-1</f>
        <v>0.15716753022452501</v>
      </c>
      <c r="U15" s="6">
        <f>K15/K17-1</f>
        <v>-0.60425531914893615</v>
      </c>
      <c r="V15" s="6">
        <f>L15/L17-1</f>
        <v>0.22429906542056077</v>
      </c>
      <c r="W15" s="6">
        <f>U15/-0.61</f>
        <v>0.9905824904080921</v>
      </c>
      <c r="X15" s="6">
        <f>W15*0.0032</f>
        <v>3.1698639693058949E-3</v>
      </c>
      <c r="Y15" s="6">
        <f>W15*0.000044</f>
        <v>4.3585629577956049E-5</v>
      </c>
      <c r="Z15" s="6">
        <f>J17*(100-X15)/100</f>
        <v>4.5961920818662012</v>
      </c>
      <c r="AA15" s="6">
        <f>L17*(100-Y15)/100</f>
        <v>3.5705844424423572</v>
      </c>
      <c r="AB15" s="6">
        <f>Z15/AA15</f>
        <v>1.2872380295037376</v>
      </c>
      <c r="AC15" s="6">
        <f>AB15/AD17-1</f>
        <v>-3.1262797023257072E-5</v>
      </c>
      <c r="AD15" s="6">
        <f>J15/L15</f>
        <v>1.216693422743911</v>
      </c>
      <c r="AE15" s="6">
        <f>K15/L15</f>
        <v>0.38487557676565587</v>
      </c>
      <c r="AF15" s="6">
        <f t="shared" si="11"/>
        <v>6.2126194548975402E-2</v>
      </c>
      <c r="AG15" s="6">
        <f t="shared" si="12"/>
        <v>4.0489857725430553E-3</v>
      </c>
      <c r="AH15" s="6">
        <f>AD15/AD17-1</f>
        <v>-5.4832627984548243E-2</v>
      </c>
      <c r="AI15" s="6">
        <f>AE15/AE17-1</f>
        <v>-0.67675816144226086</v>
      </c>
      <c r="AJ15" s="6">
        <f>AF15/AF17-1</f>
        <v>-0.68648315213200717</v>
      </c>
      <c r="AK15" s="6">
        <f>AG15/AG17-1</f>
        <v>-8.4984056430572941E-2</v>
      </c>
    </row>
    <row r="16" spans="1:37">
      <c r="A16" s="6" t="s">
        <v>450</v>
      </c>
      <c r="B16" s="6" t="s">
        <v>453</v>
      </c>
      <c r="C16" s="6">
        <v>80</v>
      </c>
      <c r="D16" s="6">
        <v>19.09</v>
      </c>
      <c r="E16" s="6">
        <v>2.48</v>
      </c>
      <c r="F16" s="6">
        <v>2.66</v>
      </c>
      <c r="G16" s="6">
        <v>0.34</v>
      </c>
      <c r="H16" s="6">
        <v>6.64</v>
      </c>
      <c r="I16" s="6">
        <v>0.24</v>
      </c>
      <c r="J16" s="6">
        <f t="shared" si="0"/>
        <v>5.0514731267163588</v>
      </c>
      <c r="K16" s="6">
        <f t="shared" si="1"/>
        <v>1.4955290241263979</v>
      </c>
      <c r="L16" s="6">
        <f t="shared" si="2"/>
        <v>4.4382050264273936</v>
      </c>
      <c r="M16" s="6">
        <f t="shared" si="5"/>
        <v>0.24299486067471038</v>
      </c>
      <c r="N16" s="6">
        <f t="shared" si="6"/>
        <v>2.755973588110403</v>
      </c>
      <c r="O16" s="6">
        <f t="shared" si="7"/>
        <v>8.9022950713871965E-2</v>
      </c>
      <c r="P16" s="6">
        <f t="shared" si="8"/>
        <v>62.061492011504249</v>
      </c>
      <c r="Q16" s="6">
        <f t="shared" si="9"/>
        <v>93.832667033234443</v>
      </c>
      <c r="R16" s="6">
        <v>181</v>
      </c>
      <c r="S16" s="6">
        <f t="shared" si="10"/>
        <v>1.8100000000000002E-2</v>
      </c>
      <c r="T16" s="6">
        <f>J16/J17-1</f>
        <v>9.9021301093839664E-2</v>
      </c>
      <c r="U16" s="6">
        <f>K16/K17-1</f>
        <v>-0.64822695035460987</v>
      </c>
      <c r="V16" s="6">
        <f>L16/L17-1</f>
        <v>0.24299065420560773</v>
      </c>
      <c r="W16" s="6">
        <f>U16/-0.61</f>
        <v>1.0626671317288687</v>
      </c>
      <c r="X16" s="6">
        <f>W16*0.0032</f>
        <v>3.4005348215323801E-3</v>
      </c>
      <c r="Y16" s="6">
        <f>W16*0.000044</f>
        <v>4.6757353796070226E-5</v>
      </c>
      <c r="Z16" s="6">
        <f>J17*(100-X16)/100</f>
        <v>4.5961814794546738</v>
      </c>
      <c r="AA16" s="6">
        <f>L17*(100-Y16)/100</f>
        <v>3.5705843291932164</v>
      </c>
      <c r="AB16" s="6">
        <f>Z16/AA16</f>
        <v>1.2872351009542446</v>
      </c>
      <c r="AC16" s="6">
        <f>AB16/AD17-1</f>
        <v>-3.3537790358750819E-5</v>
      </c>
      <c r="AD16" s="6">
        <f>J16/L16</f>
        <v>1.1381793082197074</v>
      </c>
      <c r="AE16" s="6">
        <f>K16/L16</f>
        <v>0.33696708809557829</v>
      </c>
      <c r="AF16" s="6">
        <f t="shared" si="11"/>
        <v>5.4750706474304793E-2</v>
      </c>
      <c r="AG16" s="6">
        <f t="shared" si="12"/>
        <v>4.0782252942852208E-3</v>
      </c>
      <c r="AH16" s="6">
        <f>AD16/AD17-1</f>
        <v>-0.11582496829292621</v>
      </c>
      <c r="AI16" s="6">
        <f>AE16/AE17-1</f>
        <v>-0.71699461419506216</v>
      </c>
      <c r="AJ16" s="6">
        <f>AF16/AF17-1</f>
        <v>-0.72370319738740796</v>
      </c>
      <c r="AK16" s="6">
        <f>AG16/AG17-1</f>
        <v>-7.837632054820598E-2</v>
      </c>
    </row>
    <row r="17" spans="1:34" s="2" customFormat="1">
      <c r="A17" s="2" t="s">
        <v>451</v>
      </c>
      <c r="B17" s="2" t="s">
        <v>42</v>
      </c>
      <c r="C17" s="2">
        <v>120</v>
      </c>
      <c r="D17" s="2">
        <v>17.37</v>
      </c>
      <c r="E17" s="2">
        <v>7.05</v>
      </c>
      <c r="F17" s="2">
        <v>2.14</v>
      </c>
      <c r="G17" s="2">
        <v>0.99</v>
      </c>
      <c r="H17" s="2">
        <v>0.3</v>
      </c>
      <c r="I17" s="2">
        <v>5.59</v>
      </c>
      <c r="J17" s="2">
        <f t="shared" si="0"/>
        <v>4.5963377795213818</v>
      </c>
      <c r="K17" s="2">
        <f t="shared" si="1"/>
        <v>4.2514030726173813</v>
      </c>
      <c r="L17" s="2">
        <f t="shared" si="2"/>
        <v>3.5705859987047446</v>
      </c>
      <c r="M17" s="2">
        <f t="shared" si="5"/>
        <v>0.70754385902342132</v>
      </c>
      <c r="N17" s="2">
        <f t="shared" si="6"/>
        <v>0.12451687898089171</v>
      </c>
      <c r="O17" s="2">
        <f t="shared" si="7"/>
        <v>2.0734928937106014</v>
      </c>
      <c r="R17" s="2">
        <v>158</v>
      </c>
      <c r="S17" s="2">
        <f t="shared" si="10"/>
        <v>1.5800000000000002E-2</v>
      </c>
      <c r="AD17" s="2">
        <f>J17/L17</f>
        <v>1.2872782734231121</v>
      </c>
      <c r="AE17" s="2">
        <f>K17/L17</f>
        <v>1.1906737645192156</v>
      </c>
      <c r="AF17" s="2">
        <f t="shared" si="11"/>
        <v>0.19815903027684753</v>
      </c>
      <c r="AG17" s="2">
        <f t="shared" si="12"/>
        <v>4.425043957975403E-3</v>
      </c>
    </row>
    <row r="18" spans="1:34">
      <c r="AB18" s="39"/>
      <c r="AE18" s="39"/>
      <c r="AF18" s="39"/>
      <c r="AG18" s="39" t="s">
        <v>97</v>
      </c>
      <c r="AH18" s="6">
        <f>_xlfn.VAR.P(AH3:AH7,AH9:AH11,AH13:AH16)</f>
        <v>0.22808679473339943</v>
      </c>
    </row>
    <row r="19" spans="1:34">
      <c r="AG19" s="39" t="s">
        <v>98</v>
      </c>
      <c r="AH19" s="6">
        <f>AVERAGE(AH3:AH7,AH9:AH11,AH13:AH16)</f>
        <v>0.46168466741774966</v>
      </c>
    </row>
  </sheetData>
  <phoneticPr fontId="22" type="noConversion"/>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8"/>
  <sheetViews>
    <sheetView topLeftCell="A19" zoomScale="60" zoomScaleNormal="60" workbookViewId="0">
      <selection activeCell="K41" sqref="K41"/>
    </sheetView>
  </sheetViews>
  <sheetFormatPr defaultRowHeight="14.5"/>
  <cols>
    <col min="1" max="1" width="12.26953125" style="6" customWidth="1"/>
    <col min="2" max="2" width="11.1796875" style="6" customWidth="1"/>
    <col min="3" max="3" width="7.26953125" style="6" customWidth="1"/>
    <col min="4" max="23" width="8.7265625" style="6"/>
    <col min="24" max="24" width="13.26953125" style="6" customWidth="1"/>
    <col min="25" max="26" width="12.54296875" style="6" customWidth="1"/>
    <col min="27" max="27" width="17.90625" style="6" customWidth="1"/>
    <col min="28" max="29" width="20" style="6" customWidth="1"/>
    <col min="30" max="31" width="11.90625" style="6" customWidth="1"/>
    <col min="32" max="32" width="13.81640625" style="6" customWidth="1"/>
    <col min="33" max="33" width="18.36328125" style="6" customWidth="1"/>
    <col min="34" max="41" width="8.7265625" style="6"/>
    <col min="42" max="42" width="11" style="6" customWidth="1"/>
    <col min="43" max="43" width="12.90625" style="6" customWidth="1"/>
    <col min="44" max="44" width="11.08984375" style="6" customWidth="1"/>
    <col min="45" max="16384" width="8.7265625" style="6"/>
  </cols>
  <sheetData>
    <row r="1" spans="1:47">
      <c r="A1" s="81" t="s">
        <v>190</v>
      </c>
      <c r="B1" s="81"/>
      <c r="C1" s="81"/>
      <c r="D1" s="81"/>
      <c r="E1" s="81"/>
      <c r="F1" s="81"/>
      <c r="G1" s="81"/>
      <c r="H1" s="81"/>
      <c r="I1" s="81"/>
      <c r="J1" s="81"/>
      <c r="K1" s="81"/>
      <c r="L1" s="81"/>
      <c r="M1" s="81"/>
      <c r="N1" s="81"/>
      <c r="O1" s="81"/>
      <c r="P1" s="81"/>
      <c r="Q1" s="81"/>
      <c r="R1" s="81"/>
      <c r="S1" s="87"/>
    </row>
    <row r="2" spans="1:47">
      <c r="A2" s="1" t="s">
        <v>196</v>
      </c>
      <c r="B2" s="1" t="s">
        <v>20</v>
      </c>
      <c r="C2" s="1" t="s">
        <v>1</v>
      </c>
      <c r="D2" s="1" t="s">
        <v>2</v>
      </c>
      <c r="E2" s="1" t="s">
        <v>3</v>
      </c>
      <c r="F2" s="1" t="s">
        <v>48</v>
      </c>
      <c r="G2" s="1" t="s">
        <v>49</v>
      </c>
      <c r="H2" s="1" t="s">
        <v>50</v>
      </c>
      <c r="I2" s="1" t="s">
        <v>4</v>
      </c>
      <c r="J2" s="1" t="s">
        <v>5</v>
      </c>
      <c r="K2" s="1" t="s">
        <v>6</v>
      </c>
      <c r="L2" s="1" t="s">
        <v>45</v>
      </c>
      <c r="M2" s="1" t="s">
        <v>46</v>
      </c>
      <c r="N2" s="1" t="s">
        <v>47</v>
      </c>
      <c r="O2" s="1" t="s">
        <v>51</v>
      </c>
      <c r="P2" s="1" t="s">
        <v>52</v>
      </c>
      <c r="Q2" s="1" t="s">
        <v>110</v>
      </c>
      <c r="R2" s="1" t="s">
        <v>109</v>
      </c>
      <c r="S2" s="1" t="s">
        <v>378</v>
      </c>
      <c r="T2" s="1" t="s">
        <v>108</v>
      </c>
      <c r="U2" s="1" t="s">
        <v>120</v>
      </c>
      <c r="V2" s="1" t="s">
        <v>121</v>
      </c>
      <c r="W2" s="1" t="s">
        <v>122</v>
      </c>
      <c r="X2" s="1" t="s">
        <v>7</v>
      </c>
      <c r="Y2" s="1" t="s">
        <v>8</v>
      </c>
      <c r="Z2" s="1" t="s">
        <v>9</v>
      </c>
      <c r="AA2" s="1" t="s">
        <v>10</v>
      </c>
      <c r="AB2" s="1" t="s">
        <v>11</v>
      </c>
      <c r="AC2" s="1" t="s">
        <v>12</v>
      </c>
      <c r="AD2" s="1" t="s">
        <v>13</v>
      </c>
      <c r="AE2" s="1" t="s">
        <v>14</v>
      </c>
      <c r="AF2" s="1" t="s">
        <v>15</v>
      </c>
      <c r="AG2" s="1" t="s">
        <v>460</v>
      </c>
      <c r="AH2" s="1" t="s">
        <v>16</v>
      </c>
      <c r="AI2" s="1" t="s">
        <v>17</v>
      </c>
      <c r="AJ2" s="1" t="s">
        <v>107</v>
      </c>
      <c r="AK2" s="1" t="s">
        <v>134</v>
      </c>
      <c r="AL2" s="1" t="s">
        <v>136</v>
      </c>
      <c r="AM2" s="1" t="s">
        <v>135</v>
      </c>
      <c r="AN2" s="1" t="s">
        <v>106</v>
      </c>
      <c r="AO2" s="1" t="s">
        <v>459</v>
      </c>
      <c r="AP2" s="1" t="s">
        <v>461</v>
      </c>
      <c r="AQ2" s="1" t="s">
        <v>462</v>
      </c>
      <c r="AR2" s="1" t="s">
        <v>465</v>
      </c>
      <c r="AS2" s="1" t="s">
        <v>464</v>
      </c>
      <c r="AT2" s="1" t="s">
        <v>463</v>
      </c>
      <c r="AU2" s="1" t="s">
        <v>466</v>
      </c>
    </row>
    <row r="3" spans="1:47">
      <c r="A3" s="6" t="s">
        <v>240</v>
      </c>
      <c r="B3" s="6">
        <v>0.02</v>
      </c>
      <c r="C3" s="6">
        <v>20.41</v>
      </c>
      <c r="D3" s="6">
        <v>1.25</v>
      </c>
      <c r="E3" s="6">
        <v>0.77</v>
      </c>
      <c r="F3" s="6">
        <v>0.49</v>
      </c>
      <c r="G3" s="6">
        <v>7.18</v>
      </c>
      <c r="H3" s="6">
        <v>0.21</v>
      </c>
      <c r="I3" s="6">
        <f t="shared" ref="I3:I16" si="0">C3*26.98/101.96</f>
        <v>5.4007630443311099</v>
      </c>
      <c r="J3" s="6">
        <f t="shared" ref="J3:J16" si="1">D3*24.305/40.3044</f>
        <v>0.75379487103145071</v>
      </c>
      <c r="K3" s="6">
        <f>E3*47.867/79.866</f>
        <v>0.46149287556657403</v>
      </c>
      <c r="L3" s="6">
        <f>F3*40.078/56.0774</f>
        <v>0.35019847567825901</v>
      </c>
      <c r="M3" s="6">
        <f>G3*39.0983/94.2</f>
        <v>2.9801039702760086</v>
      </c>
      <c r="N3" s="6">
        <f>H3*22.989769/61.9789</f>
        <v>7.7895081874637964E-2</v>
      </c>
      <c r="O3" s="6">
        <f>100*(I3/(I3+L3+M3+N3))</f>
        <v>61.309878731887736</v>
      </c>
      <c r="P3" s="6">
        <f>100*(I3/(I3+L3+N3))</f>
        <v>92.655616928120551</v>
      </c>
      <c r="Q3" s="6">
        <v>166</v>
      </c>
      <c r="R3" s="6">
        <v>16.7</v>
      </c>
      <c r="S3" s="6">
        <v>261</v>
      </c>
      <c r="T3" s="6">
        <v>61.4</v>
      </c>
      <c r="U3" s="6">
        <f>Q3/10000</f>
        <v>1.66E-2</v>
      </c>
      <c r="V3" s="6">
        <f>R3/10000</f>
        <v>1.6699999999999998E-3</v>
      </c>
      <c r="W3" s="6">
        <f>T3/10000</f>
        <v>6.1399999999999996E-3</v>
      </c>
      <c r="X3" s="6">
        <f>(I3/I16-1)*100</f>
        <v>40.27491408934705</v>
      </c>
      <c r="Y3" s="6">
        <f>(J3/J16-1)*100</f>
        <v>-13.19444444444442</v>
      </c>
      <c r="Z3" s="6">
        <f>(K3/K16-1)*100</f>
        <v>126.47058823529416</v>
      </c>
      <c r="AA3" s="6">
        <f>Y3/-0.13</f>
        <v>101.4957264957263</v>
      </c>
      <c r="AB3" s="6">
        <f>AA3*0.0018</f>
        <v>0.18269230769230735</v>
      </c>
      <c r="AC3" s="6">
        <f>AA3*0.00015</f>
        <v>1.5224358974358945E-2</v>
      </c>
      <c r="AD3" s="6">
        <f>I16*(100-AB3)/100</f>
        <v>3.8430936142001393</v>
      </c>
      <c r="AE3" s="6">
        <f>K16*(100-AC3)/100</f>
        <v>0.20374505132434964</v>
      </c>
      <c r="AF3" s="6">
        <f t="shared" ref="AF3:AF15" si="2">AD3/AE3</f>
        <v>18.86226727579346</v>
      </c>
      <c r="AG3" s="6">
        <f>AF3/AH16-1</f>
        <v>-1.6749344852181602E-3</v>
      </c>
      <c r="AH3" s="6">
        <f t="shared" ref="AH3:AH16" si="3">I3/K3</f>
        <v>11.702809144562854</v>
      </c>
      <c r="AI3" s="6">
        <f t="shared" ref="AI3:AI11" si="4">J3/K3</f>
        <v>1.6333835492173481</v>
      </c>
      <c r="AJ3" s="6">
        <f>L3/K3</f>
        <v>0.75883831413068059</v>
      </c>
      <c r="AK3" s="6">
        <f>U3/K3</f>
        <v>3.5970219431058839E-2</v>
      </c>
      <c r="AL3" s="6">
        <f>V3/K3</f>
        <v>3.6186907499920636E-3</v>
      </c>
      <c r="AM3" s="6">
        <f>W3/K3</f>
        <v>1.3304647428114533E-2</v>
      </c>
      <c r="AN3" s="6">
        <f>W3/V3</f>
        <v>3.6766467065868267</v>
      </c>
      <c r="AO3" s="6">
        <f t="shared" ref="AO3:AU3" si="5">AH3/AH16-1</f>
        <v>-0.3806042754496366</v>
      </c>
      <c r="AP3" s="6">
        <f t="shared" si="5"/>
        <v>-0.61670274170274175</v>
      </c>
      <c r="AQ3" s="6">
        <f t="shared" si="5"/>
        <v>-0.91788856304985345</v>
      </c>
      <c r="AR3" s="6">
        <f t="shared" si="5"/>
        <v>-0.3244359327308638</v>
      </c>
      <c r="AS3" s="6">
        <f t="shared" si="5"/>
        <v>0.44588744588744555</v>
      </c>
      <c r="AT3" s="6">
        <f t="shared" si="5"/>
        <v>-0.40544543176122139</v>
      </c>
      <c r="AU3" s="6">
        <f t="shared" si="5"/>
        <v>-0.58879609202647332</v>
      </c>
    </row>
    <row r="4" spans="1:47">
      <c r="A4" s="6" t="s">
        <v>240</v>
      </c>
      <c r="B4" s="6">
        <v>0.15</v>
      </c>
      <c r="C4" s="6">
        <v>20.14</v>
      </c>
      <c r="D4" s="6">
        <v>1.55</v>
      </c>
      <c r="E4" s="6">
        <v>0.77</v>
      </c>
      <c r="F4" s="6">
        <v>0.63</v>
      </c>
      <c r="G4" s="6">
        <v>6.9</v>
      </c>
      <c r="H4" s="6">
        <v>0.16</v>
      </c>
      <c r="I4" s="6">
        <f t="shared" si="0"/>
        <v>5.3293173793644568</v>
      </c>
      <c r="J4" s="6">
        <f t="shared" si="1"/>
        <v>0.93470564007899881</v>
      </c>
      <c r="K4" s="6">
        <f t="shared" ref="K4:K16" si="6">E4*47.867/79.866</f>
        <v>0.46149287556657403</v>
      </c>
      <c r="L4" s="6">
        <f t="shared" ref="L4:L16" si="7">F4*40.078/56.0774</f>
        <v>0.45025518301490441</v>
      </c>
      <c r="M4" s="6">
        <f t="shared" ref="M4:M16" si="8">G4*39.0983/94.2</f>
        <v>2.8638882165605097</v>
      </c>
      <c r="N4" s="6">
        <f t="shared" ref="N4:N16" si="9">H4*22.989769/61.9789</f>
        <v>5.9348633809247979E-2</v>
      </c>
      <c r="O4" s="6">
        <f t="shared" ref="O4:O15" si="10">100*(I4/(I4+L4+M4+N4))</f>
        <v>61.236746969976288</v>
      </c>
      <c r="P4" s="6">
        <f t="shared" ref="P4:P15" si="11">100*(I4/(I4+L4+N4))</f>
        <v>91.272295006193971</v>
      </c>
      <c r="Q4" s="6">
        <v>180</v>
      </c>
      <c r="R4" s="6">
        <v>12.5</v>
      </c>
      <c r="S4" s="6">
        <v>284</v>
      </c>
      <c r="T4" s="6">
        <v>66.599999999999994</v>
      </c>
      <c r="U4" s="6">
        <f t="shared" ref="U4:U16" si="12">Q4/10000</f>
        <v>1.7999999999999999E-2</v>
      </c>
      <c r="V4" s="6">
        <f t="shared" ref="V4:V16" si="13">R4/10000</f>
        <v>1.25E-3</v>
      </c>
      <c r="W4" s="6">
        <f t="shared" ref="W4:W16" si="14">T4/10000</f>
        <v>6.6599999999999993E-3</v>
      </c>
      <c r="X4" s="6">
        <f>(I4/I16-1)*100</f>
        <v>38.419243986254273</v>
      </c>
      <c r="Y4" s="6">
        <f>(J4/J16-1)*100</f>
        <v>7.6388888888889062</v>
      </c>
      <c r="Z4" s="6">
        <f>(K4/K16-1)*100</f>
        <v>126.47058823529416</v>
      </c>
      <c r="AA4" s="6">
        <f t="shared" ref="AA4:AA15" si="15">Y4/-0.13</f>
        <v>-58.760683760683889</v>
      </c>
      <c r="AB4" s="6">
        <f t="shared" ref="AB4:AB15" si="16">AA4*0.0018</f>
        <v>-0.105769230769231</v>
      </c>
      <c r="AC4" s="6">
        <f t="shared" ref="AC4:AC15" si="17">AA4*0.00015</f>
        <v>-8.8141025641025831E-3</v>
      </c>
      <c r="AD4" s="6">
        <f>I16*(100-AB4)/100</f>
        <v>3.854199751222199</v>
      </c>
      <c r="AE4" s="6">
        <f>K16*(100-AC4)/100</f>
        <v>0.20379403595774523</v>
      </c>
      <c r="AF4" s="6">
        <f t="shared" si="2"/>
        <v>18.912230346237074</v>
      </c>
      <c r="AG4" s="6">
        <f>AF4/AH16-1</f>
        <v>9.6946583233825656E-4</v>
      </c>
      <c r="AH4" s="6">
        <f t="shared" si="3"/>
        <v>11.547994912861142</v>
      </c>
      <c r="AI4" s="6">
        <f t="shared" si="4"/>
        <v>2.0253956010295115</v>
      </c>
      <c r="AJ4" s="6">
        <f t="shared" ref="AJ4:AJ16" si="18">L4/K4</f>
        <v>0.9756492610251607</v>
      </c>
      <c r="AK4" s="6">
        <f t="shared" ref="AK4:AK16" si="19">U4/K4</f>
        <v>3.9003852395124036E-2</v>
      </c>
      <c r="AL4" s="6">
        <f t="shared" ref="AL4:AL16" si="20">V4/K4</f>
        <v>2.708600860772503E-3</v>
      </c>
      <c r="AM4" s="6">
        <f t="shared" ref="AM4:AM16" si="21">W4/K4</f>
        <v>1.4431425386195894E-2</v>
      </c>
      <c r="AN4" s="6">
        <f t="shared" ref="AN4:AN16" si="22">W4/V4</f>
        <v>5.3279999999999994</v>
      </c>
      <c r="AO4" s="6">
        <f t="shared" ref="AO4:AU4" si="23">AH4/AH16-1</f>
        <v>-0.38879814343731889</v>
      </c>
      <c r="AP4" s="6">
        <f t="shared" si="23"/>
        <v>-0.52471139971139968</v>
      </c>
      <c r="AQ4" s="6">
        <f t="shared" si="23"/>
        <v>-0.89442815249266872</v>
      </c>
      <c r="AR4" s="6">
        <f t="shared" si="23"/>
        <v>-0.26746064994912955</v>
      </c>
      <c r="AS4" s="6">
        <f t="shared" si="23"/>
        <v>8.2251082251082019E-2</v>
      </c>
      <c r="AT4" s="6">
        <f t="shared" si="23"/>
        <v>-0.3550922761449079</v>
      </c>
      <c r="AU4" s="6">
        <f t="shared" si="23"/>
        <v>-0.40410526315789486</v>
      </c>
    </row>
    <row r="5" spans="1:47">
      <c r="A5" s="6" t="s">
        <v>240</v>
      </c>
      <c r="B5" s="6">
        <v>0.4</v>
      </c>
      <c r="C5" s="6">
        <v>18.86</v>
      </c>
      <c r="D5" s="6">
        <v>1.1100000000000001</v>
      </c>
      <c r="E5" s="6">
        <v>0.77</v>
      </c>
      <c r="F5" s="6">
        <v>0.73</v>
      </c>
      <c r="G5" s="6">
        <v>6.53</v>
      </c>
      <c r="H5" s="6">
        <v>0.24</v>
      </c>
      <c r="I5" s="6">
        <f t="shared" si="0"/>
        <v>4.9906120047077289</v>
      </c>
      <c r="J5" s="6">
        <f t="shared" si="1"/>
        <v>0.66936984547592826</v>
      </c>
      <c r="K5" s="6">
        <f t="shared" si="6"/>
        <v>0.46149287556657403</v>
      </c>
      <c r="L5" s="6">
        <f t="shared" si="7"/>
        <v>0.52172425968393688</v>
      </c>
      <c r="M5" s="6">
        <f t="shared" si="8"/>
        <v>2.710317399150743</v>
      </c>
      <c r="N5" s="6">
        <f t="shared" si="9"/>
        <v>8.9022950713871965E-2</v>
      </c>
      <c r="O5" s="6">
        <f t="shared" si="10"/>
        <v>60.043385183535356</v>
      </c>
      <c r="P5" s="6">
        <f t="shared" si="11"/>
        <v>89.096446291986268</v>
      </c>
      <c r="Q5" s="6">
        <v>156</v>
      </c>
      <c r="R5" s="6">
        <v>19.899999999999999</v>
      </c>
      <c r="S5" s="6">
        <v>276</v>
      </c>
      <c r="T5" s="6">
        <v>69.5</v>
      </c>
      <c r="U5" s="6">
        <f t="shared" si="12"/>
        <v>1.5599999999999999E-2</v>
      </c>
      <c r="V5" s="6">
        <f t="shared" si="13"/>
        <v>1.99E-3</v>
      </c>
      <c r="W5" s="6">
        <f t="shared" si="14"/>
        <v>6.9499999999999996E-3</v>
      </c>
      <c r="X5" s="6">
        <f>(I5/I16-1)*100</f>
        <v>29.62199312714775</v>
      </c>
      <c r="Y5" s="6">
        <f>(J5/J16-1)*100</f>
        <v>-22.916666666666639</v>
      </c>
      <c r="Z5" s="6">
        <f>(K5/K16-1)*100</f>
        <v>126.47058823529416</v>
      </c>
      <c r="AA5" s="6">
        <f t="shared" si="15"/>
        <v>176.28205128205107</v>
      </c>
      <c r="AB5" s="6">
        <f t="shared" si="16"/>
        <v>0.3173076923076919</v>
      </c>
      <c r="AC5" s="6">
        <f t="shared" si="17"/>
        <v>2.6442307692307657E-2</v>
      </c>
      <c r="AD5" s="6">
        <f>I16*(100-AB5)/100</f>
        <v>3.8379107502565115</v>
      </c>
      <c r="AE5" s="6">
        <f>K16*(100-AC5)/100</f>
        <v>0.20372219182876505</v>
      </c>
      <c r="AF5" s="6">
        <f t="shared" si="2"/>
        <v>18.838942953659153</v>
      </c>
      <c r="AG5" s="6">
        <f>AF5/AH16-1</f>
        <v>-2.9094231647790458E-3</v>
      </c>
      <c r="AH5" s="6">
        <f t="shared" si="3"/>
        <v>10.814060777386352</v>
      </c>
      <c r="AI5" s="6">
        <f t="shared" si="4"/>
        <v>1.4504445917050053</v>
      </c>
      <c r="AJ5" s="6">
        <f t="shared" si="18"/>
        <v>1.1305142230926466</v>
      </c>
      <c r="AK5" s="6">
        <f t="shared" si="19"/>
        <v>3.3803338742440833E-2</v>
      </c>
      <c r="AL5" s="6">
        <f t="shared" si="20"/>
        <v>4.3120925703498247E-3</v>
      </c>
      <c r="AM5" s="6">
        <f t="shared" si="21"/>
        <v>1.5059820785895114E-2</v>
      </c>
      <c r="AN5" s="6">
        <f t="shared" si="22"/>
        <v>3.4924623115577886</v>
      </c>
      <c r="AO5" s="6">
        <f t="shared" ref="AO5:AU5" si="24">AH5/AH16-1</f>
        <v>-0.42764314723077634</v>
      </c>
      <c r="AP5" s="6">
        <f t="shared" si="24"/>
        <v>-0.65963203463203457</v>
      </c>
      <c r="AQ5" s="6">
        <f t="shared" si="24"/>
        <v>-0.87767071638039384</v>
      </c>
      <c r="AR5" s="6">
        <f t="shared" si="24"/>
        <v>-0.36513256328924548</v>
      </c>
      <c r="AS5" s="6">
        <f t="shared" si="24"/>
        <v>0.72294372294372278</v>
      </c>
      <c r="AT5" s="6">
        <f t="shared" si="24"/>
        <v>-0.3270107085896562</v>
      </c>
      <c r="AU5" s="6">
        <f t="shared" si="24"/>
        <v>-0.60939566252314203</v>
      </c>
    </row>
    <row r="6" spans="1:47">
      <c r="A6" s="6" t="s">
        <v>455</v>
      </c>
      <c r="B6" s="6">
        <v>1.83</v>
      </c>
      <c r="C6" s="6">
        <v>17.100000000000001</v>
      </c>
      <c r="D6" s="6">
        <v>2.54</v>
      </c>
      <c r="E6" s="6">
        <v>0.99</v>
      </c>
      <c r="F6" s="6">
        <v>0.53</v>
      </c>
      <c r="G6" s="6">
        <v>6.59</v>
      </c>
      <c r="H6" s="6">
        <v>0.36</v>
      </c>
      <c r="I6" s="6">
        <f t="shared" si="0"/>
        <v>4.5248921145547278</v>
      </c>
      <c r="J6" s="6">
        <f t="shared" si="1"/>
        <v>1.5317111779359078</v>
      </c>
      <c r="K6" s="6">
        <f t="shared" si="6"/>
        <v>0.59334798287130941</v>
      </c>
      <c r="L6" s="6">
        <f t="shared" si="7"/>
        <v>0.37878610634587201</v>
      </c>
      <c r="M6" s="6">
        <f t="shared" si="8"/>
        <v>2.7352207749469217</v>
      </c>
      <c r="N6" s="6">
        <f t="shared" si="9"/>
        <v>0.13353442607080795</v>
      </c>
      <c r="O6" s="6">
        <f t="shared" si="10"/>
        <v>58.217187191266163</v>
      </c>
      <c r="P6" s="6">
        <f t="shared" si="11"/>
        <v>89.829285195559294</v>
      </c>
      <c r="Q6" s="6">
        <v>208</v>
      </c>
      <c r="R6" s="6">
        <v>14.2</v>
      </c>
      <c r="S6" s="6">
        <v>340</v>
      </c>
      <c r="T6" s="6">
        <v>93</v>
      </c>
      <c r="U6" s="6">
        <f t="shared" si="12"/>
        <v>2.0799999999999999E-2</v>
      </c>
      <c r="V6" s="6">
        <f t="shared" si="13"/>
        <v>1.4199999999999998E-3</v>
      </c>
      <c r="W6" s="6">
        <f t="shared" si="14"/>
        <v>9.2999999999999992E-3</v>
      </c>
      <c r="X6" s="6">
        <f>(I6/I16-1)*100</f>
        <v>17.525773195876294</v>
      </c>
      <c r="Y6" s="6">
        <f>(J6/J16-1)*100</f>
        <v>76.388888888888928</v>
      </c>
      <c r="Z6" s="6">
        <f>(K6/K16-1)*100</f>
        <v>191.17647058823533</v>
      </c>
      <c r="AA6" s="6">
        <f t="shared" si="15"/>
        <v>-587.60683760683787</v>
      </c>
      <c r="AB6" s="6">
        <f t="shared" si="16"/>
        <v>-1.0576923076923082</v>
      </c>
      <c r="AC6" s="6">
        <f t="shared" si="17"/>
        <v>-8.8141025641025675E-2</v>
      </c>
      <c r="AD6" s="6">
        <f>I16*(100-AB6)/100</f>
        <v>3.8908500033949966</v>
      </c>
      <c r="AE6" s="6">
        <f>K16*(100-AC6)/100</f>
        <v>0.20395568524795052</v>
      </c>
      <c r="AF6" s="6">
        <f t="shared" si="2"/>
        <v>19.076938201868998</v>
      </c>
      <c r="AG6" s="6">
        <f>AF6/AH16-1</f>
        <v>9.6869746217274066E-3</v>
      </c>
      <c r="AH6" s="6">
        <f t="shared" si="3"/>
        <v>7.6260343764177367</v>
      </c>
      <c r="AI6" s="6">
        <f t="shared" si="4"/>
        <v>2.581471956007507</v>
      </c>
      <c r="AJ6" s="6">
        <f t="shared" si="18"/>
        <v>0.63838778807819174</v>
      </c>
      <c r="AK6" s="6">
        <f t="shared" si="19"/>
        <v>3.5055314251420132E-2</v>
      </c>
      <c r="AL6" s="6">
        <f t="shared" si="20"/>
        <v>2.3931993383181048E-3</v>
      </c>
      <c r="AM6" s="6">
        <f t="shared" si="21"/>
        <v>1.5673770314336883E-2</v>
      </c>
      <c r="AN6" s="6">
        <f t="shared" si="22"/>
        <v>6.5492957746478879</v>
      </c>
      <c r="AO6" s="6">
        <f t="shared" ref="AO6:AU6" si="25">AH6/AH16-1</f>
        <v>-0.59637613245860677</v>
      </c>
      <c r="AP6" s="6">
        <f t="shared" si="25"/>
        <v>-0.39421997755331073</v>
      </c>
      <c r="AQ6" s="6">
        <f t="shared" si="25"/>
        <v>-0.93092212447051159</v>
      </c>
      <c r="AR6" s="6">
        <f t="shared" si="25"/>
        <v>-0.34161895452218038</v>
      </c>
      <c r="AS6" s="6">
        <f t="shared" si="25"/>
        <v>-4.3771043771043905E-2</v>
      </c>
      <c r="AT6" s="6">
        <f t="shared" si="25"/>
        <v>-0.2995746943115366</v>
      </c>
      <c r="AU6" s="6">
        <f t="shared" si="25"/>
        <v>-0.26751297257227569</v>
      </c>
    </row>
    <row r="7" spans="1:47">
      <c r="A7" s="6" t="s">
        <v>455</v>
      </c>
      <c r="B7" s="6">
        <v>3.05</v>
      </c>
      <c r="C7" s="6">
        <v>18.2</v>
      </c>
      <c r="D7" s="6">
        <v>2.48</v>
      </c>
      <c r="E7" s="6">
        <v>0.85</v>
      </c>
      <c r="F7" s="6">
        <v>0.53</v>
      </c>
      <c r="G7" s="6">
        <v>6.7</v>
      </c>
      <c r="H7" s="6">
        <v>0.33</v>
      </c>
      <c r="I7" s="6">
        <f t="shared" si="0"/>
        <v>4.8159670459003534</v>
      </c>
      <c r="J7" s="6">
        <f t="shared" si="1"/>
        <v>1.4955290241263979</v>
      </c>
      <c r="K7" s="6">
        <f t="shared" si="6"/>
        <v>0.50944018731375051</v>
      </c>
      <c r="L7" s="6">
        <f t="shared" si="7"/>
        <v>0.37878610634587201</v>
      </c>
      <c r="M7" s="6">
        <f t="shared" si="8"/>
        <v>2.7808769639065818</v>
      </c>
      <c r="N7" s="6">
        <f t="shared" si="9"/>
        <v>0.12240655723157397</v>
      </c>
      <c r="O7" s="6">
        <f t="shared" si="10"/>
        <v>59.47079817172073</v>
      </c>
      <c r="P7" s="6">
        <f t="shared" si="11"/>
        <v>90.574052859761323</v>
      </c>
      <c r="Q7" s="6">
        <v>215</v>
      </c>
      <c r="R7" s="6">
        <v>25.6</v>
      </c>
      <c r="S7" s="6">
        <v>338</v>
      </c>
      <c r="T7" s="6">
        <v>107</v>
      </c>
      <c r="U7" s="6">
        <f t="shared" si="12"/>
        <v>2.1499999999999998E-2</v>
      </c>
      <c r="V7" s="6">
        <f t="shared" si="13"/>
        <v>2.5600000000000002E-3</v>
      </c>
      <c r="W7" s="6">
        <f t="shared" si="14"/>
        <v>1.0699999999999999E-2</v>
      </c>
      <c r="X7" s="6">
        <f>(I7/I16-1)*100</f>
        <v>25.085910652920962</v>
      </c>
      <c r="Y7" s="6">
        <f>(J7/J16-1)*100</f>
        <v>72.222222222222229</v>
      </c>
      <c r="Z7" s="6">
        <f>(K7/K16-1)*100</f>
        <v>150.00000000000006</v>
      </c>
      <c r="AA7" s="6">
        <f t="shared" si="15"/>
        <v>-555.55555555555554</v>
      </c>
      <c r="AB7" s="6">
        <f t="shared" si="16"/>
        <v>-1</v>
      </c>
      <c r="AC7" s="6">
        <f t="shared" si="17"/>
        <v>-8.3333333333333329E-2</v>
      </c>
      <c r="AD7" s="6">
        <f>I16*(100-AB7)/100</f>
        <v>3.8886287759905849</v>
      </c>
      <c r="AE7" s="6">
        <f>K16*(100-AC7)/100</f>
        <v>0.20394588832127142</v>
      </c>
      <c r="AF7" s="6">
        <f t="shared" si="2"/>
        <v>19.066963340123408</v>
      </c>
      <c r="AG7" s="6">
        <f>AF7/AH16-1</f>
        <v>9.1590341382179474E-3</v>
      </c>
      <c r="AH7" s="6">
        <f t="shared" si="3"/>
        <v>9.4534494251320798</v>
      </c>
      <c r="AI7" s="6">
        <f t="shared" si="4"/>
        <v>2.9356322123157153</v>
      </c>
      <c r="AJ7" s="6">
        <f t="shared" si="18"/>
        <v>0.74353401199695268</v>
      </c>
      <c r="AK7" s="6">
        <f t="shared" si="19"/>
        <v>4.2203188000083561E-2</v>
      </c>
      <c r="AL7" s="6">
        <f t="shared" si="20"/>
        <v>5.0251237804750668E-3</v>
      </c>
      <c r="AM7" s="6">
        <f t="shared" si="21"/>
        <v>2.1003447051204379E-2</v>
      </c>
      <c r="AN7" s="6">
        <f t="shared" si="22"/>
        <v>4.1796874999999991</v>
      </c>
      <c r="AO7" s="6">
        <f t="shared" ref="AO7:AU7" si="26">AH7/AH16-1</f>
        <v>-0.49965635738831626</v>
      </c>
      <c r="AP7" s="6">
        <f t="shared" si="26"/>
        <v>-0.31111111111111123</v>
      </c>
      <c r="AQ7" s="6">
        <f t="shared" si="26"/>
        <v>-0.91954459203036054</v>
      </c>
      <c r="AR7" s="6">
        <f t="shared" si="26"/>
        <v>-0.20737327188940113</v>
      </c>
      <c r="AS7" s="6">
        <f t="shared" si="26"/>
        <v>1.0078431372549019</v>
      </c>
      <c r="AT7" s="6">
        <f t="shared" si="26"/>
        <v>-6.1403508771929904E-2</v>
      </c>
      <c r="AU7" s="6">
        <f t="shared" si="26"/>
        <v>-0.53253495065789491</v>
      </c>
    </row>
    <row r="8" spans="1:47">
      <c r="A8" s="6" t="s">
        <v>455</v>
      </c>
      <c r="B8" s="6">
        <v>3.9</v>
      </c>
      <c r="C8" s="6">
        <v>17.489999999999998</v>
      </c>
      <c r="D8" s="6">
        <v>2.41</v>
      </c>
      <c r="E8" s="6">
        <v>0.67</v>
      </c>
      <c r="F8" s="6">
        <v>0.85</v>
      </c>
      <c r="G8" s="6">
        <v>5.89</v>
      </c>
      <c r="H8" s="6">
        <v>0.36</v>
      </c>
      <c r="I8" s="6">
        <f t="shared" si="0"/>
        <v>4.6280914083954485</v>
      </c>
      <c r="J8" s="6">
        <f t="shared" si="1"/>
        <v>1.453316511348637</v>
      </c>
      <c r="K8" s="6">
        <f t="shared" si="6"/>
        <v>0.40155873588260332</v>
      </c>
      <c r="L8" s="6">
        <f t="shared" si="7"/>
        <v>0.60748715168677581</v>
      </c>
      <c r="M8" s="6">
        <f t="shared" si="8"/>
        <v>2.4446813906581739</v>
      </c>
      <c r="N8" s="6">
        <f t="shared" si="9"/>
        <v>0.13353442607080795</v>
      </c>
      <c r="O8" s="6">
        <f t="shared" si="10"/>
        <v>59.229756827619049</v>
      </c>
      <c r="P8" s="6">
        <f t="shared" si="11"/>
        <v>86.198435762691489</v>
      </c>
      <c r="Q8" s="6">
        <v>206</v>
      </c>
      <c r="R8" s="6">
        <v>10.6</v>
      </c>
      <c r="S8" s="6">
        <v>274</v>
      </c>
      <c r="T8" s="6">
        <v>94.8</v>
      </c>
      <c r="U8" s="6">
        <f t="shared" si="12"/>
        <v>2.06E-2</v>
      </c>
      <c r="V8" s="6">
        <f t="shared" si="13"/>
        <v>1.06E-3</v>
      </c>
      <c r="W8" s="6">
        <f t="shared" si="14"/>
        <v>9.4800000000000006E-3</v>
      </c>
      <c r="X8" s="6">
        <f>(I8/I16-1)*100</f>
        <v>20.20618556701028</v>
      </c>
      <c r="Y8" s="6">
        <f>(J8/J16-1)*100</f>
        <v>67.361111111111157</v>
      </c>
      <c r="Z8" s="6">
        <f>(K8/K16-1)*100</f>
        <v>97.058823529411768</v>
      </c>
      <c r="AA8" s="6">
        <f t="shared" si="15"/>
        <v>-518.16239316239353</v>
      </c>
      <c r="AB8" s="6">
        <f t="shared" si="16"/>
        <v>-0.93269230769230838</v>
      </c>
      <c r="AC8" s="6">
        <f t="shared" si="17"/>
        <v>-7.7724358974359017E-2</v>
      </c>
      <c r="AD8" s="6">
        <f>I16*(100-AB8)/100</f>
        <v>3.8860373440187708</v>
      </c>
      <c r="AE8" s="6">
        <f>K16*(100-AC8)/100</f>
        <v>0.20393445857347914</v>
      </c>
      <c r="AF8" s="6">
        <f t="shared" si="2"/>
        <v>19.055324790138897</v>
      </c>
      <c r="AG8" s="6">
        <f>AF8/AH16-1</f>
        <v>8.5430394645185093E-3</v>
      </c>
      <c r="AH8" s="6">
        <f t="shared" si="3"/>
        <v>11.52531621114696</v>
      </c>
      <c r="AI8" s="6">
        <f t="shared" si="4"/>
        <v>3.6191878833225477</v>
      </c>
      <c r="AJ8" s="6">
        <f t="shared" si="18"/>
        <v>1.5128226518383507</v>
      </c>
      <c r="AK8" s="6">
        <f t="shared" si="19"/>
        <v>5.1300091765460833E-2</v>
      </c>
      <c r="AL8" s="6">
        <f t="shared" si="20"/>
        <v>2.63971345977614E-3</v>
      </c>
      <c r="AM8" s="6">
        <f t="shared" si="21"/>
        <v>2.3608003394979066E-2</v>
      </c>
      <c r="AN8" s="6">
        <f t="shared" si="22"/>
        <v>8.9433962264150946</v>
      </c>
      <c r="AO8" s="6">
        <f t="shared" ref="AO8:AU8" si="27">AH8/AH16-1</f>
        <v>-0.38999846130173899</v>
      </c>
      <c r="AP8" s="6">
        <f t="shared" si="27"/>
        <v>-0.15070480928689856</v>
      </c>
      <c r="AQ8" s="6">
        <f t="shared" si="27"/>
        <v>-0.83630235917188256</v>
      </c>
      <c r="AR8" s="6">
        <f t="shared" si="27"/>
        <v>-3.6522456840222928E-2</v>
      </c>
      <c r="AS8" s="6">
        <f t="shared" si="27"/>
        <v>5.4726368159204064E-2</v>
      </c>
      <c r="AT8" s="6">
        <f t="shared" si="27"/>
        <v>5.4988216810683443E-2</v>
      </c>
      <c r="AU8" s="6">
        <f t="shared" si="27"/>
        <v>2.4826216484608032E-4</v>
      </c>
    </row>
    <row r="9" spans="1:47">
      <c r="A9" s="6" t="s">
        <v>455</v>
      </c>
      <c r="B9" s="6">
        <v>4.57</v>
      </c>
      <c r="C9" s="6">
        <v>18.5</v>
      </c>
      <c r="D9" s="6">
        <v>2.59</v>
      </c>
      <c r="E9" s="6">
        <v>0.99</v>
      </c>
      <c r="F9" s="6">
        <v>0.6</v>
      </c>
      <c r="G9" s="6">
        <v>6.77</v>
      </c>
      <c r="H9" s="6">
        <v>0.3</v>
      </c>
      <c r="I9" s="6">
        <f t="shared" si="0"/>
        <v>4.8953511180855243</v>
      </c>
      <c r="J9" s="6">
        <f t="shared" si="1"/>
        <v>1.5618629727771656</v>
      </c>
      <c r="K9" s="6">
        <f t="shared" si="6"/>
        <v>0.59334798287130941</v>
      </c>
      <c r="L9" s="6">
        <f t="shared" si="7"/>
        <v>0.42881446001419471</v>
      </c>
      <c r="M9" s="6">
        <f t="shared" si="8"/>
        <v>2.8099309023354566</v>
      </c>
      <c r="N9" s="6">
        <f t="shared" si="9"/>
        <v>0.11127868839233997</v>
      </c>
      <c r="O9" s="6">
        <f t="shared" si="10"/>
        <v>59.370871765700862</v>
      </c>
      <c r="P9" s="6">
        <f t="shared" si="11"/>
        <v>90.063495789368076</v>
      </c>
      <c r="Q9" s="6">
        <v>242</v>
      </c>
      <c r="R9" s="6">
        <v>15.7</v>
      </c>
      <c r="S9" s="6">
        <v>358</v>
      </c>
      <c r="T9" s="6">
        <v>117</v>
      </c>
      <c r="U9" s="6">
        <f t="shared" si="12"/>
        <v>2.4199999999999999E-2</v>
      </c>
      <c r="V9" s="6">
        <f t="shared" si="13"/>
        <v>1.57E-3</v>
      </c>
      <c r="W9" s="6">
        <f t="shared" si="14"/>
        <v>1.17E-2</v>
      </c>
      <c r="X9" s="6">
        <f>(I9/I16-1)*100</f>
        <v>27.147766323024047</v>
      </c>
      <c r="Y9" s="6">
        <f>(J9/J16-1)*100</f>
        <v>79.861111111111114</v>
      </c>
      <c r="Z9" s="6">
        <f>(K9/K16-1)*100</f>
        <v>191.17647058823533</v>
      </c>
      <c r="AA9" s="6">
        <f t="shared" si="15"/>
        <v>-614.31623931623938</v>
      </c>
      <c r="AB9" s="6">
        <f t="shared" si="16"/>
        <v>-1.1057692307692308</v>
      </c>
      <c r="AC9" s="6">
        <f t="shared" si="17"/>
        <v>-9.2147435897435903E-2</v>
      </c>
      <c r="AD9" s="6">
        <f>I16*(100-AB9)/100</f>
        <v>3.8927010262320065</v>
      </c>
      <c r="AE9" s="6">
        <f>K16*(100-AC9)/100</f>
        <v>0.20396384935351644</v>
      </c>
      <c r="AF9" s="6">
        <f t="shared" si="2"/>
        <v>19.085249854669378</v>
      </c>
      <c r="AG9" s="6">
        <f>AF9/AH16-1</f>
        <v>1.0126886282671999E-2</v>
      </c>
      <c r="AH9" s="6">
        <f t="shared" si="3"/>
        <v>8.250388068054276</v>
      </c>
      <c r="AI9" s="6">
        <f t="shared" si="4"/>
        <v>2.6322883330942686</v>
      </c>
      <c r="AJ9" s="6">
        <f t="shared" si="18"/>
        <v>0.72270315631493398</v>
      </c>
      <c r="AK9" s="6">
        <f t="shared" si="19"/>
        <v>4.0785509850209956E-2</v>
      </c>
      <c r="AL9" s="6">
        <f t="shared" si="20"/>
        <v>2.6460020853235388E-3</v>
      </c>
      <c r="AM9" s="6">
        <f t="shared" si="21"/>
        <v>1.9718614266423823E-2</v>
      </c>
      <c r="AN9" s="6">
        <f t="shared" si="22"/>
        <v>7.4522292993630579</v>
      </c>
      <c r="AO9" s="6">
        <f t="shared" ref="AO9:AU9" si="28">AH9/AH16-1</f>
        <v>-0.56333090353708926</v>
      </c>
      <c r="AP9" s="6">
        <f t="shared" si="28"/>
        <v>-0.38229517396184054</v>
      </c>
      <c r="AQ9" s="6">
        <f t="shared" si="28"/>
        <v>-0.9217986314760509</v>
      </c>
      <c r="AR9" s="6">
        <f t="shared" si="28"/>
        <v>-0.23399897593445995</v>
      </c>
      <c r="AS9" s="6">
        <f t="shared" si="28"/>
        <v>5.7239057239057312E-2</v>
      </c>
      <c r="AT9" s="6">
        <f t="shared" si="28"/>
        <v>-0.1188197767145136</v>
      </c>
      <c r="AU9" s="6">
        <f t="shared" si="28"/>
        <v>-0.16652698625544748</v>
      </c>
    </row>
    <row r="10" spans="1:47">
      <c r="A10" s="6" t="s">
        <v>455</v>
      </c>
      <c r="B10" s="6">
        <v>6.7</v>
      </c>
      <c r="C10" s="6">
        <v>16.5</v>
      </c>
      <c r="D10" s="6">
        <v>2.4900000000000002</v>
      </c>
      <c r="E10" s="6">
        <v>0.55000000000000004</v>
      </c>
      <c r="F10" s="6">
        <v>0.77</v>
      </c>
      <c r="G10" s="6">
        <v>7</v>
      </c>
      <c r="H10" s="6">
        <v>0.23</v>
      </c>
      <c r="I10" s="3">
        <f t="shared" si="0"/>
        <v>4.3661239701843861</v>
      </c>
      <c r="J10" s="3">
        <f t="shared" si="1"/>
        <v>1.5015593830946499</v>
      </c>
      <c r="K10" s="6">
        <f t="shared" si="6"/>
        <v>0.3296377682618386</v>
      </c>
      <c r="L10" s="6">
        <f t="shared" si="7"/>
        <v>0.55031189035154993</v>
      </c>
      <c r="M10" s="6">
        <f t="shared" si="8"/>
        <v>2.9053938428874737</v>
      </c>
      <c r="N10" s="6">
        <f t="shared" si="9"/>
        <v>8.5313661100793969E-2</v>
      </c>
      <c r="O10" s="6">
        <f t="shared" si="10"/>
        <v>55.217463107766854</v>
      </c>
      <c r="P10" s="6">
        <f t="shared" si="11"/>
        <v>87.291935577686687</v>
      </c>
      <c r="Q10" s="6">
        <v>176</v>
      </c>
      <c r="R10" s="6">
        <v>10.8</v>
      </c>
      <c r="S10" s="6">
        <v>255</v>
      </c>
      <c r="T10" s="6">
        <v>69.599999999999994</v>
      </c>
      <c r="U10" s="6">
        <f t="shared" si="12"/>
        <v>1.7600000000000001E-2</v>
      </c>
      <c r="V10" s="6">
        <f t="shared" si="13"/>
        <v>1.08E-3</v>
      </c>
      <c r="W10" s="6">
        <f t="shared" si="14"/>
        <v>6.9599999999999992E-3</v>
      </c>
      <c r="X10" s="6">
        <f>(I10/I16-1)*100</f>
        <v>13.402061855670077</v>
      </c>
      <c r="Y10" s="6">
        <f>(J10/J16-1)*100</f>
        <v>72.916666666666714</v>
      </c>
      <c r="Z10" s="6">
        <f>(K10/K16-1)*100</f>
        <v>61.764705882352985</v>
      </c>
      <c r="AA10" s="6">
        <f t="shared" si="15"/>
        <v>-560.89743589743625</v>
      </c>
      <c r="AB10" s="6">
        <f t="shared" si="16"/>
        <v>-1.0096153846153852</v>
      </c>
      <c r="AC10" s="6">
        <f t="shared" si="17"/>
        <v>-8.4134615384615433E-2</v>
      </c>
      <c r="AD10" s="6">
        <f>I16*(100-AB10)/100</f>
        <v>3.8889989805579872</v>
      </c>
      <c r="AE10" s="6">
        <f>K16*(100-AC10)/100</f>
        <v>0.2039475211423846</v>
      </c>
      <c r="AF10" s="6">
        <f t="shared" si="2"/>
        <v>19.068625883630666</v>
      </c>
      <c r="AG10" s="6">
        <f>AF10/AH16-1</f>
        <v>9.2470277410832136E-3</v>
      </c>
      <c r="AH10" s="3">
        <f t="shared" si="3"/>
        <v>13.245217601146592</v>
      </c>
      <c r="AI10" s="3">
        <f t="shared" si="4"/>
        <v>4.5551800420573407</v>
      </c>
      <c r="AJ10" s="6">
        <f t="shared" si="18"/>
        <v>1.6694442910874976</v>
      </c>
      <c r="AK10" s="6">
        <f t="shared" si="19"/>
        <v>5.3391940167547579E-2</v>
      </c>
      <c r="AL10" s="6">
        <f t="shared" si="20"/>
        <v>3.2763236011904193E-3</v>
      </c>
      <c r="AM10" s="6">
        <f t="shared" si="21"/>
        <v>2.1114085429893813E-2</v>
      </c>
      <c r="AN10" s="6">
        <f t="shared" si="22"/>
        <v>6.4444444444444438</v>
      </c>
      <c r="AO10" s="6">
        <f t="shared" ref="AO10:AU10" si="29">AH10/AH16-1</f>
        <v>-0.29896907216494872</v>
      </c>
      <c r="AP10" s="6">
        <f t="shared" si="29"/>
        <v>6.8939393939394078E-2</v>
      </c>
      <c r="AQ10" s="6">
        <f t="shared" si="29"/>
        <v>-0.8193548387096774</v>
      </c>
      <c r="AR10" s="6">
        <f t="shared" si="29"/>
        <v>2.7649769585251782E-3</v>
      </c>
      <c r="AS10" s="6">
        <f t="shared" si="29"/>
        <v>0.30909090909090886</v>
      </c>
      <c r="AT10" s="6">
        <f t="shared" si="29"/>
        <v>-5.6459330143540876E-2</v>
      </c>
      <c r="AU10" s="6">
        <f t="shared" si="29"/>
        <v>-0.2792397660818714</v>
      </c>
    </row>
    <row r="11" spans="1:47">
      <c r="A11" s="6" t="s">
        <v>455</v>
      </c>
      <c r="B11" s="6">
        <v>10.4</v>
      </c>
      <c r="C11" s="6">
        <v>17.690000000000001</v>
      </c>
      <c r="D11" s="6">
        <v>2.42</v>
      </c>
      <c r="E11" s="6">
        <v>0.74</v>
      </c>
      <c r="F11" s="6">
        <v>0.82</v>
      </c>
      <c r="G11" s="6">
        <v>6</v>
      </c>
      <c r="H11" s="6">
        <v>0.23</v>
      </c>
      <c r="I11" s="3">
        <f t="shared" si="0"/>
        <v>4.6810141231855633</v>
      </c>
      <c r="J11" s="3">
        <f t="shared" si="1"/>
        <v>1.4593468703168884</v>
      </c>
      <c r="K11" s="6">
        <f t="shared" si="6"/>
        <v>0.44351263366138283</v>
      </c>
      <c r="L11" s="6">
        <f t="shared" si="7"/>
        <v>0.58604642868606605</v>
      </c>
      <c r="M11" s="6">
        <f t="shared" si="8"/>
        <v>2.4903375796178344</v>
      </c>
      <c r="N11" s="6">
        <f t="shared" si="9"/>
        <v>8.5313661100793969E-2</v>
      </c>
      <c r="O11" s="6">
        <f t="shared" si="10"/>
        <v>59.686167833021166</v>
      </c>
      <c r="P11" s="6">
        <f t="shared" si="11"/>
        <v>87.456779681814851</v>
      </c>
      <c r="Q11" s="6">
        <v>218</v>
      </c>
      <c r="R11" s="6">
        <v>11.5</v>
      </c>
      <c r="S11" s="6">
        <v>273</v>
      </c>
      <c r="T11" s="6">
        <v>103</v>
      </c>
      <c r="U11" s="6">
        <f t="shared" si="12"/>
        <v>2.18E-2</v>
      </c>
      <c r="V11" s="6">
        <f t="shared" si="13"/>
        <v>1.15E-3</v>
      </c>
      <c r="W11" s="6">
        <f t="shared" si="14"/>
        <v>1.03E-2</v>
      </c>
      <c r="X11" s="6">
        <f>(I11/I16-1)*100</f>
        <v>21.580756013745695</v>
      </c>
      <c r="Y11" s="6">
        <f>(J11/J16-1)*100</f>
        <v>68.055555555555586</v>
      </c>
      <c r="Z11" s="6">
        <f>(K11/K16-1)*100</f>
        <v>117.64705882352943</v>
      </c>
      <c r="AA11" s="6">
        <f t="shared" si="15"/>
        <v>-523.50427350427367</v>
      </c>
      <c r="AB11" s="6">
        <f t="shared" si="16"/>
        <v>-0.94230769230769262</v>
      </c>
      <c r="AC11" s="6">
        <f t="shared" si="17"/>
        <v>-7.8525641025641038E-2</v>
      </c>
      <c r="AD11" s="6">
        <f>I16*(100-AB11)/100</f>
        <v>3.8864075485861731</v>
      </c>
      <c r="AE11" s="6">
        <f>K16*(100-AC11)/100</f>
        <v>0.20393609139459229</v>
      </c>
      <c r="AF11" s="6">
        <f t="shared" si="2"/>
        <v>19.056987520009063</v>
      </c>
      <c r="AG11" s="6">
        <f>AF11/AH16-1</f>
        <v>8.6310429310316739E-3</v>
      </c>
      <c r="AH11" s="3">
        <f t="shared" si="3"/>
        <v>10.554409881274021</v>
      </c>
      <c r="AI11" s="3">
        <f t="shared" si="4"/>
        <v>3.2904290871476825</v>
      </c>
      <c r="AJ11" s="6">
        <f t="shared" si="18"/>
        <v>1.3213748249920345</v>
      </c>
      <c r="AK11" s="6">
        <f t="shared" si="19"/>
        <v>4.9153053025867283E-2</v>
      </c>
      <c r="AL11" s="6">
        <f t="shared" si="20"/>
        <v>2.5929362834746501E-3</v>
      </c>
      <c r="AM11" s="6">
        <f t="shared" si="21"/>
        <v>2.3223690191120781E-2</v>
      </c>
      <c r="AN11" s="6">
        <f t="shared" si="22"/>
        <v>8.9565217391304355</v>
      </c>
      <c r="AO11" s="6">
        <f t="shared" ref="AO11:AU11" si="30">AH11/AH16-1</f>
        <v>-0.44138571561251994</v>
      </c>
      <c r="AP11" s="6">
        <f t="shared" si="30"/>
        <v>-0.22785285285285284</v>
      </c>
      <c r="AQ11" s="6">
        <f t="shared" si="30"/>
        <v>-0.85701830863121187</v>
      </c>
      <c r="AR11" s="6">
        <f t="shared" si="30"/>
        <v>-7.6846431685141492E-2</v>
      </c>
      <c r="AS11" s="6">
        <f t="shared" si="30"/>
        <v>3.603603603603589E-2</v>
      </c>
      <c r="AT11" s="6">
        <f t="shared" si="30"/>
        <v>3.7814129919393036E-2</v>
      </c>
      <c r="AU11" s="6">
        <f t="shared" si="30"/>
        <v>1.7162471395881784E-3</v>
      </c>
    </row>
    <row r="12" spans="1:47">
      <c r="A12" s="6" t="s">
        <v>454</v>
      </c>
      <c r="B12" s="6">
        <v>12.2</v>
      </c>
      <c r="C12" s="6">
        <v>16.600000000000001</v>
      </c>
      <c r="D12" s="6">
        <v>2.29</v>
      </c>
      <c r="E12" s="6">
        <v>0.94</v>
      </c>
      <c r="F12" s="6">
        <v>1.75</v>
      </c>
      <c r="G12" s="6">
        <v>5.99</v>
      </c>
      <c r="H12" s="6">
        <v>0.21</v>
      </c>
      <c r="I12" s="3">
        <f t="shared" si="0"/>
        <v>4.392585327579444</v>
      </c>
      <c r="J12" s="3">
        <f t="shared" si="1"/>
        <v>1.3809522037296176</v>
      </c>
      <c r="K12" s="6">
        <f t="shared" si="6"/>
        <v>0.56338091302932414</v>
      </c>
      <c r="L12" s="6">
        <f t="shared" si="7"/>
        <v>1.2507088417080681</v>
      </c>
      <c r="M12" s="6">
        <f t="shared" si="8"/>
        <v>2.4861870169851383</v>
      </c>
      <c r="N12" s="6">
        <f t="shared" si="9"/>
        <v>7.7895081874637964E-2</v>
      </c>
      <c r="O12" s="6">
        <f t="shared" si="10"/>
        <v>53.519970134999241</v>
      </c>
      <c r="P12" s="6">
        <f t="shared" si="11"/>
        <v>76.777486895529194</v>
      </c>
      <c r="Q12" s="6">
        <v>172</v>
      </c>
      <c r="R12" s="6">
        <v>9.1999999999999993</v>
      </c>
      <c r="S12" s="6">
        <v>313</v>
      </c>
      <c r="T12" s="6">
        <v>97</v>
      </c>
      <c r="U12" s="6">
        <f t="shared" si="12"/>
        <v>1.72E-2</v>
      </c>
      <c r="V12" s="6">
        <f t="shared" si="13"/>
        <v>9.1999999999999992E-4</v>
      </c>
      <c r="W12" s="6">
        <f t="shared" si="14"/>
        <v>9.7000000000000003E-3</v>
      </c>
      <c r="X12" s="6">
        <f>(I12/I16-1)*100</f>
        <v>14.089347079037818</v>
      </c>
      <c r="Y12" s="6">
        <f>(J12/J16-1)*100</f>
        <v>59.027777777777814</v>
      </c>
      <c r="Z12" s="6">
        <f>(K12/K16-1)*100</f>
        <v>176.47058823529414</v>
      </c>
      <c r="AA12" s="6">
        <f t="shared" si="15"/>
        <v>-454.05982905982933</v>
      </c>
      <c r="AB12" s="6">
        <f t="shared" si="16"/>
        <v>-0.81730769230769273</v>
      </c>
      <c r="AC12" s="6">
        <f t="shared" si="17"/>
        <v>-6.8108974358974395E-2</v>
      </c>
      <c r="AD12" s="6">
        <f>I16*(100-AB12)/100</f>
        <v>3.8815948892099472</v>
      </c>
      <c r="AE12" s="6">
        <f>K16*(100-AC12)/100</f>
        <v>0.20391486472012091</v>
      </c>
      <c r="AF12" s="6">
        <f t="shared" si="2"/>
        <v>19.035369954699227</v>
      </c>
      <c r="AG12" s="6">
        <f>AF12/AH16-1</f>
        <v>7.486887936901887E-3</v>
      </c>
      <c r="AH12" s="3">
        <f t="shared" si="3"/>
        <v>7.7968302191146623</v>
      </c>
      <c r="AI12" s="3">
        <f>J12/K12</f>
        <v>2.4511874147531487</v>
      </c>
      <c r="AJ12" s="6">
        <f t="shared" si="18"/>
        <v>2.2200057062333745</v>
      </c>
      <c r="AK12" s="6">
        <f t="shared" si="19"/>
        <v>3.0529965787294493E-2</v>
      </c>
      <c r="AL12" s="6">
        <f t="shared" si="20"/>
        <v>1.6329981700180774E-3</v>
      </c>
      <c r="AM12" s="6">
        <f t="shared" si="21"/>
        <v>1.7217480705625381E-2</v>
      </c>
      <c r="AN12" s="6">
        <f t="shared" si="22"/>
        <v>10.543478260869566</v>
      </c>
      <c r="AO12" s="6">
        <f t="shared" ref="AO12:AU12" si="31">AH12/AH16-1</f>
        <v>-0.58733640418220379</v>
      </c>
      <c r="AP12" s="6">
        <f t="shared" si="31"/>
        <v>-0.42479314420803782</v>
      </c>
      <c r="AQ12" s="6">
        <f t="shared" si="31"/>
        <v>-0.75978037062457104</v>
      </c>
      <c r="AR12" s="6">
        <f t="shared" si="31"/>
        <v>-0.42661045200509873</v>
      </c>
      <c r="AS12" s="6">
        <f t="shared" si="31"/>
        <v>-0.34751773049645407</v>
      </c>
      <c r="AT12" s="6">
        <f t="shared" si="31"/>
        <v>-0.23058977230309841</v>
      </c>
      <c r="AU12" s="6">
        <f t="shared" si="31"/>
        <v>0.17920480549199103</v>
      </c>
    </row>
    <row r="13" spans="1:47">
      <c r="A13" s="6" t="s">
        <v>454</v>
      </c>
      <c r="B13" s="6">
        <v>20.6</v>
      </c>
      <c r="C13" s="6">
        <v>12.86</v>
      </c>
      <c r="D13" s="6">
        <v>2.29</v>
      </c>
      <c r="E13" s="6">
        <v>0.34</v>
      </c>
      <c r="F13" s="6">
        <v>0.85</v>
      </c>
      <c r="G13" s="6">
        <v>5.6</v>
      </c>
      <c r="H13" s="6">
        <v>0.74</v>
      </c>
      <c r="I13" s="6">
        <f t="shared" si="0"/>
        <v>3.4029305610043159</v>
      </c>
      <c r="J13" s="3">
        <f t="shared" si="1"/>
        <v>1.3809522037296176</v>
      </c>
      <c r="K13" s="6">
        <f t="shared" si="6"/>
        <v>0.20377607492550021</v>
      </c>
      <c r="L13" s="6">
        <f t="shared" si="7"/>
        <v>0.60748715168677581</v>
      </c>
      <c r="M13" s="6">
        <f t="shared" si="8"/>
        <v>2.3243150743099785</v>
      </c>
      <c r="N13" s="6">
        <f t="shared" si="9"/>
        <v>0.27448743136777193</v>
      </c>
      <c r="O13" s="6">
        <f t="shared" si="10"/>
        <v>51.487625598351762</v>
      </c>
      <c r="P13" s="6">
        <f t="shared" si="11"/>
        <v>79.416706942102806</v>
      </c>
      <c r="Q13" s="6">
        <v>160</v>
      </c>
      <c r="R13" s="6">
        <v>8.1999999999999993</v>
      </c>
      <c r="S13" s="6">
        <v>180</v>
      </c>
      <c r="T13" s="6">
        <v>42.7</v>
      </c>
      <c r="U13" s="6">
        <f t="shared" si="12"/>
        <v>1.6E-2</v>
      </c>
      <c r="V13" s="6">
        <f t="shared" si="13"/>
        <v>8.1999999999999998E-4</v>
      </c>
      <c r="W13" s="6">
        <f t="shared" si="14"/>
        <v>4.2700000000000004E-3</v>
      </c>
      <c r="X13" s="6">
        <f>(I13/I16-1)*100</f>
        <v>-11.615120274914092</v>
      </c>
      <c r="Y13" s="6">
        <f>(J13/J16-1)*100</f>
        <v>59.027777777777814</v>
      </c>
      <c r="Z13" s="6">
        <f>(K13/K16-1)*100</f>
        <v>2.2204460492503131E-14</v>
      </c>
      <c r="AA13" s="6">
        <f t="shared" si="15"/>
        <v>-454.05982905982933</v>
      </c>
      <c r="AB13" s="6">
        <f t="shared" si="16"/>
        <v>-0.81730769230769273</v>
      </c>
      <c r="AC13" s="6">
        <f t="shared" si="17"/>
        <v>-6.8108974358974395E-2</v>
      </c>
      <c r="AD13" s="6">
        <f>I16*(100-AB13)/100</f>
        <v>3.8815948892099472</v>
      </c>
      <c r="AE13" s="6">
        <f>K16*(100-AC13)/100</f>
        <v>0.20391486472012091</v>
      </c>
      <c r="AF13" s="6">
        <f t="shared" si="2"/>
        <v>19.035369954699227</v>
      </c>
      <c r="AG13" s="6">
        <f>AF13/AH16-1</f>
        <v>7.486887936901887E-3</v>
      </c>
      <c r="AH13" s="6">
        <f t="shared" si="3"/>
        <v>16.699362583406394</v>
      </c>
      <c r="AI13" s="6">
        <f>J13/K13</f>
        <v>6.7768122643175293</v>
      </c>
      <c r="AJ13" s="6">
        <f t="shared" si="18"/>
        <v>2.9811505197991024</v>
      </c>
      <c r="AK13" s="6">
        <f t="shared" si="19"/>
        <v>7.8517559069922915E-2</v>
      </c>
      <c r="AL13" s="6">
        <f t="shared" si="20"/>
        <v>4.0240249023335492E-3</v>
      </c>
      <c r="AM13" s="6">
        <f t="shared" si="21"/>
        <v>2.095437357678568E-2</v>
      </c>
      <c r="AN13" s="6">
        <f t="shared" si="22"/>
        <v>5.2073170731707323</v>
      </c>
      <c r="AO13" s="6">
        <f t="shared" ref="AO13:AU13" si="32">AH13/AH16-1</f>
        <v>-0.11615120274914104</v>
      </c>
      <c r="AP13" s="6">
        <f t="shared" si="32"/>
        <v>0.5902777777777779</v>
      </c>
      <c r="AQ13" s="6">
        <f t="shared" si="32"/>
        <v>-0.67741935483870974</v>
      </c>
      <c r="AR13" s="6">
        <f t="shared" si="32"/>
        <v>0.47465437788018416</v>
      </c>
      <c r="AS13" s="6">
        <f t="shared" si="32"/>
        <v>0.6078431372549018</v>
      </c>
      <c r="AT13" s="6">
        <f t="shared" si="32"/>
        <v>-6.3596491228070207E-2</v>
      </c>
      <c r="AU13" s="6">
        <f t="shared" si="32"/>
        <v>-0.41760269576379971</v>
      </c>
    </row>
    <row r="14" spans="1:47">
      <c r="A14" s="6" t="s">
        <v>454</v>
      </c>
      <c r="B14" s="6">
        <v>23.8</v>
      </c>
      <c r="C14" s="6">
        <v>14.1</v>
      </c>
      <c r="D14" s="6">
        <v>1.38</v>
      </c>
      <c r="E14" s="6">
        <v>0.52</v>
      </c>
      <c r="F14" s="6">
        <v>0.64</v>
      </c>
      <c r="G14" s="6">
        <v>5.76</v>
      </c>
      <c r="H14" s="6">
        <v>0.78</v>
      </c>
      <c r="I14" s="3">
        <f t="shared" si="0"/>
        <v>3.7310513927030211</v>
      </c>
      <c r="J14" s="3">
        <f t="shared" si="1"/>
        <v>0.83218953761872139</v>
      </c>
      <c r="K14" s="6">
        <f t="shared" si="6"/>
        <v>0.3116575263566474</v>
      </c>
      <c r="L14" s="6">
        <f t="shared" si="7"/>
        <v>0.4574020906818077</v>
      </c>
      <c r="M14" s="6">
        <f t="shared" si="8"/>
        <v>2.3907240764331208</v>
      </c>
      <c r="N14" s="6">
        <f t="shared" si="9"/>
        <v>0.28932458982008391</v>
      </c>
      <c r="O14" s="6">
        <f t="shared" si="10"/>
        <v>54.321179660686944</v>
      </c>
      <c r="P14" s="6">
        <f t="shared" si="11"/>
        <v>83.323722875630779</v>
      </c>
      <c r="Q14" s="6">
        <v>119</v>
      </c>
      <c r="R14" s="6">
        <v>8.5</v>
      </c>
      <c r="S14" s="6">
        <v>195</v>
      </c>
      <c r="T14" s="6">
        <v>37</v>
      </c>
      <c r="U14" s="6">
        <f t="shared" si="12"/>
        <v>1.1900000000000001E-2</v>
      </c>
      <c r="V14" s="6">
        <f t="shared" si="13"/>
        <v>8.4999999999999995E-4</v>
      </c>
      <c r="W14" s="6">
        <f t="shared" si="14"/>
        <v>3.7000000000000002E-3</v>
      </c>
      <c r="X14" s="6">
        <f>(I14/I16-1)*100</f>
        <v>-3.0927835051546504</v>
      </c>
      <c r="Y14" s="6">
        <f>(J14/J16-1)*100</f>
        <v>-4.1666666666666625</v>
      </c>
      <c r="Z14" s="6">
        <f>(K14/K16-1)*100</f>
        <v>52.941176470588267</v>
      </c>
      <c r="AA14" s="6">
        <f t="shared" si="15"/>
        <v>32.051282051282016</v>
      </c>
      <c r="AB14" s="6">
        <f t="shared" si="16"/>
        <v>5.7692307692307626E-2</v>
      </c>
      <c r="AC14" s="6">
        <f t="shared" si="17"/>
        <v>4.8076923076923019E-3</v>
      </c>
      <c r="AD14" s="6">
        <f>I16*(100-AB14)/100</f>
        <v>3.8479062735763652</v>
      </c>
      <c r="AE14" s="6">
        <f>K16*(100-AC14)/100</f>
        <v>0.20376627799882108</v>
      </c>
      <c r="AF14" s="6">
        <f t="shared" si="2"/>
        <v>18.883920889003175</v>
      </c>
      <c r="AG14" s="6">
        <f>AF14/AH16-1</f>
        <v>-5.2887158036452053E-4</v>
      </c>
      <c r="AH14" s="6">
        <f t="shared" si="3"/>
        <v>11.971638985651728</v>
      </c>
      <c r="AI14" s="6">
        <f>J14/K14</f>
        <v>2.6702051683051597</v>
      </c>
      <c r="AJ14" s="6">
        <f t="shared" si="18"/>
        <v>1.4676433328241736</v>
      </c>
      <c r="AK14" s="6">
        <f t="shared" si="19"/>
        <v>3.818293798039761E-2</v>
      </c>
      <c r="AL14" s="6">
        <f t="shared" si="20"/>
        <v>2.7273527128855433E-3</v>
      </c>
      <c r="AM14" s="6">
        <f t="shared" si="21"/>
        <v>1.1872005926678248E-2</v>
      </c>
      <c r="AN14" s="6">
        <f t="shared" si="22"/>
        <v>4.3529411764705888</v>
      </c>
      <c r="AO14" s="6">
        <f t="shared" ref="AO14:AU14" si="33">AH14/AH16-1</f>
        <v>-0.36637589214908828</v>
      </c>
      <c r="AP14" s="6">
        <f t="shared" si="33"/>
        <v>-0.3733974358974359</v>
      </c>
      <c r="AQ14" s="6">
        <f t="shared" si="33"/>
        <v>-0.84119106699751867</v>
      </c>
      <c r="AR14" s="6">
        <f t="shared" si="33"/>
        <v>-0.28287841191067009</v>
      </c>
      <c r="AS14" s="6">
        <f t="shared" si="33"/>
        <v>8.9743589743589647E-2</v>
      </c>
      <c r="AT14" s="6">
        <f t="shared" si="33"/>
        <v>-0.46946693657219984</v>
      </c>
      <c r="AU14" s="6">
        <f t="shared" si="33"/>
        <v>-0.51315789473684204</v>
      </c>
    </row>
    <row r="15" spans="1:47">
      <c r="A15" s="6" t="s">
        <v>454</v>
      </c>
      <c r="B15" s="6">
        <v>25.6</v>
      </c>
      <c r="C15" s="6">
        <v>13.78</v>
      </c>
      <c r="D15" s="6">
        <v>1.19</v>
      </c>
      <c r="E15" s="6">
        <v>0.37</v>
      </c>
      <c r="F15" s="6">
        <v>1.58</v>
      </c>
      <c r="G15" s="6">
        <v>5.29</v>
      </c>
      <c r="H15" s="6">
        <v>0.97</v>
      </c>
      <c r="I15" s="3">
        <f t="shared" si="0"/>
        <v>3.6463750490388391</v>
      </c>
      <c r="J15" s="3">
        <f t="shared" si="1"/>
        <v>0.71761271722194098</v>
      </c>
      <c r="K15" s="6">
        <f t="shared" si="6"/>
        <v>0.22175631683069141</v>
      </c>
      <c r="L15" s="6">
        <f t="shared" si="7"/>
        <v>1.1292114113707128</v>
      </c>
      <c r="M15" s="6">
        <f t="shared" si="8"/>
        <v>2.195647632696391</v>
      </c>
      <c r="N15" s="6">
        <f t="shared" si="9"/>
        <v>0.3598010924685659</v>
      </c>
      <c r="O15" s="6">
        <f t="shared" si="10"/>
        <v>49.73888348283905</v>
      </c>
      <c r="P15" s="6">
        <f t="shared" si="11"/>
        <v>71.004865971512416</v>
      </c>
      <c r="Q15" s="6">
        <v>145</v>
      </c>
      <c r="R15" s="6">
        <v>9.1</v>
      </c>
      <c r="S15" s="6">
        <v>176</v>
      </c>
      <c r="T15" s="6">
        <v>54.5</v>
      </c>
      <c r="U15" s="6">
        <f t="shared" si="12"/>
        <v>1.4500000000000001E-2</v>
      </c>
      <c r="V15" s="6">
        <f t="shared" si="13"/>
        <v>9.1E-4</v>
      </c>
      <c r="W15" s="6">
        <f t="shared" si="14"/>
        <v>5.45E-3</v>
      </c>
      <c r="X15" s="6">
        <f>(I15/I16-1)*100</f>
        <v>-5.2920962199312749</v>
      </c>
      <c r="Y15" s="6">
        <f>(J15/J16-1)*100</f>
        <v>-17.361111111111104</v>
      </c>
      <c r="Z15" s="6">
        <f>(K15/K16-1)*100</f>
        <v>8.8235294117647189</v>
      </c>
      <c r="AA15" s="6">
        <f t="shared" si="15"/>
        <v>133.54700854700849</v>
      </c>
      <c r="AB15" s="6">
        <f t="shared" si="16"/>
        <v>0.24038461538461528</v>
      </c>
      <c r="AC15" s="6">
        <f t="shared" si="17"/>
        <v>2.003205128205127E-2</v>
      </c>
      <c r="AD15" s="6">
        <f>I16*(100-AB15)/100</f>
        <v>3.8408723867957275</v>
      </c>
      <c r="AE15" s="6">
        <f>K16*(100-AC15)/100</f>
        <v>0.20373525439767054</v>
      </c>
      <c r="AF15" s="6">
        <f t="shared" si="2"/>
        <v>18.852271778642368</v>
      </c>
      <c r="AG15" s="6">
        <f>AF15/AH16-1</f>
        <v>-2.2039671408534689E-3</v>
      </c>
      <c r="AH15" s="6">
        <f t="shared" si="3"/>
        <v>16.443162030972978</v>
      </c>
      <c r="AI15" s="6">
        <f>J15/K15</f>
        <v>3.2360418295088778</v>
      </c>
      <c r="AJ15" s="6">
        <f t="shared" si="18"/>
        <v>5.0921273743595483</v>
      </c>
      <c r="AK15" s="6">
        <f t="shared" si="19"/>
        <v>6.5387088887621611E-2</v>
      </c>
      <c r="AL15" s="6">
        <f t="shared" si="20"/>
        <v>4.1036035094990115E-3</v>
      </c>
      <c r="AM15" s="6">
        <f t="shared" si="21"/>
        <v>2.4576526512933641E-2</v>
      </c>
      <c r="AN15" s="6">
        <f t="shared" si="22"/>
        <v>5.9890109890109891</v>
      </c>
      <c r="AO15" s="6">
        <f t="shared" ref="AO15:AU15" si="34">AH15/AH16-1</f>
        <v>-0.12971115445342285</v>
      </c>
      <c r="AP15" s="6">
        <f t="shared" si="34"/>
        <v>-0.24061561561561562</v>
      </c>
      <c r="AQ15" s="6">
        <f t="shared" si="34"/>
        <v>-0.44899738448125559</v>
      </c>
      <c r="AR15" s="6">
        <f t="shared" si="34"/>
        <v>0.22804832482251802</v>
      </c>
      <c r="AS15" s="6">
        <f t="shared" si="34"/>
        <v>0.63963963963963932</v>
      </c>
      <c r="AT15" s="6">
        <f t="shared" si="34"/>
        <v>9.826932195353244E-2</v>
      </c>
      <c r="AU15" s="6">
        <f t="shared" si="34"/>
        <v>-0.33017640254482361</v>
      </c>
    </row>
    <row r="16" spans="1:47" s="2" customFormat="1">
      <c r="A16" s="2" t="s">
        <v>42</v>
      </c>
      <c r="C16" s="2">
        <v>14.55</v>
      </c>
      <c r="D16" s="2">
        <v>1.44</v>
      </c>
      <c r="E16" s="2">
        <v>0.33999999999999997</v>
      </c>
      <c r="F16" s="2">
        <v>2.6349999999999998</v>
      </c>
      <c r="G16" s="2">
        <v>4.085</v>
      </c>
      <c r="H16" s="2">
        <v>2.9350000000000001</v>
      </c>
      <c r="I16" s="2">
        <f t="shared" si="0"/>
        <v>3.8501275009807774</v>
      </c>
      <c r="J16" s="2">
        <f t="shared" si="1"/>
        <v>0.86837169142823101</v>
      </c>
      <c r="K16" s="2">
        <f t="shared" si="6"/>
        <v>0.20377607492550018</v>
      </c>
      <c r="L16" s="2">
        <f t="shared" si="7"/>
        <v>1.8832101702290049</v>
      </c>
      <c r="M16" s="2">
        <f t="shared" si="8"/>
        <v>1.6955048354564755</v>
      </c>
      <c r="N16" s="2">
        <f t="shared" si="9"/>
        <v>1.0886765014383926</v>
      </c>
      <c r="Q16" s="2">
        <f>AVERAGE(125,92)</f>
        <v>108.5</v>
      </c>
      <c r="R16" s="2">
        <f>AVERAGE(4.5,5.7)</f>
        <v>5.0999999999999996</v>
      </c>
      <c r="S16" s="2">
        <f>AVERAGE(168,179)</f>
        <v>173.5</v>
      </c>
      <c r="T16" s="2">
        <f>AVERAGE(50,41.2)</f>
        <v>45.6</v>
      </c>
      <c r="U16" s="2">
        <f t="shared" si="12"/>
        <v>1.085E-2</v>
      </c>
      <c r="V16" s="2">
        <f t="shared" si="13"/>
        <v>5.0999999999999993E-4</v>
      </c>
      <c r="W16" s="2">
        <f t="shared" si="14"/>
        <v>4.5599999999999998E-3</v>
      </c>
      <c r="AH16" s="2">
        <f t="shared" si="3"/>
        <v>18.893913342812059</v>
      </c>
      <c r="AI16" s="2">
        <f>J16/K16</f>
        <v>4.2614015985228129</v>
      </c>
      <c r="AJ16" s="2">
        <f t="shared" si="18"/>
        <v>9.2415666113772197</v>
      </c>
      <c r="AK16" s="2">
        <f t="shared" si="19"/>
        <v>5.3244719744291485E-2</v>
      </c>
      <c r="AL16" s="2">
        <f t="shared" si="20"/>
        <v>2.5027471953537931E-3</v>
      </c>
      <c r="AM16" s="2">
        <f t="shared" si="21"/>
        <v>2.2377504334928033E-2</v>
      </c>
      <c r="AN16" s="2">
        <f t="shared" si="22"/>
        <v>8.9411764705882355</v>
      </c>
    </row>
    <row r="17" spans="9:42">
      <c r="I17" s="3"/>
      <c r="J17" s="3"/>
      <c r="K17" s="3"/>
      <c r="L17" s="3"/>
      <c r="M17" s="3"/>
      <c r="N17" s="3"/>
      <c r="O17" s="3"/>
      <c r="P17" s="3"/>
      <c r="Q17" s="3"/>
      <c r="R17" s="3"/>
      <c r="S17" s="3"/>
      <c r="T17" s="3"/>
      <c r="U17" s="3"/>
      <c r="V17" s="3"/>
      <c r="W17" s="3"/>
      <c r="AF17" s="39"/>
      <c r="AI17" s="39"/>
      <c r="AJ17" s="39"/>
      <c r="AK17" s="39"/>
      <c r="AL17" s="39"/>
      <c r="AM17" s="39"/>
      <c r="AN17" s="39" t="s">
        <v>97</v>
      </c>
      <c r="AO17" s="6">
        <f>_xlfn.VAR.P(AO3:AO15)</f>
        <v>2.1407321809651849E-2</v>
      </c>
      <c r="AP17" s="3"/>
    </row>
    <row r="18" spans="9:42">
      <c r="I18" s="3"/>
      <c r="J18" s="3"/>
      <c r="K18" s="3"/>
      <c r="L18" s="3"/>
      <c r="M18" s="3"/>
      <c r="N18" s="3"/>
      <c r="O18" s="3"/>
      <c r="P18" s="3"/>
      <c r="Q18" s="3"/>
      <c r="R18" s="3"/>
      <c r="S18" s="3"/>
      <c r="T18" s="3"/>
      <c r="U18" s="3"/>
      <c r="V18" s="3"/>
      <c r="W18" s="3"/>
      <c r="AN18" s="39" t="s">
        <v>98</v>
      </c>
      <c r="AO18" s="6">
        <f>AVERAGE(AO3:AO15)</f>
        <v>-0.39894898939344675</v>
      </c>
    </row>
    <row r="19" spans="9:42">
      <c r="J19" s="3"/>
      <c r="K19" s="3"/>
      <c r="L19" s="3"/>
      <c r="M19" s="3"/>
      <c r="N19" s="3"/>
      <c r="O19" s="3"/>
      <c r="P19" s="3"/>
      <c r="Q19" s="3"/>
      <c r="R19" s="3"/>
      <c r="S19" s="3"/>
      <c r="T19" s="3"/>
      <c r="U19" s="3"/>
      <c r="V19" s="3"/>
      <c r="W19" s="3"/>
    </row>
    <row r="20" spans="9:42">
      <c r="I20" s="3"/>
      <c r="J20" s="3"/>
      <c r="K20" s="3"/>
      <c r="L20" s="3"/>
      <c r="M20" s="3"/>
      <c r="N20" s="3"/>
      <c r="O20" s="3"/>
      <c r="P20" s="3"/>
      <c r="Q20" s="3"/>
      <c r="R20" s="3"/>
      <c r="S20" s="3"/>
      <c r="T20" s="3"/>
      <c r="U20" s="3"/>
      <c r="V20" s="3"/>
      <c r="W20" s="3"/>
      <c r="AG20" s="3"/>
      <c r="AP20" s="3"/>
    </row>
    <row r="21" spans="9:42">
      <c r="I21" s="3"/>
      <c r="J21" s="3"/>
      <c r="K21" s="3"/>
      <c r="L21" s="3"/>
      <c r="M21" s="3"/>
      <c r="N21" s="3"/>
      <c r="O21" s="3"/>
      <c r="P21" s="3"/>
      <c r="Q21" s="3"/>
      <c r="R21" s="3"/>
      <c r="S21" s="3"/>
      <c r="T21" s="3"/>
      <c r="U21" s="3"/>
      <c r="V21" s="3"/>
      <c r="W21" s="3"/>
      <c r="AG21" s="3"/>
      <c r="AO21" s="3"/>
      <c r="AP21" s="3"/>
    </row>
    <row r="22" spans="9:42">
      <c r="I22" s="3"/>
      <c r="J22" s="3"/>
      <c r="K22" s="3"/>
      <c r="L22" s="3"/>
      <c r="M22" s="3"/>
      <c r="N22" s="3"/>
      <c r="O22" s="3"/>
      <c r="P22" s="3"/>
      <c r="Q22" s="3"/>
      <c r="R22" s="3"/>
      <c r="S22" s="3"/>
      <c r="T22" s="3"/>
      <c r="U22" s="3"/>
      <c r="V22" s="3"/>
      <c r="W22" s="3"/>
      <c r="AO22" s="3"/>
    </row>
    <row r="23" spans="9:42">
      <c r="J23" s="3"/>
      <c r="K23" s="3"/>
      <c r="L23" s="3"/>
      <c r="M23" s="3"/>
      <c r="N23" s="3"/>
      <c r="O23" s="3"/>
      <c r="P23" s="3"/>
      <c r="Q23" s="3"/>
      <c r="R23" s="3"/>
      <c r="S23" s="3"/>
      <c r="T23" s="3"/>
      <c r="U23" s="3"/>
      <c r="V23" s="3"/>
      <c r="W23" s="3"/>
      <c r="AH23" s="3"/>
      <c r="AI23" s="3"/>
      <c r="AJ23" s="3"/>
      <c r="AK23" s="3"/>
      <c r="AL23" s="3"/>
      <c r="AM23" s="3"/>
      <c r="AN23" s="3"/>
    </row>
    <row r="24" spans="9:42">
      <c r="I24" s="3"/>
      <c r="J24" s="3"/>
      <c r="K24" s="3"/>
      <c r="L24" s="3"/>
      <c r="M24" s="3"/>
      <c r="N24" s="3"/>
      <c r="O24" s="3"/>
      <c r="P24" s="3"/>
      <c r="Q24" s="3"/>
      <c r="R24" s="3"/>
      <c r="S24" s="3"/>
      <c r="T24" s="3"/>
      <c r="U24" s="3"/>
      <c r="V24" s="3"/>
      <c r="W24" s="3"/>
      <c r="AH24" s="3"/>
      <c r="AI24" s="3"/>
      <c r="AJ24" s="3"/>
      <c r="AK24" s="3"/>
      <c r="AL24" s="3"/>
      <c r="AM24" s="3"/>
      <c r="AN24" s="3"/>
      <c r="AP24" s="3"/>
    </row>
    <row r="25" spans="9:42">
      <c r="I25" s="3"/>
      <c r="J25" s="3"/>
      <c r="K25" s="3"/>
      <c r="L25" s="3"/>
      <c r="M25" s="3"/>
      <c r="N25" s="3"/>
      <c r="O25" s="3"/>
      <c r="P25" s="3"/>
      <c r="Q25" s="3"/>
      <c r="R25" s="3"/>
      <c r="S25" s="3"/>
      <c r="T25" s="3"/>
      <c r="U25" s="3"/>
      <c r="V25" s="3"/>
      <c r="W25" s="3"/>
      <c r="AH25" s="3"/>
      <c r="AI25" s="3"/>
      <c r="AJ25" s="3"/>
      <c r="AK25" s="3"/>
      <c r="AL25" s="3"/>
      <c r="AM25" s="3"/>
      <c r="AN25" s="3"/>
      <c r="AP25" s="3"/>
    </row>
    <row r="26" spans="9:42">
      <c r="I26" s="3"/>
      <c r="J26" s="3"/>
      <c r="K26" s="3"/>
      <c r="L26" s="3"/>
      <c r="M26" s="3"/>
      <c r="N26" s="3"/>
      <c r="O26" s="3"/>
      <c r="P26" s="3"/>
      <c r="Q26" s="3"/>
      <c r="R26" s="3"/>
      <c r="S26" s="3"/>
      <c r="T26" s="3"/>
      <c r="U26" s="3"/>
      <c r="V26" s="3"/>
      <c r="W26" s="3"/>
    </row>
    <row r="27" spans="9:42">
      <c r="J27" s="3"/>
      <c r="K27" s="3"/>
      <c r="L27" s="3"/>
      <c r="M27" s="3"/>
      <c r="N27" s="3"/>
      <c r="O27" s="3"/>
      <c r="P27" s="3"/>
      <c r="Q27" s="3"/>
      <c r="R27" s="3"/>
      <c r="S27" s="3"/>
      <c r="T27" s="3"/>
      <c r="U27" s="3"/>
      <c r="V27" s="3"/>
      <c r="W27" s="3"/>
    </row>
    <row r="28" spans="9:42">
      <c r="I28" s="3"/>
      <c r="J28" s="3"/>
      <c r="K28" s="3"/>
      <c r="L28" s="3"/>
      <c r="M28" s="3"/>
      <c r="N28" s="3"/>
      <c r="O28" s="3"/>
      <c r="P28" s="3"/>
      <c r="Q28" s="3"/>
      <c r="R28" s="3"/>
      <c r="S28" s="3"/>
      <c r="T28" s="3"/>
      <c r="U28" s="3"/>
      <c r="V28" s="3"/>
      <c r="W28" s="3"/>
      <c r="AP28" s="3"/>
    </row>
    <row r="29" spans="9:42">
      <c r="I29" s="3"/>
      <c r="J29" s="3"/>
      <c r="K29" s="3"/>
      <c r="L29" s="3"/>
      <c r="M29" s="3"/>
      <c r="N29" s="3"/>
      <c r="O29" s="3"/>
      <c r="P29" s="3"/>
      <c r="Q29" s="3"/>
      <c r="R29" s="3"/>
      <c r="S29" s="3"/>
      <c r="T29" s="3"/>
      <c r="U29" s="3"/>
      <c r="V29" s="3"/>
      <c r="W29" s="3"/>
      <c r="AP29" s="3"/>
    </row>
    <row r="30" spans="9:42">
      <c r="I30" s="3"/>
      <c r="J30" s="3"/>
      <c r="K30" s="3"/>
      <c r="L30" s="3"/>
      <c r="M30" s="3"/>
      <c r="N30" s="3"/>
      <c r="O30" s="3"/>
      <c r="P30" s="3"/>
      <c r="Q30" s="3"/>
      <c r="R30" s="3"/>
      <c r="S30" s="3"/>
      <c r="T30" s="3"/>
      <c r="U30" s="3"/>
      <c r="V30" s="3"/>
      <c r="W30" s="3"/>
    </row>
    <row r="31" spans="9:42">
      <c r="J31" s="3"/>
      <c r="K31" s="3"/>
      <c r="L31" s="3"/>
      <c r="M31" s="3"/>
      <c r="N31" s="3"/>
      <c r="O31" s="3"/>
      <c r="P31" s="3"/>
      <c r="Q31" s="3"/>
      <c r="R31" s="3"/>
      <c r="S31" s="3"/>
      <c r="T31" s="3"/>
      <c r="U31" s="3"/>
      <c r="V31" s="3"/>
      <c r="W31" s="3"/>
    </row>
    <row r="32" spans="9:42">
      <c r="I32" s="3"/>
      <c r="J32" s="3"/>
      <c r="K32" s="3"/>
      <c r="L32" s="3"/>
      <c r="M32" s="3"/>
      <c r="N32" s="3"/>
      <c r="O32" s="3"/>
      <c r="P32" s="3"/>
      <c r="Q32" s="3"/>
      <c r="R32" s="3"/>
      <c r="S32" s="3"/>
      <c r="T32" s="3"/>
      <c r="U32" s="3"/>
      <c r="V32" s="3"/>
      <c r="W32" s="3"/>
      <c r="AG32" s="3"/>
      <c r="AP32" s="3"/>
    </row>
    <row r="33" spans="9:42">
      <c r="I33" s="3"/>
      <c r="J33" s="3"/>
      <c r="K33" s="3"/>
      <c r="L33" s="3"/>
      <c r="M33" s="3"/>
      <c r="N33" s="3"/>
      <c r="O33" s="3"/>
      <c r="P33" s="3"/>
      <c r="Q33" s="3"/>
      <c r="R33" s="3"/>
      <c r="S33" s="3"/>
      <c r="T33" s="3"/>
      <c r="U33" s="3"/>
      <c r="V33" s="3"/>
      <c r="W33" s="3"/>
      <c r="AG33" s="3"/>
      <c r="AP33" s="3"/>
    </row>
    <row r="34" spans="9:42">
      <c r="I34" s="3"/>
      <c r="J34" s="3"/>
      <c r="K34" s="3"/>
      <c r="L34" s="3"/>
      <c r="M34" s="3"/>
      <c r="N34" s="3"/>
      <c r="O34" s="3"/>
      <c r="P34" s="3"/>
      <c r="Q34" s="3"/>
      <c r="R34" s="3"/>
      <c r="S34" s="3"/>
      <c r="T34" s="3"/>
      <c r="U34" s="3"/>
      <c r="V34" s="3"/>
      <c r="W34" s="3"/>
      <c r="AO34" s="3"/>
    </row>
    <row r="35" spans="9:42">
      <c r="J35" s="3"/>
      <c r="K35" s="3"/>
      <c r="L35" s="3"/>
      <c r="M35" s="3"/>
      <c r="N35" s="3"/>
      <c r="O35" s="3"/>
      <c r="P35" s="3"/>
      <c r="Q35" s="3"/>
      <c r="R35" s="3"/>
      <c r="S35" s="3"/>
      <c r="T35" s="3"/>
      <c r="U35" s="3"/>
      <c r="V35" s="3"/>
      <c r="W35" s="3"/>
      <c r="AO35" s="3"/>
    </row>
    <row r="36" spans="9:42">
      <c r="I36" s="3"/>
      <c r="J36" s="3"/>
      <c r="K36" s="3"/>
      <c r="L36" s="3"/>
      <c r="M36" s="3"/>
      <c r="N36" s="3"/>
      <c r="O36" s="3"/>
      <c r="P36" s="3"/>
      <c r="Q36" s="3"/>
      <c r="R36" s="3"/>
      <c r="S36" s="3"/>
      <c r="T36" s="3"/>
      <c r="U36" s="3"/>
      <c r="V36" s="3"/>
      <c r="W36" s="3"/>
      <c r="AP36" s="3"/>
    </row>
    <row r="37" spans="9:42">
      <c r="I37" s="3"/>
      <c r="J37" s="3"/>
      <c r="K37" s="3"/>
      <c r="L37" s="3"/>
      <c r="M37" s="3"/>
      <c r="N37" s="3"/>
      <c r="O37" s="3"/>
      <c r="P37" s="3"/>
      <c r="Q37" s="3"/>
      <c r="R37" s="3"/>
      <c r="S37" s="3"/>
      <c r="T37" s="3"/>
      <c r="U37" s="3"/>
      <c r="V37" s="3"/>
      <c r="W37" s="3"/>
      <c r="AP37" s="3"/>
    </row>
    <row r="38" spans="9:42">
      <c r="I38" s="3"/>
      <c r="J38" s="3"/>
      <c r="K38" s="3"/>
      <c r="L38" s="3"/>
      <c r="M38" s="3"/>
      <c r="N38" s="3"/>
      <c r="O38" s="3"/>
      <c r="P38" s="3"/>
      <c r="Q38" s="3"/>
      <c r="R38" s="3"/>
      <c r="S38" s="3"/>
      <c r="T38" s="3"/>
      <c r="U38" s="3"/>
      <c r="V38" s="3"/>
      <c r="W38" s="3"/>
      <c r="AH38" s="3"/>
      <c r="AI38" s="3"/>
      <c r="AJ38" s="3"/>
      <c r="AK38" s="3"/>
      <c r="AL38" s="3"/>
      <c r="AM38" s="3"/>
      <c r="AN38" s="3"/>
    </row>
    <row r="39" spans="9:42">
      <c r="J39" s="3"/>
      <c r="K39" s="3"/>
      <c r="L39" s="3"/>
      <c r="M39" s="3"/>
      <c r="N39" s="3"/>
      <c r="O39" s="3"/>
      <c r="P39" s="3"/>
      <c r="Q39" s="3"/>
      <c r="R39" s="3"/>
      <c r="S39" s="3"/>
      <c r="T39" s="3"/>
      <c r="U39" s="3"/>
      <c r="V39" s="3"/>
      <c r="W39" s="3"/>
      <c r="AH39" s="3"/>
      <c r="AI39" s="3"/>
      <c r="AJ39" s="3"/>
      <c r="AK39" s="3"/>
      <c r="AL39" s="3"/>
      <c r="AM39" s="3"/>
      <c r="AN39" s="3"/>
    </row>
    <row r="40" spans="9:42">
      <c r="I40" s="3"/>
      <c r="J40" s="3"/>
      <c r="K40" s="3"/>
      <c r="L40" s="3"/>
      <c r="M40" s="3"/>
      <c r="N40" s="3"/>
      <c r="O40" s="3"/>
      <c r="P40" s="3"/>
      <c r="Q40" s="3"/>
      <c r="R40" s="3"/>
      <c r="S40" s="3"/>
      <c r="T40" s="3"/>
      <c r="U40" s="3"/>
      <c r="V40" s="3"/>
      <c r="W40" s="3"/>
      <c r="AH40" s="3"/>
      <c r="AI40" s="3"/>
      <c r="AJ40" s="3"/>
      <c r="AK40" s="3"/>
      <c r="AL40" s="3"/>
      <c r="AM40" s="3"/>
      <c r="AN40" s="3"/>
      <c r="AP40" s="3"/>
    </row>
    <row r="41" spans="9:42">
      <c r="I41" s="3"/>
      <c r="J41" s="3"/>
      <c r="K41" s="3"/>
      <c r="L41" s="3"/>
      <c r="M41" s="3"/>
      <c r="N41" s="3"/>
      <c r="O41" s="3"/>
      <c r="P41" s="3"/>
      <c r="Q41" s="3"/>
      <c r="R41" s="3"/>
      <c r="S41" s="3"/>
      <c r="T41" s="3"/>
      <c r="U41" s="3"/>
      <c r="V41" s="3"/>
      <c r="W41" s="3"/>
      <c r="AP41" s="3"/>
    </row>
    <row r="42" spans="9:42">
      <c r="I42" s="3"/>
      <c r="J42" s="3"/>
      <c r="K42" s="3"/>
      <c r="L42" s="3"/>
      <c r="M42" s="3"/>
      <c r="N42" s="3"/>
      <c r="O42" s="3"/>
      <c r="P42" s="3"/>
      <c r="Q42" s="3"/>
      <c r="R42" s="3"/>
      <c r="S42" s="3"/>
      <c r="T42" s="3"/>
      <c r="U42" s="3"/>
      <c r="V42" s="3"/>
      <c r="W42" s="3"/>
    </row>
    <row r="43" spans="9:42">
      <c r="J43" s="3"/>
      <c r="K43" s="3"/>
      <c r="L43" s="3"/>
      <c r="M43" s="3"/>
      <c r="N43" s="3"/>
      <c r="O43" s="3"/>
      <c r="P43" s="3"/>
      <c r="Q43" s="3"/>
      <c r="R43" s="3"/>
      <c r="S43" s="3"/>
      <c r="T43" s="3"/>
      <c r="U43" s="3"/>
      <c r="V43" s="3"/>
      <c r="W43" s="3"/>
    </row>
    <row r="44" spans="9:42">
      <c r="I44" s="3"/>
      <c r="J44" s="3"/>
      <c r="K44" s="3"/>
      <c r="L44" s="3"/>
      <c r="M44" s="3"/>
      <c r="N44" s="3"/>
      <c r="O44" s="3"/>
      <c r="P44" s="3"/>
      <c r="Q44" s="3"/>
      <c r="R44" s="3"/>
      <c r="S44" s="3"/>
      <c r="T44" s="3"/>
      <c r="U44" s="3"/>
      <c r="V44" s="3"/>
      <c r="W44" s="3"/>
      <c r="AG44" s="3"/>
      <c r="AP44" s="3"/>
    </row>
    <row r="45" spans="9:42">
      <c r="I45" s="3"/>
      <c r="J45" s="3"/>
      <c r="K45" s="3"/>
      <c r="L45" s="3"/>
      <c r="M45" s="3"/>
      <c r="N45" s="3"/>
      <c r="O45" s="3"/>
      <c r="P45" s="3"/>
      <c r="Q45" s="3"/>
      <c r="R45" s="3"/>
      <c r="S45" s="3"/>
      <c r="T45" s="3"/>
      <c r="U45" s="3"/>
      <c r="V45" s="3"/>
      <c r="W45" s="3"/>
      <c r="AG45" s="3"/>
      <c r="AP45" s="3"/>
    </row>
    <row r="46" spans="9:42">
      <c r="I46" s="3"/>
      <c r="J46" s="3"/>
      <c r="K46" s="3"/>
      <c r="L46" s="3"/>
      <c r="M46" s="3"/>
      <c r="N46" s="3"/>
      <c r="O46" s="3"/>
      <c r="P46" s="3"/>
      <c r="Q46" s="3"/>
      <c r="R46" s="3"/>
      <c r="S46" s="3"/>
      <c r="T46" s="3"/>
      <c r="U46" s="3"/>
      <c r="V46" s="3"/>
      <c r="W46" s="3"/>
    </row>
    <row r="47" spans="9:42">
      <c r="J47" s="3"/>
      <c r="K47" s="3"/>
      <c r="L47" s="3"/>
      <c r="M47" s="3"/>
      <c r="N47" s="3"/>
      <c r="O47" s="3"/>
      <c r="P47" s="3"/>
      <c r="Q47" s="3"/>
      <c r="R47" s="3"/>
      <c r="S47" s="3"/>
      <c r="T47" s="3"/>
      <c r="U47" s="3"/>
      <c r="V47" s="3"/>
      <c r="W47" s="3"/>
      <c r="AO47" s="3"/>
    </row>
    <row r="48" spans="9:42">
      <c r="I48" s="3"/>
      <c r="J48" s="3"/>
      <c r="K48" s="3"/>
      <c r="L48" s="3"/>
      <c r="M48" s="3"/>
      <c r="N48" s="3"/>
      <c r="O48" s="3"/>
      <c r="P48" s="3"/>
      <c r="Q48" s="3"/>
      <c r="R48" s="3"/>
      <c r="S48" s="3"/>
      <c r="T48" s="3"/>
      <c r="U48" s="3"/>
      <c r="V48" s="3"/>
      <c r="W48" s="3"/>
      <c r="AO48" s="3"/>
      <c r="AP48" s="3"/>
    </row>
    <row r="49" spans="9:42">
      <c r="I49" s="3"/>
      <c r="J49" s="3"/>
      <c r="K49" s="3"/>
      <c r="L49" s="3"/>
      <c r="M49" s="3"/>
      <c r="N49" s="3"/>
      <c r="O49" s="3"/>
      <c r="P49" s="3"/>
      <c r="Q49" s="3"/>
      <c r="R49" s="3"/>
      <c r="S49" s="3"/>
      <c r="T49" s="3"/>
      <c r="U49" s="3"/>
      <c r="V49" s="3"/>
      <c r="W49" s="3"/>
      <c r="AP49" s="3"/>
    </row>
    <row r="50" spans="9:42">
      <c r="I50" s="3"/>
      <c r="J50" s="3"/>
      <c r="K50" s="3"/>
      <c r="L50" s="3"/>
      <c r="M50" s="3"/>
      <c r="N50" s="3"/>
      <c r="O50" s="3"/>
      <c r="P50" s="3"/>
      <c r="Q50" s="3"/>
      <c r="R50" s="3"/>
      <c r="S50" s="3"/>
      <c r="T50" s="3"/>
      <c r="U50" s="3"/>
      <c r="V50" s="3"/>
      <c r="W50" s="3"/>
    </row>
    <row r="51" spans="9:42">
      <c r="J51" s="3"/>
      <c r="K51" s="3"/>
      <c r="L51" s="3"/>
      <c r="M51" s="3"/>
      <c r="N51" s="3"/>
      <c r="O51" s="3"/>
      <c r="P51" s="3"/>
      <c r="Q51" s="3"/>
      <c r="R51" s="3"/>
      <c r="S51" s="3"/>
      <c r="T51" s="3"/>
      <c r="U51" s="3"/>
      <c r="V51" s="3"/>
      <c r="W51" s="3"/>
    </row>
    <row r="52" spans="9:42">
      <c r="I52" s="3"/>
      <c r="J52" s="3"/>
      <c r="K52" s="3"/>
      <c r="L52" s="3"/>
      <c r="M52" s="3"/>
      <c r="N52" s="3"/>
      <c r="O52" s="3"/>
      <c r="P52" s="3"/>
      <c r="Q52" s="3"/>
      <c r="R52" s="3"/>
      <c r="S52" s="3"/>
      <c r="T52" s="3"/>
      <c r="U52" s="3"/>
      <c r="V52" s="3"/>
      <c r="W52" s="3"/>
      <c r="AP52" s="3"/>
    </row>
    <row r="53" spans="9:42">
      <c r="I53" s="3"/>
      <c r="J53" s="3"/>
      <c r="K53" s="3"/>
      <c r="L53" s="3"/>
      <c r="M53" s="3"/>
      <c r="N53" s="3"/>
      <c r="O53" s="3"/>
      <c r="P53" s="3"/>
      <c r="Q53" s="3"/>
      <c r="R53" s="3"/>
      <c r="S53" s="3"/>
      <c r="T53" s="3"/>
      <c r="U53" s="3"/>
      <c r="V53" s="3"/>
      <c r="W53" s="3"/>
      <c r="AH53" s="3"/>
      <c r="AI53" s="3"/>
      <c r="AJ53" s="3"/>
      <c r="AK53" s="3"/>
      <c r="AL53" s="3"/>
      <c r="AM53" s="3"/>
      <c r="AN53" s="3"/>
      <c r="AP53" s="3"/>
    </row>
    <row r="54" spans="9:42">
      <c r="I54" s="3"/>
      <c r="J54" s="3"/>
      <c r="K54" s="3"/>
      <c r="L54" s="3"/>
      <c r="M54" s="3"/>
      <c r="N54" s="3"/>
      <c r="O54" s="3"/>
      <c r="P54" s="3"/>
      <c r="Q54" s="3"/>
      <c r="R54" s="3"/>
      <c r="S54" s="3"/>
      <c r="T54" s="3"/>
      <c r="U54" s="3"/>
      <c r="V54" s="3"/>
      <c r="W54" s="3"/>
      <c r="AH54" s="3"/>
      <c r="AI54" s="3"/>
      <c r="AJ54" s="3"/>
      <c r="AK54" s="3"/>
      <c r="AL54" s="3"/>
      <c r="AM54" s="3"/>
      <c r="AN54" s="3"/>
    </row>
    <row r="55" spans="9:42">
      <c r="J55" s="3"/>
      <c r="K55" s="3"/>
      <c r="L55" s="3"/>
      <c r="M55" s="3"/>
      <c r="N55" s="3"/>
      <c r="O55" s="3"/>
      <c r="P55" s="3"/>
      <c r="Q55" s="3"/>
      <c r="R55" s="3"/>
      <c r="S55" s="3"/>
      <c r="T55" s="3"/>
      <c r="U55" s="3"/>
      <c r="V55" s="3"/>
      <c r="W55" s="3"/>
      <c r="AH55" s="3"/>
      <c r="AI55" s="3"/>
      <c r="AJ55" s="3"/>
      <c r="AK55" s="3"/>
      <c r="AL55" s="3"/>
      <c r="AM55" s="3"/>
      <c r="AN55" s="3"/>
    </row>
    <row r="56" spans="9:42">
      <c r="I56" s="3"/>
      <c r="J56" s="3"/>
      <c r="K56" s="3"/>
      <c r="L56" s="3"/>
      <c r="M56" s="3"/>
      <c r="N56" s="3"/>
      <c r="O56" s="3"/>
      <c r="P56" s="3"/>
      <c r="Q56" s="3"/>
      <c r="R56" s="3"/>
      <c r="S56" s="3"/>
      <c r="T56" s="3"/>
      <c r="U56" s="3"/>
      <c r="V56" s="3"/>
      <c r="W56" s="3"/>
      <c r="AG56" s="3"/>
      <c r="AP56" s="3"/>
    </row>
    <row r="57" spans="9:42" s="3" customFormat="1"/>
    <row r="58" spans="9:42" s="3" customFormat="1"/>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
  <sheetViews>
    <sheetView topLeftCell="A3" workbookViewId="0">
      <selection activeCell="I14" sqref="I14"/>
    </sheetView>
  </sheetViews>
  <sheetFormatPr defaultRowHeight="14.5"/>
  <cols>
    <col min="1" max="1" width="9.90625" style="6" customWidth="1"/>
    <col min="2" max="2" width="11.1796875" style="6" customWidth="1"/>
    <col min="3" max="16" width="8.7265625" style="6"/>
    <col min="17" max="17" width="11.26953125" style="6" customWidth="1"/>
    <col min="18" max="18" width="12.36328125" style="6" customWidth="1"/>
    <col min="19" max="19" width="11.1796875" style="6" customWidth="1"/>
    <col min="20" max="20" width="15.90625" style="6" customWidth="1"/>
    <col min="21" max="22" width="19.1796875" style="6" customWidth="1"/>
    <col min="23" max="23" width="11.54296875" style="6" customWidth="1"/>
    <col min="24" max="24" width="11.1796875" style="6" customWidth="1"/>
    <col min="25" max="25" width="13.7265625" style="6" customWidth="1"/>
    <col min="26" max="26" width="16.81640625" style="6" customWidth="1"/>
    <col min="27" max="30" width="8.7265625" style="6"/>
    <col min="31" max="31" width="11.08984375" style="6" customWidth="1"/>
    <col min="32" max="16384" width="8.7265625" style="6"/>
  </cols>
  <sheetData>
    <row r="1" spans="1:32">
      <c r="A1" s="107" t="s">
        <v>191</v>
      </c>
      <c r="B1" s="107"/>
      <c r="C1" s="107"/>
      <c r="D1" s="107"/>
      <c r="E1" s="107"/>
      <c r="F1" s="107"/>
      <c r="G1" s="107"/>
      <c r="H1" s="107"/>
      <c r="I1" s="107"/>
      <c r="J1" s="107"/>
      <c r="K1" s="107"/>
      <c r="L1" s="107"/>
      <c r="M1" s="107"/>
      <c r="N1" s="107"/>
      <c r="O1" s="107"/>
      <c r="P1" s="107"/>
      <c r="Q1" s="107"/>
      <c r="R1" s="107"/>
      <c r="S1" s="107"/>
      <c r="T1" s="107"/>
      <c r="U1" s="107"/>
    </row>
    <row r="2" spans="1:32">
      <c r="A2" s="1" t="s">
        <v>197</v>
      </c>
      <c r="B2" s="1" t="s">
        <v>196</v>
      </c>
      <c r="C2" s="1" t="s">
        <v>1</v>
      </c>
      <c r="D2" s="1" t="s">
        <v>2</v>
      </c>
      <c r="E2" s="1" t="s">
        <v>3</v>
      </c>
      <c r="F2" s="1" t="s">
        <v>48</v>
      </c>
      <c r="G2" s="1" t="s">
        <v>49</v>
      </c>
      <c r="H2" s="1" t="s">
        <v>50</v>
      </c>
      <c r="I2" s="1" t="s">
        <v>4</v>
      </c>
      <c r="J2" s="1" t="s">
        <v>5</v>
      </c>
      <c r="K2" s="1" t="s">
        <v>6</v>
      </c>
      <c r="L2" s="1" t="s">
        <v>45</v>
      </c>
      <c r="M2" s="1" t="s">
        <v>46</v>
      </c>
      <c r="N2" s="1" t="s">
        <v>47</v>
      </c>
      <c r="O2" s="1" t="s">
        <v>51</v>
      </c>
      <c r="P2" s="1" t="s">
        <v>52</v>
      </c>
      <c r="Q2" s="1" t="s">
        <v>7</v>
      </c>
      <c r="R2" s="1" t="s">
        <v>8</v>
      </c>
      <c r="S2" s="1" t="s">
        <v>9</v>
      </c>
      <c r="T2" s="1" t="s">
        <v>10</v>
      </c>
      <c r="U2" s="1" t="s">
        <v>11</v>
      </c>
      <c r="V2" s="1" t="s">
        <v>12</v>
      </c>
      <c r="W2" s="1" t="s">
        <v>13</v>
      </c>
      <c r="X2" s="1" t="s">
        <v>14</v>
      </c>
      <c r="Y2" s="1" t="s">
        <v>15</v>
      </c>
      <c r="Z2" s="1" t="s">
        <v>460</v>
      </c>
      <c r="AA2" s="1" t="s">
        <v>16</v>
      </c>
      <c r="AB2" s="1" t="s">
        <v>17</v>
      </c>
      <c r="AC2" s="1" t="s">
        <v>107</v>
      </c>
      <c r="AD2" s="1" t="s">
        <v>459</v>
      </c>
      <c r="AE2" s="1" t="s">
        <v>461</v>
      </c>
      <c r="AF2" s="1" t="s">
        <v>462</v>
      </c>
    </row>
    <row r="3" spans="1:32">
      <c r="A3" s="6" t="s">
        <v>79</v>
      </c>
      <c r="C3" s="6">
        <v>21.78</v>
      </c>
      <c r="D3" s="6">
        <v>2.68</v>
      </c>
      <c r="E3" s="6">
        <v>4.88</v>
      </c>
      <c r="F3" s="6">
        <v>0.56000000000000005</v>
      </c>
      <c r="G3" s="6">
        <v>1.57</v>
      </c>
      <c r="H3" s="6">
        <v>2.08</v>
      </c>
      <c r="I3" s="6">
        <f>C3*26.98/101.96</f>
        <v>5.7632836406433903</v>
      </c>
      <c r="J3" s="6">
        <f>D3*24.305/40.3044</f>
        <v>1.6161362034914302</v>
      </c>
      <c r="K3" s="6">
        <f>E3*79.866/47.867</f>
        <v>8.1422708755510058</v>
      </c>
      <c r="L3" s="6">
        <f>F3*40.078/56.0774</f>
        <v>0.40022682934658177</v>
      </c>
      <c r="M3" s="6">
        <f>G3*39.0983/94.2</f>
        <v>0.65163833333333332</v>
      </c>
      <c r="N3" s="6">
        <f>H3*22.989769/61.9789</f>
        <v>0.77153223952022376</v>
      </c>
      <c r="O3" s="6">
        <f>100*(I3/(I3+L3+M3+N3))</f>
        <v>75.96580913441538</v>
      </c>
      <c r="P3" s="6">
        <f>100*(I3/(I3+L3+N3))</f>
        <v>83.103794483342639</v>
      </c>
      <c r="Q3" s="6">
        <f>I3/I7-1</f>
        <v>0.11463664278403285</v>
      </c>
      <c r="R3" s="6">
        <f>J3/J7-1</f>
        <v>8.0645161290322731E-2</v>
      </c>
      <c r="S3" s="6">
        <f>K3/K7-1</f>
        <v>0.41449275362318816</v>
      </c>
      <c r="T3" s="6">
        <f>R3/-0.61</f>
        <v>-0.13220518244315202</v>
      </c>
      <c r="U3" s="6">
        <f>T3*0.0032</f>
        <v>-4.2305658381808648E-4</v>
      </c>
      <c r="V3" s="6">
        <f>T3*0.000044</f>
        <v>-5.8170280274986886E-6</v>
      </c>
      <c r="W3" s="6">
        <f>I7*(100-U3)/100</f>
        <v>5.170571109343074</v>
      </c>
      <c r="X3" s="6">
        <f>K7*(100-V3)/100</f>
        <v>5.7563188841603878</v>
      </c>
      <c r="Y3" s="6">
        <f>W3/X3</f>
        <v>0.89824264662801934</v>
      </c>
      <c r="Z3" s="6">
        <f>Y3/AA7-1</f>
        <v>4.1723953152494886E-6</v>
      </c>
      <c r="AA3" s="6">
        <f>I3/K3</f>
        <v>0.70782263679644231</v>
      </c>
      <c r="AB3" s="6">
        <f>J3/K3</f>
        <v>0.19848715772208483</v>
      </c>
      <c r="AC3" s="6">
        <f>L3/K3</f>
        <v>4.9154202244530154E-2</v>
      </c>
      <c r="AD3" s="6">
        <f>AA3/AA7-1</f>
        <v>-0.21198843901538655</v>
      </c>
      <c r="AE3" s="6">
        <f>AB3/AB7-1</f>
        <v>-0.23601930195663645</v>
      </c>
      <c r="AF3" s="6">
        <f>AC3/AC7-1</f>
        <v>-0.94884991739738211</v>
      </c>
    </row>
    <row r="4" spans="1:32">
      <c r="A4" s="6" t="s">
        <v>78</v>
      </c>
      <c r="C4" s="6">
        <v>24.5</v>
      </c>
      <c r="D4" s="6">
        <v>2.5099999999999998</v>
      </c>
      <c r="E4" s="6">
        <v>2.62</v>
      </c>
      <c r="F4" s="6">
        <v>1.32</v>
      </c>
      <c r="G4" s="6">
        <v>0.73</v>
      </c>
      <c r="H4" s="6">
        <v>1.74</v>
      </c>
      <c r="I4" s="6">
        <f>C4*26.98/101.96</f>
        <v>6.4830325617889368</v>
      </c>
      <c r="J4" s="6">
        <f>D4*24.305/40.3044</f>
        <v>1.5136201010311527</v>
      </c>
      <c r="K4" s="6">
        <f>E4*79.866/47.867</f>
        <v>4.3714651012179582</v>
      </c>
      <c r="L4" s="6">
        <f>F4*40.078/56.0774</f>
        <v>0.94339181203122846</v>
      </c>
      <c r="M4" s="6">
        <f>G4*39.0983/94.2</f>
        <v>0.30299107218683652</v>
      </c>
      <c r="N4" s="6">
        <f>H4*22.989769/61.9789</f>
        <v>0.64541639267557183</v>
      </c>
      <c r="O4" s="6">
        <f>100*(I4/(I4+L4+M4+N4))</f>
        <v>77.410898351945519</v>
      </c>
      <c r="P4" s="6">
        <f>100*(I4/(I4+L4+N4))</f>
        <v>80.316655758354912</v>
      </c>
      <c r="Q4" s="6">
        <f>I4/I7-1</f>
        <v>0.25383828045035806</v>
      </c>
      <c r="R4" s="6">
        <f>J4/J7-1</f>
        <v>1.2096774193548487E-2</v>
      </c>
      <c r="S4" s="6">
        <f>K4/K7-1</f>
        <v>-0.24057971014492763</v>
      </c>
      <c r="T4" s="6">
        <f>R4/-0.61</f>
        <v>-1.9830777366472929E-2</v>
      </c>
      <c r="U4" s="6">
        <f>T4*0.0032</f>
        <v>-6.3458487572713379E-5</v>
      </c>
      <c r="V4" s="6">
        <f>T4*0.000044</f>
        <v>-8.7255420412480884E-7</v>
      </c>
      <c r="W4" s="6">
        <f>I7*(100-U4)/100</f>
        <v>5.1705525161464596</v>
      </c>
      <c r="X4" s="6">
        <f>K7*(100-V4)/100</f>
        <v>5.756318599540724</v>
      </c>
      <c r="Y4" s="6">
        <f>W4/X4</f>
        <v>0.89823946099143981</v>
      </c>
      <c r="Z4" s="6">
        <f>Y4/AA7-1</f>
        <v>6.2585932814052114E-7</v>
      </c>
      <c r="AA4" s="6">
        <f>I4/K4</f>
        <v>1.4830342715037719</v>
      </c>
      <c r="AB4" s="6">
        <f>J4/K4</f>
        <v>0.34625007085369036</v>
      </c>
      <c r="AC4" s="6">
        <f>L4/K4</f>
        <v>0.21580678106486195</v>
      </c>
      <c r="AD4" s="6">
        <f>AA4/AA7-1</f>
        <v>0.65104659066936499</v>
      </c>
      <c r="AE4" s="6">
        <f>AB4/AB7-1</f>
        <v>0.33272285151440539</v>
      </c>
      <c r="AF4" s="6">
        <f>AC4/AC7-1</f>
        <v>-0.7754304988460855</v>
      </c>
    </row>
    <row r="5" spans="1:32">
      <c r="A5" s="6" t="s">
        <v>77</v>
      </c>
      <c r="C5" s="6">
        <v>21.77</v>
      </c>
      <c r="D5" s="6">
        <v>2.41</v>
      </c>
      <c r="E5" s="6">
        <v>4.82</v>
      </c>
      <c r="F5" s="6">
        <v>1.71</v>
      </c>
      <c r="G5" s="6">
        <v>2.09</v>
      </c>
      <c r="H5" s="6">
        <v>2.35</v>
      </c>
      <c r="I5" s="6">
        <f>C5*26.98/101.96</f>
        <v>5.760637504903884</v>
      </c>
      <c r="J5" s="6">
        <f>D5*24.305/40.3044</f>
        <v>1.453316511348637</v>
      </c>
      <c r="K5" s="6">
        <f>E5*79.866/47.867</f>
        <v>8.0421609877368549</v>
      </c>
      <c r="L5" s="6">
        <f>F5*40.078/56.0774</f>
        <v>1.2221212110404549</v>
      </c>
      <c r="M5" s="6">
        <f>G5*39.0983/94.2</f>
        <v>0.86746759023354558</v>
      </c>
      <c r="N5" s="6">
        <f>H5*22.989769/61.9789</f>
        <v>0.87168305907332966</v>
      </c>
      <c r="O5" s="6">
        <f>100*(I5/(I5+L5+M5+N5))</f>
        <v>66.047894602697028</v>
      </c>
      <c r="P5" s="6">
        <f>100*(I5/(I5+L5+N5))</f>
        <v>73.342417830717523</v>
      </c>
      <c r="Q5" s="6">
        <f>I5/I7-1</f>
        <v>0.11412487205731825</v>
      </c>
      <c r="R5" s="6">
        <f>J5/J7-1</f>
        <v>-2.8225806451612656E-2</v>
      </c>
      <c r="S5" s="6">
        <f>K5/K7-1</f>
        <v>0.39710144927536217</v>
      </c>
      <c r="T5" s="6">
        <f>R5/-0.61</f>
        <v>4.6271813855102713E-2</v>
      </c>
      <c r="U5" s="6">
        <f>T5*0.0032</f>
        <v>1.4806980433632868E-4</v>
      </c>
      <c r="V5" s="6">
        <f>T5*0.000044</f>
        <v>2.0359598096245194E-6</v>
      </c>
      <c r="W5" s="6">
        <f>I7*(100-U5)/100</f>
        <v>5.1705415789719806</v>
      </c>
      <c r="X5" s="6">
        <f>K7*(100-V5)/100</f>
        <v>5.7563184321173928</v>
      </c>
      <c r="Y5" s="6">
        <f>W5/X5</f>
        <v>0.8982375870874223</v>
      </c>
      <c r="Z5" s="6">
        <f>Y5/AA7-1</f>
        <v>-1.4603384750344617E-6</v>
      </c>
      <c r="AA5" s="6">
        <f>I5/K5</f>
        <v>0.71630467404072518</v>
      </c>
      <c r="AB5" s="6">
        <f>J5/K5</f>
        <v>0.18071218837383843</v>
      </c>
      <c r="AC5" s="6">
        <f>L5/K5</f>
        <v>0.15196428085734853</v>
      </c>
      <c r="AD5" s="6">
        <f>AA5/AA7-1</f>
        <v>-0.20254547539465795</v>
      </c>
      <c r="AE5" s="6">
        <f>AB5/AB7-1</f>
        <v>-0.30443548387096753</v>
      </c>
      <c r="AF5" s="6">
        <f>AC5/AC7-1</f>
        <v>-0.84186528997394572</v>
      </c>
    </row>
    <row r="6" spans="1:32">
      <c r="A6" s="6" t="s">
        <v>76</v>
      </c>
      <c r="C6" s="6">
        <v>21.54</v>
      </c>
      <c r="D6" s="6">
        <v>1.91</v>
      </c>
      <c r="E6" s="6">
        <v>5.14</v>
      </c>
      <c r="F6" s="6">
        <v>3.93</v>
      </c>
      <c r="G6" s="6">
        <v>2.2400000000000002</v>
      </c>
      <c r="H6" s="6">
        <v>2.29</v>
      </c>
      <c r="I6" s="6">
        <f>C6*26.98/101.96</f>
        <v>5.6997763828952532</v>
      </c>
      <c r="J6" s="6">
        <f>D6*24.305/40.3044</f>
        <v>1.1517985629360565</v>
      </c>
      <c r="K6" s="6">
        <f>E6*79.866/47.867</f>
        <v>8.576080389412331</v>
      </c>
      <c r="L6" s="6">
        <f>F6*40.078/56.0774</f>
        <v>2.8087347130929756</v>
      </c>
      <c r="M6" s="6">
        <f>G6*39.0983/94.2</f>
        <v>0.92972602972399154</v>
      </c>
      <c r="N6" s="6">
        <f>H6*22.989769/61.9789</f>
        <v>0.84942732139486166</v>
      </c>
      <c r="O6" s="6">
        <f>100*(I6/(I6+L6+M6+N6))</f>
        <v>55.403988069401365</v>
      </c>
      <c r="P6" s="6">
        <f>100*(I6/(I6+L6+N6))</f>
        <v>60.908462191923384</v>
      </c>
      <c r="Q6" s="6">
        <f>I6/I7-1</f>
        <v>0.10235414534288623</v>
      </c>
      <c r="R6" s="6">
        <f>J6/J7-1</f>
        <v>-0.22983870967741926</v>
      </c>
      <c r="S6" s="6">
        <f>K6/K7-1</f>
        <v>0.48985507246376803</v>
      </c>
      <c r="T6" s="6">
        <f>R6/-0.61</f>
        <v>0.37678476996298238</v>
      </c>
      <c r="U6" s="6">
        <f>T6*0.0032</f>
        <v>1.2057112638815437E-3</v>
      </c>
      <c r="V6" s="6">
        <f>T6*0.000044</f>
        <v>1.6578529878371225E-5</v>
      </c>
      <c r="W6" s="6">
        <f>I7*(100-U6)/100</f>
        <v>5.1704868930995849</v>
      </c>
      <c r="X6" s="6">
        <f>K7*(100-V6)/100</f>
        <v>5.7563175950007341</v>
      </c>
      <c r="Y6" s="6">
        <f>W6/X6</f>
        <v>0.8982282175656997</v>
      </c>
      <c r="Z6" s="6">
        <f>Y6/AA7-1</f>
        <v>-1.1891329311564114E-5</v>
      </c>
      <c r="AA6" s="6">
        <f>I6/K6</f>
        <v>0.66461321770397097</v>
      </c>
      <c r="AB6" s="6">
        <f>J6/K6</f>
        <v>0.13430361081479819</v>
      </c>
      <c r="AC6" s="6">
        <f>L6/K6</f>
        <v>0.32750797398780468</v>
      </c>
      <c r="AD6" s="6">
        <f>AA6/AA7-1</f>
        <v>-0.26009303474066958</v>
      </c>
      <c r="AE6" s="6">
        <f>AB6/AB7-1</f>
        <v>-0.48306294715702258</v>
      </c>
      <c r="AF6" s="6">
        <f>AC6/AC7-1</f>
        <v>-0.65919373812324666</v>
      </c>
    </row>
    <row r="7" spans="1:32" s="2" customFormat="1">
      <c r="A7" s="2" t="s">
        <v>75</v>
      </c>
      <c r="B7" s="2" t="s">
        <v>42</v>
      </c>
      <c r="C7" s="2">
        <v>19.54</v>
      </c>
      <c r="D7" s="2">
        <v>2.48</v>
      </c>
      <c r="E7" s="2">
        <v>3.45</v>
      </c>
      <c r="F7" s="2">
        <v>7.74</v>
      </c>
      <c r="G7" s="2">
        <v>1.67</v>
      </c>
      <c r="H7" s="2">
        <v>4.41</v>
      </c>
      <c r="I7" s="2">
        <f>C7*26.98/101.96</f>
        <v>5.170549234994116</v>
      </c>
      <c r="J7" s="2">
        <f>D7*24.305/40.3044</f>
        <v>1.4955290241263979</v>
      </c>
      <c r="K7" s="2">
        <f>E7*79.866/47.867</f>
        <v>5.7563185493137246</v>
      </c>
      <c r="L7" s="2">
        <f>F7*40.078/56.0774</f>
        <v>5.5317065341831118</v>
      </c>
      <c r="M7" s="2">
        <f>G7*39.0983/94.2</f>
        <v>0.69314395966029729</v>
      </c>
      <c r="N7" s="2">
        <f>H7*22.989769/61.9789</f>
        <v>1.6357967193673975</v>
      </c>
      <c r="AA7" s="2">
        <f>I7/K7</f>
        <v>0.89823889882024599</v>
      </c>
      <c r="AB7" s="2">
        <f>J7/K7</f>
        <v>0.25980650850267778</v>
      </c>
      <c r="AC7" s="2">
        <f>L7/K7</f>
        <v>0.96097991916076442</v>
      </c>
    </row>
    <row r="8" spans="1:32">
      <c r="AB8" s="39"/>
      <c r="AC8" s="39" t="s">
        <v>97</v>
      </c>
      <c r="AD8" s="6">
        <f>_xlfn.VAR.P(AD3:AD6)</f>
        <v>0.14433370237382895</v>
      </c>
    </row>
    <row r="9" spans="1:32">
      <c r="AC9" s="39" t="s">
        <v>98</v>
      </c>
      <c r="AD9" s="6">
        <f>AVERAGE(AD3:AD6)</f>
        <v>-5.8950896203372738E-3</v>
      </c>
    </row>
  </sheetData>
  <mergeCells count="1">
    <mergeCell ref="A1:U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53"/>
  <sheetViews>
    <sheetView topLeftCell="R1" zoomScale="60" zoomScaleNormal="60" workbookViewId="0">
      <selection activeCell="AF25" sqref="AF25"/>
    </sheetView>
  </sheetViews>
  <sheetFormatPr defaultRowHeight="14.5"/>
  <cols>
    <col min="1" max="2" width="12.26953125" style="6" customWidth="1"/>
    <col min="3" max="3" width="11.1796875" style="6" customWidth="1"/>
    <col min="4" max="4" width="7.26953125" style="6" customWidth="1"/>
    <col min="5" max="18" width="8.7265625" style="6"/>
    <col min="19" max="19" width="13.26953125" style="6" customWidth="1"/>
    <col min="20" max="21" width="12.54296875" style="6" customWidth="1"/>
    <col min="22" max="22" width="17.90625" style="6" customWidth="1"/>
    <col min="23" max="24" width="20" style="6" customWidth="1"/>
    <col min="25" max="26" width="11.90625" style="6" customWidth="1"/>
    <col min="27" max="27" width="13.81640625" style="6" customWidth="1"/>
    <col min="28" max="28" width="18.36328125" style="6" customWidth="1"/>
    <col min="29" max="32" width="8.7265625" style="6"/>
    <col min="33" max="33" width="11" style="6" customWidth="1"/>
    <col min="34" max="34" width="12.90625" style="6" customWidth="1"/>
    <col min="35" max="16384" width="8.7265625" style="6"/>
  </cols>
  <sheetData>
    <row r="1" spans="1:34">
      <c r="A1" s="91" t="s">
        <v>456</v>
      </c>
      <c r="B1" s="91"/>
      <c r="C1" s="91"/>
      <c r="D1" s="91"/>
      <c r="E1" s="91"/>
      <c r="F1" s="91"/>
      <c r="G1" s="91"/>
      <c r="H1" s="91"/>
      <c r="I1" s="91"/>
      <c r="J1" s="91"/>
      <c r="K1" s="91"/>
      <c r="L1" s="91"/>
      <c r="M1" s="91"/>
      <c r="N1" s="91"/>
      <c r="O1" s="91"/>
      <c r="P1" s="91"/>
      <c r="Q1" s="91"/>
      <c r="R1" s="87"/>
    </row>
    <row r="2" spans="1:34">
      <c r="A2" s="1" t="s">
        <v>197</v>
      </c>
      <c r="B2" s="1" t="s">
        <v>196</v>
      </c>
      <c r="C2" s="1" t="s">
        <v>18</v>
      </c>
      <c r="D2" s="1" t="s">
        <v>1</v>
      </c>
      <c r="E2" s="1" t="s">
        <v>2</v>
      </c>
      <c r="F2" s="1" t="s">
        <v>3</v>
      </c>
      <c r="G2" s="1" t="s">
        <v>48</v>
      </c>
      <c r="H2" s="1" t="s">
        <v>49</v>
      </c>
      <c r="I2" s="1" t="s">
        <v>50</v>
      </c>
      <c r="J2" s="1" t="s">
        <v>4</v>
      </c>
      <c r="K2" s="1" t="s">
        <v>5</v>
      </c>
      <c r="L2" s="1" t="s">
        <v>6</v>
      </c>
      <c r="M2" s="1" t="s">
        <v>45</v>
      </c>
      <c r="N2" s="1" t="s">
        <v>46</v>
      </c>
      <c r="O2" s="1" t="s">
        <v>47</v>
      </c>
      <c r="P2" s="1" t="s">
        <v>51</v>
      </c>
      <c r="Q2" s="1" t="s">
        <v>52</v>
      </c>
      <c r="R2" s="1" t="s">
        <v>378</v>
      </c>
      <c r="S2" s="1" t="s">
        <v>7</v>
      </c>
      <c r="T2" s="1" t="s">
        <v>8</v>
      </c>
      <c r="U2" s="1" t="s">
        <v>9</v>
      </c>
      <c r="V2" s="1" t="s">
        <v>10</v>
      </c>
      <c r="W2" s="1" t="s">
        <v>11</v>
      </c>
      <c r="X2" s="1" t="s">
        <v>12</v>
      </c>
      <c r="Y2" s="1" t="s">
        <v>13</v>
      </c>
      <c r="Z2" s="1" t="s">
        <v>14</v>
      </c>
      <c r="AA2" s="1" t="s">
        <v>15</v>
      </c>
      <c r="AB2" s="1" t="s">
        <v>460</v>
      </c>
      <c r="AC2" s="1" t="s">
        <v>16</v>
      </c>
      <c r="AD2" s="1" t="s">
        <v>17</v>
      </c>
      <c r="AE2" s="1" t="s">
        <v>107</v>
      </c>
      <c r="AF2" s="1" t="s">
        <v>459</v>
      </c>
      <c r="AG2" s="1" t="s">
        <v>461</v>
      </c>
      <c r="AH2" s="1" t="s">
        <v>462</v>
      </c>
    </row>
    <row r="3" spans="1:34">
      <c r="A3" s="6">
        <v>9</v>
      </c>
      <c r="B3" s="6" t="s">
        <v>457</v>
      </c>
      <c r="C3" s="6">
        <v>200</v>
      </c>
      <c r="D3" s="6">
        <v>9.85</v>
      </c>
      <c r="E3" s="6">
        <v>0.16</v>
      </c>
      <c r="F3" s="6">
        <v>2.0299999999999998</v>
      </c>
      <c r="G3" s="6">
        <v>0.04</v>
      </c>
      <c r="H3" s="6">
        <v>0.03</v>
      </c>
      <c r="J3" s="6">
        <f t="shared" ref="J3:J11" si="0">D3*26.98/101.96</f>
        <v>2.6064437034131034</v>
      </c>
      <c r="K3" s="6">
        <f t="shared" ref="K3:K11" si="1">E3*24.305/40.3044</f>
        <v>9.6485743492025683E-2</v>
      </c>
      <c r="L3" s="6">
        <f>F3*47.867/79.866</f>
        <v>1.2166630355846042</v>
      </c>
      <c r="M3" s="6">
        <f>G3*40.078/56.0774</f>
        <v>2.8587630667612982E-2</v>
      </c>
      <c r="N3" s="6">
        <f>H3*39.0983/94.2</f>
        <v>1.2451687898089172E-2</v>
      </c>
      <c r="O3" s="6">
        <f>I3*22.989769/61.9789</f>
        <v>0</v>
      </c>
      <c r="P3" s="6">
        <f>100*(J3/(J3+M3+N3+O3))</f>
        <v>98.449874154999179</v>
      </c>
      <c r="Q3" s="6">
        <f>100*(J3/(J3+M3+O3))</f>
        <v>98.915093331230281</v>
      </c>
      <c r="R3" s="6">
        <v>1332</v>
      </c>
      <c r="S3" s="6">
        <f>(J3/J11-1)*100</f>
        <v>-28.206997084548114</v>
      </c>
      <c r="T3" s="6">
        <f>(K3/K11-1)*100</f>
        <v>-97.691197691197701</v>
      </c>
      <c r="U3" s="6">
        <f>(L3/L11-1)*100</f>
        <v>-6.0185185185185226</v>
      </c>
      <c r="V3" s="6">
        <f>T3/-0.13</f>
        <v>751.47075147075157</v>
      </c>
      <c r="W3" s="6">
        <f>V3*0.0018</f>
        <v>1.3526473526473528</v>
      </c>
      <c r="X3" s="6">
        <f>V3*0.00015</f>
        <v>0.11272061272061272</v>
      </c>
      <c r="Y3" s="6">
        <f>J11*(100-W3)/100</f>
        <v>3.5813903963435552</v>
      </c>
      <c r="Z3" s="6">
        <f>L11*(100-X3)/100</f>
        <v>1.2931181615769853</v>
      </c>
      <c r="AA3" s="6">
        <f t="shared" ref="AA3:AA10" si="2">Y3/Z3</f>
        <v>2.7695770601319007</v>
      </c>
      <c r="AB3" s="6">
        <f>AA3/AC11-1</f>
        <v>-1.2413259701661961E-2</v>
      </c>
      <c r="AC3" s="6">
        <f t="shared" ref="AC3:AC11" si="3">J3/L3</f>
        <v>2.1422888895122161</v>
      </c>
      <c r="AD3" s="6">
        <f t="shared" ref="AD3:AD11" si="4">K3/L3</f>
        <v>7.9303587493035385E-2</v>
      </c>
      <c r="AE3" s="6">
        <f t="shared" ref="AE3:AE11" si="5">M3/L3</f>
        <v>2.3496752865411648E-2</v>
      </c>
      <c r="AF3" s="6">
        <f>AC3/AC11-1</f>
        <v>-0.23609415617056118</v>
      </c>
      <c r="AG3" s="6">
        <f>AD3/AD11-1</f>
        <v>-0.97543343356151235</v>
      </c>
      <c r="AH3" s="6">
        <f>AE3/AE11-1</f>
        <v>-0.99612724509966522</v>
      </c>
    </row>
    <row r="4" spans="1:34">
      <c r="A4" s="6">
        <v>8</v>
      </c>
      <c r="B4" s="6" t="s">
        <v>457</v>
      </c>
      <c r="C4" s="6">
        <v>500</v>
      </c>
      <c r="D4" s="6">
        <v>27.22</v>
      </c>
      <c r="E4" s="6">
        <v>0.1</v>
      </c>
      <c r="F4" s="6">
        <v>2.33</v>
      </c>
      <c r="G4" s="6">
        <v>0</v>
      </c>
      <c r="H4" s="6">
        <v>7.0000000000000007E-2</v>
      </c>
      <c r="J4" s="6">
        <f t="shared" si="0"/>
        <v>7.2027814829344843</v>
      </c>
      <c r="K4" s="6">
        <f t="shared" si="1"/>
        <v>6.0303589682516062E-2</v>
      </c>
      <c r="L4" s="6">
        <f t="shared" ref="L4:L11" si="6">F4*47.867/79.866</f>
        <v>1.3964654546365161</v>
      </c>
      <c r="M4" s="6">
        <f t="shared" ref="M4:M11" si="7">G4*40.078/56.0774</f>
        <v>0</v>
      </c>
      <c r="N4" s="6">
        <f t="shared" ref="N4:N11" si="8">H4*39.0983/94.2</f>
        <v>2.9053938428874736E-2</v>
      </c>
      <c r="O4" s="6">
        <f t="shared" ref="O4:O11" si="9">I4*22.989769/61.9789</f>
        <v>0</v>
      </c>
      <c r="P4" s="6">
        <f t="shared" ref="P4:P10" si="10">100*(J4/(J4+M4+N4+O4))</f>
        <v>99.598249452095573</v>
      </c>
      <c r="Q4" s="6">
        <f t="shared" ref="Q4:Q10" si="11">100*(J4/(J4+M4+O4))</f>
        <v>100</v>
      </c>
      <c r="R4" s="6">
        <v>3996</v>
      </c>
      <c r="S4" s="6">
        <f>(J4/J11-1)*100</f>
        <v>98.396501457725918</v>
      </c>
      <c r="T4" s="6">
        <f>(K4/K11-1)*100</f>
        <v>-98.55699855699855</v>
      </c>
      <c r="U4" s="6">
        <f>(L4/L11-1)*100</f>
        <v>7.870370370370372</v>
      </c>
      <c r="V4" s="6">
        <f t="shared" ref="V4:V10" si="12">T4/-0.13</f>
        <v>758.13075813075807</v>
      </c>
      <c r="W4" s="6">
        <f t="shared" ref="W4:W10" si="13">V4*0.0018</f>
        <v>1.3646353646353644</v>
      </c>
      <c r="X4" s="6">
        <f t="shared" ref="X4:X10" si="14">V4*0.00015</f>
        <v>0.1137196137196137</v>
      </c>
      <c r="Y4" s="6">
        <f>J11*(100-W4)/100</f>
        <v>3.5809551717799666</v>
      </c>
      <c r="Z4" s="6">
        <f>L11*(100-X4)/100</f>
        <v>1.2931052287356548</v>
      </c>
      <c r="AA4" s="6">
        <f t="shared" si="2"/>
        <v>2.769268186535196</v>
      </c>
      <c r="AB4" s="6">
        <f>AA4/AC11-1</f>
        <v>-1.2523399070204833E-2</v>
      </c>
      <c r="AC4" s="6">
        <f t="shared" si="3"/>
        <v>5.1578658526925647</v>
      </c>
      <c r="AD4" s="6">
        <f t="shared" si="4"/>
        <v>4.318301572179771E-2</v>
      </c>
      <c r="AE4" s="6">
        <f t="shared" si="5"/>
        <v>0</v>
      </c>
      <c r="AF4" s="6">
        <f>AC4/AC11-1</f>
        <v>0.83921220235488403</v>
      </c>
      <c r="AG4" s="6">
        <f>AD4/AD11-1</f>
        <v>-0.98662281924084494</v>
      </c>
      <c r="AH4" s="6">
        <f>AE4/AE11-1</f>
        <v>-1</v>
      </c>
    </row>
    <row r="5" spans="1:34">
      <c r="A5" s="6">
        <v>7</v>
      </c>
      <c r="B5" s="6" t="s">
        <v>457</v>
      </c>
      <c r="C5" s="6">
        <v>600</v>
      </c>
      <c r="D5" s="6">
        <v>31.3</v>
      </c>
      <c r="E5" s="6">
        <v>0.26</v>
      </c>
      <c r="F5" s="6">
        <v>2.44</v>
      </c>
      <c r="G5" s="6">
        <v>0.05</v>
      </c>
      <c r="H5" s="6">
        <v>0.03</v>
      </c>
      <c r="J5" s="6">
        <f t="shared" si="0"/>
        <v>8.2824048646528059</v>
      </c>
      <c r="K5" s="6">
        <f t="shared" si="1"/>
        <v>0.15678933317454175</v>
      </c>
      <c r="L5" s="6">
        <f t="shared" si="6"/>
        <v>1.4623930082888839</v>
      </c>
      <c r="M5" s="6">
        <f t="shared" si="7"/>
        <v>3.573453833451623E-2</v>
      </c>
      <c r="N5" s="6">
        <f t="shared" si="8"/>
        <v>1.2451687898089172E-2</v>
      </c>
      <c r="O5" s="6">
        <f t="shared" si="9"/>
        <v>0</v>
      </c>
      <c r="P5" s="6">
        <f t="shared" si="10"/>
        <v>99.421574943399563</v>
      </c>
      <c r="Q5" s="6">
        <f t="shared" si="11"/>
        <v>99.570402266621272</v>
      </c>
      <c r="R5" s="6">
        <v>1524</v>
      </c>
      <c r="S5" s="6">
        <f>(J5/J11-1)*100</f>
        <v>128.13411078717198</v>
      </c>
      <c r="T5" s="6">
        <f>(K5/K11-1)*100</f>
        <v>-96.248196248196251</v>
      </c>
      <c r="U5" s="6">
        <f>(L5/L11-1)*100</f>
        <v>12.962962962962955</v>
      </c>
      <c r="V5" s="6">
        <f t="shared" si="12"/>
        <v>740.37074037074035</v>
      </c>
      <c r="W5" s="6">
        <f t="shared" si="13"/>
        <v>1.3326673326673326</v>
      </c>
      <c r="X5" s="6">
        <f t="shared" si="14"/>
        <v>0.11105561105561104</v>
      </c>
      <c r="Y5" s="6">
        <f>J11*(100-W5)/100</f>
        <v>3.5821157706162028</v>
      </c>
      <c r="Z5" s="6">
        <f>L11*(100-X5)/100</f>
        <v>1.293139716312536</v>
      </c>
      <c r="AA5" s="6">
        <f t="shared" si="2"/>
        <v>2.770091835730494</v>
      </c>
      <c r="AB5" s="6">
        <f>AA5/AC11-1</f>
        <v>-1.2229698983053261E-2</v>
      </c>
      <c r="AC5" s="6">
        <f t="shared" si="3"/>
        <v>5.6635971436596773</v>
      </c>
      <c r="AD5" s="6">
        <f t="shared" si="4"/>
        <v>0.10721422509944692</v>
      </c>
      <c r="AE5" s="6">
        <f t="shared" si="5"/>
        <v>2.4435659998353305E-2</v>
      </c>
      <c r="AF5" s="6">
        <f>AC5/AC11-1</f>
        <v>1.019547865984801</v>
      </c>
      <c r="AG5" s="6">
        <f>AD5/AD11-1</f>
        <v>-0.96678731104960614</v>
      </c>
      <c r="AH5" s="6">
        <f>AE5/AE11-1</f>
        <v>-0.99597249362311491</v>
      </c>
    </row>
    <row r="6" spans="1:34">
      <c r="A6" s="6">
        <v>6</v>
      </c>
      <c r="B6" s="6" t="s">
        <v>457</v>
      </c>
      <c r="C6" s="6">
        <v>1100</v>
      </c>
      <c r="D6" s="6">
        <v>6.97</v>
      </c>
      <c r="E6" s="6">
        <v>0.14000000000000001</v>
      </c>
      <c r="F6" s="6">
        <v>1.4</v>
      </c>
      <c r="G6" s="6">
        <v>0</v>
      </c>
      <c r="H6" s="6">
        <v>0</v>
      </c>
      <c r="J6" s="6">
        <f t="shared" si="0"/>
        <v>1.8443566104354649</v>
      </c>
      <c r="K6" s="6">
        <f t="shared" si="1"/>
        <v>8.4425025555522476E-2</v>
      </c>
      <c r="L6" s="6">
        <f t="shared" si="6"/>
        <v>0.83907795557558895</v>
      </c>
      <c r="M6" s="6">
        <f t="shared" si="7"/>
        <v>0</v>
      </c>
      <c r="N6" s="6">
        <f t="shared" si="8"/>
        <v>0</v>
      </c>
      <c r="O6" s="6">
        <f t="shared" si="9"/>
        <v>0</v>
      </c>
      <c r="P6" s="6">
        <f t="shared" si="10"/>
        <v>100</v>
      </c>
      <c r="Q6" s="6">
        <f t="shared" si="11"/>
        <v>100</v>
      </c>
      <c r="R6" s="6">
        <v>321</v>
      </c>
      <c r="S6" s="6">
        <f>(J6/J11-1)*100</f>
        <v>-49.19825072886298</v>
      </c>
      <c r="T6" s="6">
        <f>(K6/K11-1)*100</f>
        <v>-97.979797979797979</v>
      </c>
      <c r="U6" s="6">
        <f>(L6/L11-1)*100</f>
        <v>-35.185185185185198</v>
      </c>
      <c r="V6" s="6">
        <f t="shared" si="12"/>
        <v>753.6907536907537</v>
      </c>
      <c r="W6" s="6">
        <f t="shared" si="13"/>
        <v>1.3566433566433567</v>
      </c>
      <c r="X6" s="6">
        <f t="shared" si="14"/>
        <v>0.11305361305361304</v>
      </c>
      <c r="Y6" s="6">
        <f>J11*(100-W6)/100</f>
        <v>3.5812453214890252</v>
      </c>
      <c r="Z6" s="6">
        <f>L11*(100-X6)/100</f>
        <v>1.2931138506298752</v>
      </c>
      <c r="AA6" s="6">
        <f t="shared" si="2"/>
        <v>2.7694741029528083</v>
      </c>
      <c r="AB6" s="6">
        <f>AA6/AC11-1</f>
        <v>-1.2449972579723356E-2</v>
      </c>
      <c r="AC6" s="6">
        <f t="shared" si="3"/>
        <v>2.1980753971426612</v>
      </c>
      <c r="AD6" s="6">
        <f t="shared" si="4"/>
        <v>0.10061642663178867</v>
      </c>
      <c r="AE6" s="6">
        <f t="shared" si="5"/>
        <v>0</v>
      </c>
      <c r="AF6" s="6">
        <f>AC6/AC11-1</f>
        <v>-0.21620158267388589</v>
      </c>
      <c r="AG6" s="6">
        <f>AD6/AD11-1</f>
        <v>-0.96883116883116882</v>
      </c>
      <c r="AH6" s="6">
        <f>AE6/AE11-1</f>
        <v>-1</v>
      </c>
    </row>
    <row r="7" spans="1:34">
      <c r="A7" s="6">
        <v>5</v>
      </c>
      <c r="B7" s="6" t="s">
        <v>457</v>
      </c>
      <c r="C7" s="6">
        <v>1300</v>
      </c>
      <c r="D7" s="6">
        <v>25.83</v>
      </c>
      <c r="E7" s="6">
        <v>0.23</v>
      </c>
      <c r="F7" s="6">
        <v>5.76</v>
      </c>
      <c r="G7" s="6">
        <v>7.0000000000000007E-2</v>
      </c>
      <c r="H7" s="6">
        <v>0.02</v>
      </c>
      <c r="J7" s="6">
        <f t="shared" si="0"/>
        <v>6.8349686151431932</v>
      </c>
      <c r="K7" s="6">
        <f t="shared" si="1"/>
        <v>0.13869825626978693</v>
      </c>
      <c r="L7" s="6">
        <f t="shared" si="6"/>
        <v>3.4522064457967092</v>
      </c>
      <c r="M7" s="6">
        <f t="shared" si="7"/>
        <v>5.0028353668322721E-2</v>
      </c>
      <c r="N7" s="6">
        <f t="shared" si="8"/>
        <v>8.3011252653927819E-3</v>
      </c>
      <c r="O7" s="6">
        <f t="shared" si="9"/>
        <v>0</v>
      </c>
      <c r="P7" s="6">
        <f t="shared" si="10"/>
        <v>99.153823349321925</v>
      </c>
      <c r="Q7" s="6">
        <f t="shared" si="11"/>
        <v>99.273371449617969</v>
      </c>
      <c r="R7" s="6">
        <v>811</v>
      </c>
      <c r="S7" s="6">
        <f>(J7/J11-1)*100</f>
        <v>88.265306122448933</v>
      </c>
      <c r="T7" s="6">
        <f>(K7/K11-1)*100</f>
        <v>-96.681096681096676</v>
      </c>
      <c r="U7" s="6">
        <f>(L7/L11-1)*100</f>
        <v>166.66666666666666</v>
      </c>
      <c r="V7" s="6">
        <f t="shared" si="12"/>
        <v>743.7007437007436</v>
      </c>
      <c r="W7" s="6">
        <f t="shared" si="13"/>
        <v>1.3386613386613384</v>
      </c>
      <c r="X7" s="6">
        <f t="shared" si="14"/>
        <v>0.11155511155511152</v>
      </c>
      <c r="Y7" s="6">
        <f>J11*(100-W7)/100</f>
        <v>3.5818981583344085</v>
      </c>
      <c r="Z7" s="6">
        <f>L11*(100-X7)/100</f>
        <v>1.2931332498918706</v>
      </c>
      <c r="AA7" s="6">
        <f t="shared" si="2"/>
        <v>2.7699374048528411</v>
      </c>
      <c r="AB7" s="6">
        <f>AA7/AC11-1</f>
        <v>-1.2284766556098337E-2</v>
      </c>
      <c r="AC7" s="6">
        <f t="shared" si="3"/>
        <v>1.9798840893380585</v>
      </c>
      <c r="AD7" s="6">
        <f t="shared" si="4"/>
        <v>4.0176698134221166E-2</v>
      </c>
      <c r="AE7" s="6">
        <f t="shared" si="5"/>
        <v>1.4491703915690084E-2</v>
      </c>
      <c r="AF7" s="6">
        <f>AC7/AC11-1</f>
        <v>-0.29400510204081642</v>
      </c>
      <c r="AG7" s="6">
        <f>AD7/AD11-1</f>
        <v>-0.98755411255411252</v>
      </c>
      <c r="AH7" s="6">
        <f>AE7/AE11-1</f>
        <v>-0.99761146496815289</v>
      </c>
    </row>
    <row r="8" spans="1:34">
      <c r="A8" s="6">
        <v>4</v>
      </c>
      <c r="B8" s="6" t="s">
        <v>457</v>
      </c>
      <c r="C8" s="6">
        <v>1500</v>
      </c>
      <c r="D8" s="6">
        <v>31.95</v>
      </c>
      <c r="E8" s="6">
        <v>0.38</v>
      </c>
      <c r="F8" s="6">
        <v>4.78</v>
      </c>
      <c r="G8" s="6">
        <v>1.91</v>
      </c>
      <c r="H8" s="6">
        <v>0.01</v>
      </c>
      <c r="J8" s="6">
        <f t="shared" si="0"/>
        <v>8.4544036877206743</v>
      </c>
      <c r="K8" s="3">
        <f t="shared" si="1"/>
        <v>0.22915364079356101</v>
      </c>
      <c r="L8" s="6">
        <f t="shared" si="6"/>
        <v>2.8648518768937969</v>
      </c>
      <c r="M8" s="6">
        <f t="shared" si="7"/>
        <v>1.3650593643785198</v>
      </c>
      <c r="N8" s="6">
        <f t="shared" si="8"/>
        <v>4.1505626326963909E-3</v>
      </c>
      <c r="O8" s="6">
        <f t="shared" si="9"/>
        <v>0</v>
      </c>
      <c r="P8" s="6">
        <f t="shared" si="10"/>
        <v>86.062054344667075</v>
      </c>
      <c r="Q8" s="6">
        <f t="shared" si="11"/>
        <v>86.09843168474778</v>
      </c>
      <c r="R8" s="6">
        <v>335</v>
      </c>
      <c r="S8" s="6">
        <f>(J8/J11-1)*100</f>
        <v>132.87172011661804</v>
      </c>
      <c r="T8" s="6">
        <f>(K8/K11-1)*100</f>
        <v>-94.516594516594523</v>
      </c>
      <c r="U8" s="6">
        <f>(L8/L11-1)*100</f>
        <v>121.29629629629628</v>
      </c>
      <c r="V8" s="6">
        <f t="shared" si="12"/>
        <v>727.05072705072712</v>
      </c>
      <c r="W8" s="6">
        <f t="shared" si="13"/>
        <v>1.3086913086913088</v>
      </c>
      <c r="X8" s="6">
        <f t="shared" si="14"/>
        <v>0.10905760905760906</v>
      </c>
      <c r="Y8" s="6">
        <f>J11*(100-W8)/100</f>
        <v>3.5829862197433799</v>
      </c>
      <c r="Z8" s="6">
        <f>L11*(100-X8)/100</f>
        <v>1.2931655819951964</v>
      </c>
      <c r="AA8" s="6">
        <f t="shared" si="2"/>
        <v>2.7707095437966034</v>
      </c>
      <c r="AB8" s="6">
        <f>AA8/AC11-1</f>
        <v>-1.2009434198134827E-2</v>
      </c>
      <c r="AC8" s="6">
        <f t="shared" si="3"/>
        <v>2.9510788169918665</v>
      </c>
      <c r="AD8" s="6">
        <f t="shared" si="4"/>
        <v>7.9987954226108132E-2</v>
      </c>
      <c r="AE8" s="6">
        <f t="shared" si="5"/>
        <v>0.47648514584236706</v>
      </c>
      <c r="AF8" s="6">
        <f>AC8/AC11-1</f>
        <v>5.2307354501872183E-2</v>
      </c>
      <c r="AG8" s="6">
        <f>AD8/AD11-1</f>
        <v>-0.97522143128837691</v>
      </c>
      <c r="AH8" s="6">
        <f>AE8/AE11-1</f>
        <v>-0.92146531079985228</v>
      </c>
    </row>
    <row r="9" spans="1:34">
      <c r="A9" s="6">
        <v>3</v>
      </c>
      <c r="B9" s="6" t="s">
        <v>216</v>
      </c>
      <c r="C9" s="6">
        <v>2600</v>
      </c>
      <c r="D9" s="6">
        <v>31.54</v>
      </c>
      <c r="E9" s="6">
        <v>0.4</v>
      </c>
      <c r="F9" s="6">
        <v>5.1100000000000003</v>
      </c>
      <c r="G9" s="6">
        <v>0.19</v>
      </c>
      <c r="H9" s="6">
        <v>0.02</v>
      </c>
      <c r="J9" s="3">
        <f t="shared" si="0"/>
        <v>8.3459121224009429</v>
      </c>
      <c r="K9" s="3">
        <f t="shared" si="1"/>
        <v>0.24121435873006425</v>
      </c>
      <c r="L9" s="6">
        <f t="shared" si="6"/>
        <v>3.0626345378509003</v>
      </c>
      <c r="M9" s="6">
        <f t="shared" si="7"/>
        <v>0.13579124567116166</v>
      </c>
      <c r="N9" s="6">
        <f t="shared" si="8"/>
        <v>8.3011252653927819E-3</v>
      </c>
      <c r="O9" s="6">
        <f t="shared" si="9"/>
        <v>0</v>
      </c>
      <c r="P9" s="6">
        <f t="shared" si="10"/>
        <v>98.30279982714228</v>
      </c>
      <c r="Q9" s="6">
        <f t="shared" si="11"/>
        <v>98.399009729787025</v>
      </c>
      <c r="R9" s="6">
        <v>1165</v>
      </c>
      <c r="S9" s="6">
        <f>(J9/J11-1)*100</f>
        <v>129.88338192419823</v>
      </c>
      <c r="T9" s="6">
        <f>(K9/K11-1)*100</f>
        <v>-94.22799422799423</v>
      </c>
      <c r="U9" s="6">
        <f>(L9/L11-1)*100</f>
        <v>136.5740740740741</v>
      </c>
      <c r="V9" s="6">
        <f t="shared" si="12"/>
        <v>724.83072483072488</v>
      </c>
      <c r="W9" s="6">
        <f t="shared" si="13"/>
        <v>1.3046953046953047</v>
      </c>
      <c r="X9" s="6">
        <f t="shared" si="14"/>
        <v>0.10872460872460872</v>
      </c>
      <c r="Y9" s="6">
        <f>J11*(100-W9)/100</f>
        <v>3.5831312945979095</v>
      </c>
      <c r="Z9" s="6">
        <f>L11*(100-X9)/100</f>
        <v>1.2931698929423066</v>
      </c>
      <c r="AA9" s="6">
        <f t="shared" si="2"/>
        <v>2.7708124927385449</v>
      </c>
      <c r="AB9" s="6">
        <f>AA9/AC11-1</f>
        <v>-1.1972724257309331E-2</v>
      </c>
      <c r="AC9" s="6">
        <f t="shared" si="3"/>
        <v>2.725076080496827</v>
      </c>
      <c r="AD9" s="6">
        <f t="shared" si="4"/>
        <v>7.8760412236233784E-2</v>
      </c>
      <c r="AE9" s="6">
        <f t="shared" si="5"/>
        <v>4.4338050783704855E-2</v>
      </c>
      <c r="AF9" s="6">
        <f>AC9/AC11-1</f>
        <v>-2.8281594997518256E-2</v>
      </c>
      <c r="AG9" s="6">
        <f>AD9/AD11-1</f>
        <v>-0.97560169771520067</v>
      </c>
      <c r="AH9" s="6">
        <f>AE9/AE11-1</f>
        <v>-0.99269216455450515</v>
      </c>
    </row>
    <row r="10" spans="1:34">
      <c r="A10" s="6">
        <v>2</v>
      </c>
      <c r="B10" s="6" t="s">
        <v>216</v>
      </c>
      <c r="C10" s="6">
        <v>3500</v>
      </c>
      <c r="D10" s="6">
        <v>14.15</v>
      </c>
      <c r="E10" s="6">
        <v>5.99</v>
      </c>
      <c r="F10" s="6">
        <v>2.29</v>
      </c>
      <c r="G10" s="6">
        <v>11.45</v>
      </c>
      <c r="H10" s="6">
        <v>0.25</v>
      </c>
      <c r="I10" s="6">
        <v>2.78</v>
      </c>
      <c r="J10" s="3">
        <f t="shared" si="0"/>
        <v>3.7442820714005496</v>
      </c>
      <c r="K10" s="3">
        <f t="shared" si="1"/>
        <v>3.6121850219827114</v>
      </c>
      <c r="L10" s="6">
        <f t="shared" si="6"/>
        <v>1.3724917987629277</v>
      </c>
      <c r="M10" s="6">
        <f t="shared" si="7"/>
        <v>8.183209278604215</v>
      </c>
      <c r="N10" s="6">
        <f t="shared" si="8"/>
        <v>0.10376406581740977</v>
      </c>
      <c r="O10" s="6">
        <f t="shared" si="9"/>
        <v>1.0311825124356835</v>
      </c>
      <c r="P10" s="6">
        <f t="shared" si="10"/>
        <v>28.664496566146948</v>
      </c>
      <c r="Q10" s="6">
        <f t="shared" si="11"/>
        <v>28.894021958936822</v>
      </c>
      <c r="R10" s="6">
        <v>5678</v>
      </c>
      <c r="S10" s="6">
        <f>(J10/J11-1)*100</f>
        <v>3.1341107871720064</v>
      </c>
      <c r="T10" s="6">
        <f>(K10/K11-1)*100</f>
        <v>-13.564213564213567</v>
      </c>
      <c r="U10" s="6">
        <f>(L10/L11-1)*100</f>
        <v>6.0185185185185119</v>
      </c>
      <c r="V10" s="6">
        <f t="shared" si="12"/>
        <v>104.34010434010436</v>
      </c>
      <c r="W10" s="6">
        <f t="shared" si="13"/>
        <v>0.18781218781218784</v>
      </c>
      <c r="X10" s="6">
        <f t="shared" si="14"/>
        <v>1.5651015651015652E-2</v>
      </c>
      <c r="Y10" s="6">
        <f>J11*(100-W10)/100</f>
        <v>3.6236797164389167</v>
      </c>
      <c r="Z10" s="6">
        <f>L11*(100-X10)/100</f>
        <v>1.2943748026595896</v>
      </c>
      <c r="AA10" s="6">
        <f t="shared" si="2"/>
        <v>2.7995598407765945</v>
      </c>
      <c r="AB10" s="6">
        <f>AA10/AC11-1</f>
        <v>-1.7218812135100237E-3</v>
      </c>
      <c r="AC10" s="6">
        <f t="shared" si="3"/>
        <v>2.7280906703962784</v>
      </c>
      <c r="AD10" s="6">
        <f t="shared" si="4"/>
        <v>2.6318445219406725</v>
      </c>
      <c r="AE10" s="6">
        <f t="shared" si="5"/>
        <v>5.9623010395982057</v>
      </c>
      <c r="AF10" s="6">
        <f>AC10/AC11-1</f>
        <v>-2.7206640610080601E-2</v>
      </c>
      <c r="AG10" s="6">
        <f>AD10/AD11-1</f>
        <v>-0.18471048602052975</v>
      </c>
      <c r="AH10" s="6">
        <f>AE10/AE11-1</f>
        <v>-1.7288444040036377E-2</v>
      </c>
    </row>
    <row r="11" spans="1:34" s="2" customFormat="1">
      <c r="A11" s="2">
        <v>1</v>
      </c>
      <c r="B11" s="2" t="s">
        <v>42</v>
      </c>
      <c r="C11" s="2">
        <v>4700</v>
      </c>
      <c r="D11" s="2">
        <v>13.72</v>
      </c>
      <c r="E11" s="2">
        <v>6.93</v>
      </c>
      <c r="F11" s="2">
        <v>2.16</v>
      </c>
      <c r="G11" s="2">
        <v>10.99</v>
      </c>
      <c r="H11" s="2">
        <v>0.16</v>
      </c>
      <c r="I11" s="2">
        <v>2.46</v>
      </c>
      <c r="J11" s="2">
        <f t="shared" si="0"/>
        <v>3.6304982346018053</v>
      </c>
      <c r="K11" s="2">
        <f t="shared" si="1"/>
        <v>4.1790387649983627</v>
      </c>
      <c r="L11" s="2">
        <f t="shared" si="6"/>
        <v>1.2945774171737661</v>
      </c>
      <c r="M11" s="2">
        <f t="shared" si="7"/>
        <v>7.8544515259266667</v>
      </c>
      <c r="N11" s="2">
        <f t="shared" si="8"/>
        <v>6.6409002123142255E-2</v>
      </c>
      <c r="O11" s="2">
        <f t="shared" si="9"/>
        <v>0.91248524481718774</v>
      </c>
      <c r="R11" s="2">
        <v>956</v>
      </c>
      <c r="AC11" s="2">
        <f t="shared" si="3"/>
        <v>2.804388664934125</v>
      </c>
      <c r="AD11" s="2">
        <f t="shared" si="4"/>
        <v>3.2281103544365526</v>
      </c>
      <c r="AE11" s="2">
        <f t="shared" si="5"/>
        <v>6.0671933727022482</v>
      </c>
    </row>
    <row r="12" spans="1:34">
      <c r="J12" s="3"/>
      <c r="K12" s="3"/>
      <c r="L12" s="3"/>
      <c r="M12" s="3"/>
      <c r="N12" s="3"/>
      <c r="O12" s="3"/>
      <c r="P12" s="3"/>
      <c r="Q12" s="3"/>
      <c r="R12" s="3"/>
      <c r="AA12" s="39"/>
      <c r="AD12" s="39"/>
      <c r="AE12" s="39" t="s">
        <v>97</v>
      </c>
      <c r="AF12" s="6">
        <f>_xlfn.VAR.P(AF3:AF10)</f>
        <v>0.22289266870052776</v>
      </c>
      <c r="AG12" s="3"/>
    </row>
    <row r="13" spans="1:34">
      <c r="J13" s="3"/>
      <c r="K13" s="3"/>
      <c r="L13" s="3"/>
      <c r="M13" s="3"/>
      <c r="N13" s="3"/>
      <c r="O13" s="3"/>
      <c r="P13" s="3"/>
      <c r="Q13" s="3"/>
      <c r="R13" s="3"/>
      <c r="AE13" s="39" t="s">
        <v>98</v>
      </c>
      <c r="AF13" s="6">
        <f>AVERAGE(AF3:AF10)</f>
        <v>0.13865979329358685</v>
      </c>
    </row>
    <row r="14" spans="1:34">
      <c r="K14" s="3"/>
      <c r="L14" s="3"/>
      <c r="M14" s="3"/>
      <c r="N14" s="3"/>
      <c r="O14" s="3"/>
      <c r="P14" s="3"/>
      <c r="Q14" s="3"/>
      <c r="R14" s="3"/>
    </row>
    <row r="15" spans="1:34">
      <c r="J15" s="3"/>
      <c r="K15" s="3"/>
      <c r="L15" s="3"/>
      <c r="M15" s="3"/>
      <c r="N15" s="3"/>
      <c r="O15" s="3"/>
      <c r="P15" s="3"/>
      <c r="Q15" s="3"/>
      <c r="R15" s="3"/>
      <c r="AB15" s="3"/>
      <c r="AG15" s="3"/>
    </row>
    <row r="16" spans="1:34">
      <c r="J16" s="3"/>
      <c r="K16" s="3"/>
      <c r="L16" s="3"/>
      <c r="M16" s="3"/>
      <c r="N16" s="3"/>
      <c r="O16" s="3"/>
      <c r="P16" s="3"/>
      <c r="Q16" s="3"/>
      <c r="R16" s="3"/>
      <c r="AB16" s="3"/>
      <c r="AF16" s="3"/>
      <c r="AG16" s="3"/>
    </row>
    <row r="17" spans="10:33">
      <c r="J17" s="3"/>
      <c r="K17" s="3"/>
      <c r="L17" s="3"/>
      <c r="M17" s="3"/>
      <c r="N17" s="3"/>
      <c r="O17" s="3"/>
      <c r="P17" s="3"/>
      <c r="Q17" s="3"/>
      <c r="R17" s="3"/>
      <c r="AF17" s="3"/>
    </row>
    <row r="18" spans="10:33">
      <c r="K18" s="3"/>
      <c r="L18" s="3"/>
      <c r="M18" s="3"/>
      <c r="N18" s="3"/>
      <c r="O18" s="3"/>
      <c r="P18" s="3"/>
      <c r="Q18" s="3"/>
      <c r="R18" s="3"/>
      <c r="AC18" s="3"/>
      <c r="AD18" s="3"/>
      <c r="AE18" s="3"/>
    </row>
    <row r="19" spans="10:33">
      <c r="J19" s="3"/>
      <c r="K19" s="3"/>
      <c r="L19" s="3"/>
      <c r="M19" s="3"/>
      <c r="N19" s="3"/>
      <c r="O19" s="3"/>
      <c r="P19" s="3"/>
      <c r="Q19" s="3"/>
      <c r="R19" s="3"/>
      <c r="AC19" s="3"/>
      <c r="AD19" s="3"/>
      <c r="AE19" s="3"/>
      <c r="AG19" s="3"/>
    </row>
    <row r="20" spans="10:33">
      <c r="J20" s="3"/>
      <c r="K20" s="3"/>
      <c r="L20" s="3"/>
      <c r="M20" s="3"/>
      <c r="N20" s="3"/>
      <c r="O20" s="3"/>
      <c r="P20" s="3"/>
      <c r="Q20" s="3"/>
      <c r="R20" s="3"/>
      <c r="AC20" s="3"/>
      <c r="AD20" s="3"/>
      <c r="AE20" s="3"/>
      <c r="AG20" s="3"/>
    </row>
    <row r="21" spans="10:33">
      <c r="J21" s="3"/>
      <c r="K21" s="3"/>
      <c r="L21" s="3"/>
      <c r="M21" s="3"/>
      <c r="N21" s="3"/>
      <c r="O21" s="3"/>
      <c r="P21" s="3"/>
      <c r="Q21" s="3"/>
      <c r="R21" s="3"/>
    </row>
    <row r="22" spans="10:33">
      <c r="K22" s="3"/>
      <c r="L22" s="3"/>
      <c r="M22" s="3"/>
      <c r="N22" s="3"/>
      <c r="O22" s="3"/>
      <c r="P22" s="3"/>
      <c r="Q22" s="3"/>
      <c r="R22" s="3"/>
    </row>
    <row r="23" spans="10:33">
      <c r="J23" s="3"/>
      <c r="K23" s="3"/>
      <c r="L23" s="3"/>
      <c r="M23" s="3"/>
      <c r="N23" s="3"/>
      <c r="O23" s="3"/>
      <c r="P23" s="3"/>
      <c r="Q23" s="3"/>
      <c r="R23" s="3"/>
      <c r="AG23" s="3"/>
    </row>
    <row r="24" spans="10:33">
      <c r="J24" s="3"/>
      <c r="K24" s="3"/>
      <c r="L24" s="3"/>
      <c r="M24" s="3"/>
      <c r="N24" s="3"/>
      <c r="O24" s="3"/>
      <c r="P24" s="3"/>
      <c r="Q24" s="3"/>
      <c r="R24" s="3"/>
      <c r="AG24" s="3"/>
    </row>
    <row r="25" spans="10:33">
      <c r="J25" s="3"/>
      <c r="K25" s="3"/>
      <c r="L25" s="3"/>
      <c r="M25" s="3"/>
      <c r="N25" s="3"/>
      <c r="O25" s="3"/>
      <c r="P25" s="3"/>
      <c r="Q25" s="3"/>
      <c r="R25" s="3"/>
    </row>
    <row r="26" spans="10:33">
      <c r="K26" s="3"/>
      <c r="L26" s="3"/>
      <c r="M26" s="3"/>
      <c r="N26" s="3"/>
      <c r="O26" s="3"/>
      <c r="P26" s="3"/>
      <c r="Q26" s="3"/>
      <c r="R26" s="3"/>
    </row>
    <row r="27" spans="10:33">
      <c r="J27" s="3"/>
      <c r="K27" s="3"/>
      <c r="L27" s="3"/>
      <c r="M27" s="3"/>
      <c r="N27" s="3"/>
      <c r="O27" s="3"/>
      <c r="P27" s="3"/>
      <c r="Q27" s="3"/>
      <c r="R27" s="3"/>
      <c r="AB27" s="3"/>
      <c r="AG27" s="3"/>
    </row>
    <row r="28" spans="10:33">
      <c r="J28" s="3"/>
      <c r="K28" s="3"/>
      <c r="L28" s="3"/>
      <c r="M28" s="3"/>
      <c r="N28" s="3"/>
      <c r="O28" s="3"/>
      <c r="P28" s="3"/>
      <c r="Q28" s="3"/>
      <c r="R28" s="3"/>
      <c r="AB28" s="3"/>
      <c r="AG28" s="3"/>
    </row>
    <row r="29" spans="10:33">
      <c r="J29" s="3"/>
      <c r="K29" s="3"/>
      <c r="L29" s="3"/>
      <c r="M29" s="3"/>
      <c r="N29" s="3"/>
      <c r="O29" s="3"/>
      <c r="P29" s="3"/>
      <c r="Q29" s="3"/>
      <c r="R29" s="3"/>
      <c r="AF29" s="3"/>
    </row>
    <row r="30" spans="10:33">
      <c r="K30" s="3"/>
      <c r="L30" s="3"/>
      <c r="M30" s="3"/>
      <c r="N30" s="3"/>
      <c r="O30" s="3"/>
      <c r="P30" s="3"/>
      <c r="Q30" s="3"/>
      <c r="R30" s="3"/>
      <c r="AF30" s="3"/>
    </row>
    <row r="31" spans="10:33">
      <c r="J31" s="3"/>
      <c r="K31" s="3"/>
      <c r="L31" s="3"/>
      <c r="M31" s="3"/>
      <c r="N31" s="3"/>
      <c r="O31" s="3"/>
      <c r="P31" s="3"/>
      <c r="Q31" s="3"/>
      <c r="R31" s="3"/>
      <c r="AG31" s="3"/>
    </row>
    <row r="32" spans="10:33">
      <c r="J32" s="3"/>
      <c r="K32" s="3"/>
      <c r="L32" s="3"/>
      <c r="M32" s="3"/>
      <c r="N32" s="3"/>
      <c r="O32" s="3"/>
      <c r="P32" s="3"/>
      <c r="Q32" s="3"/>
      <c r="R32" s="3"/>
      <c r="AG32" s="3"/>
    </row>
    <row r="33" spans="10:33">
      <c r="J33" s="3"/>
      <c r="K33" s="3"/>
      <c r="L33" s="3"/>
      <c r="M33" s="3"/>
      <c r="N33" s="3"/>
      <c r="O33" s="3"/>
      <c r="P33" s="3"/>
      <c r="Q33" s="3"/>
      <c r="R33" s="3"/>
      <c r="AC33" s="3"/>
      <c r="AD33" s="3"/>
      <c r="AE33" s="3"/>
    </row>
    <row r="34" spans="10:33">
      <c r="K34" s="3"/>
      <c r="L34" s="3"/>
      <c r="M34" s="3"/>
      <c r="N34" s="3"/>
      <c r="O34" s="3"/>
      <c r="P34" s="3"/>
      <c r="Q34" s="3"/>
      <c r="R34" s="3"/>
      <c r="AC34" s="3"/>
      <c r="AD34" s="3"/>
      <c r="AE34" s="3"/>
    </row>
    <row r="35" spans="10:33">
      <c r="J35" s="3"/>
      <c r="K35" s="3"/>
      <c r="L35" s="3"/>
      <c r="M35" s="3"/>
      <c r="N35" s="3"/>
      <c r="O35" s="3"/>
      <c r="P35" s="3"/>
      <c r="Q35" s="3"/>
      <c r="R35" s="3"/>
      <c r="AC35" s="3"/>
      <c r="AD35" s="3"/>
      <c r="AE35" s="3"/>
      <c r="AG35" s="3"/>
    </row>
    <row r="36" spans="10:33">
      <c r="J36" s="3"/>
      <c r="K36" s="3"/>
      <c r="L36" s="3"/>
      <c r="M36" s="3"/>
      <c r="N36" s="3"/>
      <c r="O36" s="3"/>
      <c r="P36" s="3"/>
      <c r="Q36" s="3"/>
      <c r="R36" s="3"/>
      <c r="AG36" s="3"/>
    </row>
    <row r="37" spans="10:33">
      <c r="J37" s="3"/>
      <c r="K37" s="3"/>
      <c r="L37" s="3"/>
      <c r="M37" s="3"/>
      <c r="N37" s="3"/>
      <c r="O37" s="3"/>
      <c r="P37" s="3"/>
      <c r="Q37" s="3"/>
      <c r="R37" s="3"/>
    </row>
    <row r="38" spans="10:33">
      <c r="K38" s="3"/>
      <c r="L38" s="3"/>
      <c r="M38" s="3"/>
      <c r="N38" s="3"/>
      <c r="O38" s="3"/>
      <c r="P38" s="3"/>
      <c r="Q38" s="3"/>
      <c r="R38" s="3"/>
    </row>
    <row r="39" spans="10:33">
      <c r="J39" s="3"/>
      <c r="K39" s="3"/>
      <c r="L39" s="3"/>
      <c r="M39" s="3"/>
      <c r="N39" s="3"/>
      <c r="O39" s="3"/>
      <c r="P39" s="3"/>
      <c r="Q39" s="3"/>
      <c r="R39" s="3"/>
      <c r="AB39" s="3"/>
      <c r="AG39" s="3"/>
    </row>
    <row r="40" spans="10:33">
      <c r="J40" s="3"/>
      <c r="K40" s="3"/>
      <c r="L40" s="3"/>
      <c r="M40" s="3"/>
      <c r="N40" s="3"/>
      <c r="O40" s="3"/>
      <c r="P40" s="3"/>
      <c r="Q40" s="3"/>
      <c r="R40" s="3"/>
      <c r="AB40" s="3"/>
      <c r="AG40" s="3"/>
    </row>
    <row r="41" spans="10:33">
      <c r="J41" s="3"/>
      <c r="K41" s="3"/>
      <c r="L41" s="3"/>
      <c r="M41" s="3"/>
      <c r="N41" s="3"/>
      <c r="O41" s="3"/>
      <c r="P41" s="3"/>
      <c r="Q41" s="3"/>
      <c r="R41" s="3"/>
    </row>
    <row r="42" spans="10:33">
      <c r="K42" s="3"/>
      <c r="L42" s="3"/>
      <c r="M42" s="3"/>
      <c r="N42" s="3"/>
      <c r="O42" s="3"/>
      <c r="P42" s="3"/>
      <c r="Q42" s="3"/>
      <c r="R42" s="3"/>
      <c r="AF42" s="3"/>
    </row>
    <row r="43" spans="10:33">
      <c r="J43" s="3"/>
      <c r="K43" s="3"/>
      <c r="L43" s="3"/>
      <c r="M43" s="3"/>
      <c r="N43" s="3"/>
      <c r="O43" s="3"/>
      <c r="P43" s="3"/>
      <c r="Q43" s="3"/>
      <c r="R43" s="3"/>
      <c r="AF43" s="3"/>
      <c r="AG43" s="3"/>
    </row>
    <row r="44" spans="10:33">
      <c r="J44" s="3"/>
      <c r="K44" s="3"/>
      <c r="L44" s="3"/>
      <c r="M44" s="3"/>
      <c r="N44" s="3"/>
      <c r="O44" s="3"/>
      <c r="P44" s="3"/>
      <c r="Q44" s="3"/>
      <c r="R44" s="3"/>
      <c r="AG44" s="3"/>
    </row>
    <row r="45" spans="10:33">
      <c r="J45" s="3"/>
      <c r="K45" s="3"/>
      <c r="L45" s="3"/>
      <c r="M45" s="3"/>
      <c r="N45" s="3"/>
      <c r="O45" s="3"/>
      <c r="P45" s="3"/>
      <c r="Q45" s="3"/>
      <c r="R45" s="3"/>
    </row>
    <row r="46" spans="10:33">
      <c r="K46" s="3"/>
      <c r="L46" s="3"/>
      <c r="M46" s="3"/>
      <c r="N46" s="3"/>
      <c r="O46" s="3"/>
      <c r="P46" s="3"/>
      <c r="Q46" s="3"/>
      <c r="R46" s="3"/>
    </row>
    <row r="47" spans="10:33">
      <c r="J47" s="3"/>
      <c r="K47" s="3"/>
      <c r="L47" s="3"/>
      <c r="M47" s="3"/>
      <c r="N47" s="3"/>
      <c r="O47" s="3"/>
      <c r="P47" s="3"/>
      <c r="Q47" s="3"/>
      <c r="R47" s="3"/>
      <c r="AG47" s="3"/>
    </row>
    <row r="48" spans="10:33">
      <c r="J48" s="3"/>
      <c r="K48" s="3"/>
      <c r="L48" s="3"/>
      <c r="M48" s="3"/>
      <c r="N48" s="3"/>
      <c r="O48" s="3"/>
      <c r="P48" s="3"/>
      <c r="Q48" s="3"/>
      <c r="R48" s="3"/>
      <c r="AC48" s="3"/>
      <c r="AD48" s="3"/>
      <c r="AE48" s="3"/>
      <c r="AG48" s="3"/>
    </row>
    <row r="49" spans="10:33">
      <c r="J49" s="3"/>
      <c r="K49" s="3"/>
      <c r="L49" s="3"/>
      <c r="M49" s="3"/>
      <c r="N49" s="3"/>
      <c r="O49" s="3"/>
      <c r="P49" s="3"/>
      <c r="Q49" s="3"/>
      <c r="R49" s="3"/>
      <c r="AC49" s="3"/>
      <c r="AD49" s="3"/>
      <c r="AE49" s="3"/>
    </row>
    <row r="50" spans="10:33">
      <c r="K50" s="3"/>
      <c r="L50" s="3"/>
      <c r="M50" s="3"/>
      <c r="N50" s="3"/>
      <c r="O50" s="3"/>
      <c r="P50" s="3"/>
      <c r="Q50" s="3"/>
      <c r="R50" s="3"/>
      <c r="AC50" s="3"/>
      <c r="AD50" s="3"/>
      <c r="AE50" s="3"/>
    </row>
    <row r="51" spans="10:33">
      <c r="J51" s="3"/>
      <c r="K51" s="3"/>
      <c r="L51" s="3"/>
      <c r="M51" s="3"/>
      <c r="N51" s="3"/>
      <c r="O51" s="3"/>
      <c r="P51" s="3"/>
      <c r="Q51" s="3"/>
      <c r="R51" s="3"/>
      <c r="AB51" s="3"/>
      <c r="AG51" s="3"/>
    </row>
    <row r="52" spans="10:33" s="3" customFormat="1"/>
    <row r="53" spans="10:33" s="3" customFormat="1"/>
  </sheetData>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70"/>
  <sheetViews>
    <sheetView topLeftCell="A7" zoomScale="80" zoomScaleNormal="80" workbookViewId="0">
      <selection activeCell="H25" sqref="H25"/>
    </sheetView>
  </sheetViews>
  <sheetFormatPr defaultRowHeight="14.5"/>
  <cols>
    <col min="1" max="2" width="11.26953125" style="6" customWidth="1"/>
    <col min="3" max="3" width="11.1796875" style="6" customWidth="1"/>
    <col min="4" max="4" width="7.26953125" style="6" customWidth="1"/>
    <col min="5" max="16" width="8.7265625" style="6"/>
    <col min="17" max="20" width="8.7265625" style="6" customWidth="1"/>
    <col min="21" max="21" width="13.26953125" style="6" customWidth="1"/>
    <col min="22" max="23" width="12.54296875" style="6" customWidth="1"/>
    <col min="24" max="24" width="17.90625" style="6" customWidth="1"/>
    <col min="25" max="26" width="20" style="6" customWidth="1"/>
    <col min="27" max="28" width="11.90625" style="6" customWidth="1"/>
    <col min="29" max="29" width="13.81640625" style="6" customWidth="1"/>
    <col min="30" max="30" width="18.36328125" style="6" customWidth="1"/>
    <col min="31" max="35" width="8.7265625" style="6"/>
    <col min="36" max="36" width="11" style="6" customWidth="1"/>
    <col min="37" max="37" width="13.81640625" style="6" customWidth="1"/>
    <col min="38" max="38" width="17.08984375" style="6" customWidth="1"/>
    <col min="39" max="16384" width="8.7265625" style="6"/>
  </cols>
  <sheetData>
    <row r="1" spans="1:38">
      <c r="A1" s="81" t="s">
        <v>192</v>
      </c>
      <c r="B1" s="91"/>
      <c r="C1" s="81"/>
      <c r="D1" s="81"/>
      <c r="E1" s="81"/>
      <c r="F1" s="81"/>
      <c r="G1" s="81"/>
      <c r="H1" s="81"/>
      <c r="I1" s="81"/>
      <c r="J1" s="81"/>
      <c r="K1" s="81"/>
      <c r="L1" s="81"/>
      <c r="M1" s="81"/>
      <c r="N1" s="81"/>
      <c r="O1" s="81"/>
      <c r="P1" s="81"/>
    </row>
    <row r="2" spans="1:38">
      <c r="A2" s="1" t="s">
        <v>197</v>
      </c>
      <c r="B2" s="1" t="s">
        <v>196</v>
      </c>
      <c r="C2" s="1" t="s">
        <v>18</v>
      </c>
      <c r="D2" s="1" t="s">
        <v>1</v>
      </c>
      <c r="E2" s="1" t="s">
        <v>2</v>
      </c>
      <c r="F2" s="1" t="s">
        <v>3</v>
      </c>
      <c r="G2" s="1" t="s">
        <v>48</v>
      </c>
      <c r="H2" s="1" t="s">
        <v>49</v>
      </c>
      <c r="I2" s="1" t="s">
        <v>50</v>
      </c>
      <c r="J2" s="1" t="s">
        <v>4</v>
      </c>
      <c r="K2" s="1" t="s">
        <v>5</v>
      </c>
      <c r="L2" s="1" t="s">
        <v>6</v>
      </c>
      <c r="M2" s="1" t="s">
        <v>45</v>
      </c>
      <c r="N2" s="1" t="s">
        <v>46</v>
      </c>
      <c r="O2" s="1" t="s">
        <v>47</v>
      </c>
      <c r="P2" s="1" t="s">
        <v>51</v>
      </c>
      <c r="Q2" s="1" t="s">
        <v>52</v>
      </c>
      <c r="R2" s="1" t="s">
        <v>110</v>
      </c>
      <c r="S2" s="1" t="s">
        <v>378</v>
      </c>
      <c r="T2" s="1" t="s">
        <v>120</v>
      </c>
      <c r="U2" s="1" t="s">
        <v>7</v>
      </c>
      <c r="V2" s="1" t="s">
        <v>8</v>
      </c>
      <c r="W2" s="1" t="s">
        <v>9</v>
      </c>
      <c r="X2" s="1" t="s">
        <v>10</v>
      </c>
      <c r="Y2" s="1" t="s">
        <v>11</v>
      </c>
      <c r="Z2" s="1" t="s">
        <v>12</v>
      </c>
      <c r="AA2" s="1" t="s">
        <v>13</v>
      </c>
      <c r="AB2" s="1" t="s">
        <v>14</v>
      </c>
      <c r="AC2" s="1" t="s">
        <v>15</v>
      </c>
      <c r="AD2" s="1" t="s">
        <v>460</v>
      </c>
      <c r="AE2" s="1" t="s">
        <v>16</v>
      </c>
      <c r="AF2" s="1" t="s">
        <v>17</v>
      </c>
      <c r="AG2" s="1" t="s">
        <v>107</v>
      </c>
      <c r="AH2" s="1" t="s">
        <v>134</v>
      </c>
      <c r="AI2" s="1" t="s">
        <v>459</v>
      </c>
      <c r="AJ2" s="1" t="s">
        <v>461</v>
      </c>
      <c r="AK2" s="1" t="s">
        <v>462</v>
      </c>
      <c r="AL2" s="1" t="s">
        <v>465</v>
      </c>
    </row>
    <row r="3" spans="1:38">
      <c r="A3" s="6" t="s">
        <v>478</v>
      </c>
      <c r="B3" s="6" t="s">
        <v>240</v>
      </c>
      <c r="C3" s="6">
        <v>5</v>
      </c>
      <c r="D3" s="6">
        <v>11.17</v>
      </c>
      <c r="E3" s="6">
        <v>4.7699999999999996</v>
      </c>
      <c r="F3" s="6">
        <v>0.54</v>
      </c>
      <c r="G3" s="6">
        <v>2.52</v>
      </c>
      <c r="H3" s="6">
        <v>2.12</v>
      </c>
      <c r="I3" s="6">
        <v>1.51</v>
      </c>
      <c r="J3" s="6">
        <f t="shared" ref="J3:J22" si="0">D3*26.98/101.96</f>
        <v>2.9557336210278544</v>
      </c>
      <c r="K3" s="6">
        <f t="shared" ref="K3:K22" si="1">E3*24.305/40.3044</f>
        <v>2.876481227856015</v>
      </c>
      <c r="L3" s="6">
        <f>F3*47.867/79.866</f>
        <v>0.32364435429344152</v>
      </c>
      <c r="M3" s="6">
        <f>G3*40.078/56.0774</f>
        <v>1.8010207320596177</v>
      </c>
      <c r="N3" s="6">
        <f>H3*39.0983/94.2</f>
        <v>0.87991927813163495</v>
      </c>
      <c r="O3" s="6">
        <f>I3*22.989769/61.9789</f>
        <v>0.56010273157477786</v>
      </c>
      <c r="P3" s="6">
        <f>100*(J3/(J3+M3+N3+O3))</f>
        <v>47.697923048738666</v>
      </c>
      <c r="Q3" s="6">
        <f>100*(J3/(J3+M3+O3))</f>
        <v>55.591744783856932</v>
      </c>
      <c r="R3" s="6">
        <v>175</v>
      </c>
      <c r="T3" s="6">
        <f>R3/10000</f>
        <v>1.7500000000000002E-2</v>
      </c>
      <c r="U3" s="6">
        <f>(J3/J13-1)*100</f>
        <v>-26.221928665785999</v>
      </c>
      <c r="V3" s="6">
        <f>(K3/K13-1)*100</f>
        <v>-4.6000000000000263</v>
      </c>
      <c r="W3" s="6">
        <f>(L3/L13-1)*100</f>
        <v>-65.161290322580641</v>
      </c>
      <c r="X3" s="6">
        <f>V3/-0.61</f>
        <v>7.5409836065574201</v>
      </c>
      <c r="Y3" s="6">
        <f>X3*0.0032</f>
        <v>2.4131147540983746E-2</v>
      </c>
      <c r="Z3" s="6">
        <f>X3*0.000044</f>
        <v>3.318032786885265E-4</v>
      </c>
      <c r="AA3" s="6">
        <f>J13*(100-Y3)/100</f>
        <v>4.0052827556315886</v>
      </c>
      <c r="AB3" s="6">
        <f>L13*(100-Z3)/100</f>
        <v>0.92897608271821697</v>
      </c>
      <c r="AC3" s="6">
        <f t="shared" ref="AC3:AC21" si="2">AA3/AB3</f>
        <v>4.3115025565695824</v>
      </c>
      <c r="AD3" s="6">
        <f>AC3/AE13-1</f>
        <v>-2.3799423229564631E-4</v>
      </c>
      <c r="AE3" s="6">
        <f t="shared" ref="AE3:AE22" si="3">J3/L3</f>
        <v>9.1326592965930526</v>
      </c>
      <c r="AF3" s="6">
        <f>K3/L3</f>
        <v>8.8877843524746609</v>
      </c>
      <c r="AG3" s="6">
        <f>M3/L3</f>
        <v>5.5648143036249911</v>
      </c>
      <c r="AH3" s="6">
        <f>T3/L3</f>
        <v>5.4071698665051085E-2</v>
      </c>
      <c r="AI3" s="6">
        <f>AE3/AE13-1</f>
        <v>1.1177038994079949</v>
      </c>
      <c r="AJ3" s="6">
        <f>AF3/AF13-1</f>
        <v>1.7383333333333324</v>
      </c>
      <c r="AK3" s="6">
        <f>AG3/AG13-1</f>
        <v>-0.26415734147168524</v>
      </c>
      <c r="AL3" s="6">
        <f>AH3/AH13-1</f>
        <v>3.1173345476624172</v>
      </c>
    </row>
    <row r="4" spans="1:38">
      <c r="A4" s="6" t="s">
        <v>479</v>
      </c>
      <c r="B4" s="6" t="s">
        <v>240</v>
      </c>
      <c r="C4" s="6">
        <v>12</v>
      </c>
      <c r="D4" s="6">
        <v>10.51</v>
      </c>
      <c r="E4" s="6">
        <v>5.87</v>
      </c>
      <c r="F4" s="6">
        <v>0.57999999999999996</v>
      </c>
      <c r="G4" s="6">
        <v>2.58</v>
      </c>
      <c r="H4" s="6">
        <v>1.38</v>
      </c>
      <c r="I4" s="6">
        <v>1.1499999999999999</v>
      </c>
      <c r="J4" s="6">
        <f t="shared" si="0"/>
        <v>2.7810886622204789</v>
      </c>
      <c r="K4" s="6">
        <f t="shared" si="1"/>
        <v>3.5398207143636924</v>
      </c>
      <c r="L4" s="6">
        <f t="shared" ref="L4:L22" si="4">F4*47.867/79.866</f>
        <v>0.34761801016702976</v>
      </c>
      <c r="M4" s="6">
        <f t="shared" ref="M4:M22" si="5">G4*40.078/56.0774</f>
        <v>1.8439021780610374</v>
      </c>
      <c r="N4" s="6">
        <f t="shared" ref="N4:N22" si="6">H4*39.0983/94.2</f>
        <v>0.57277764331210179</v>
      </c>
      <c r="O4" s="6">
        <f t="shared" ref="O4:O22" si="7">I4*22.989769/61.9789</f>
        <v>0.42656830550396985</v>
      </c>
      <c r="P4" s="6">
        <f t="shared" ref="P4:P12" si="8">100*(J4/(J4+M4+N4+O4))</f>
        <v>49.447406272174867</v>
      </c>
      <c r="Q4" s="6">
        <f t="shared" ref="Q4:Q12" si="9">100*(J4/(J4+M4+O4))</f>
        <v>55.054065130381382</v>
      </c>
      <c r="R4" s="6">
        <v>168</v>
      </c>
      <c r="T4" s="6">
        <f t="shared" ref="T4:T22" si="10">R4/10000</f>
        <v>1.6799999999999999E-2</v>
      </c>
      <c r="U4" s="6">
        <f>(J4/J13-1)*100</f>
        <v>-30.581241743725229</v>
      </c>
      <c r="V4" s="6">
        <f>(K4/K13-1)*100</f>
        <v>17.399999999999991</v>
      </c>
      <c r="W4" s="6">
        <f>(L4/L13-1)*100</f>
        <v>-62.580645161290327</v>
      </c>
      <c r="X4" s="6">
        <f t="shared" ref="X4:X12" si="11">V4/-0.61</f>
        <v>-28.524590163934413</v>
      </c>
      <c r="Y4" s="6">
        <f t="shared" ref="Y4:Y12" si="12">X4*0.0032</f>
        <v>-9.1278688524590118E-2</v>
      </c>
      <c r="Z4" s="6">
        <f t="shared" ref="Z4:Z12" si="13">X4*0.000044</f>
        <v>-1.2550819672131142E-3</v>
      </c>
      <c r="AA4" s="6">
        <f>J13*(100-Y4)/100</f>
        <v>4.0099063616230088</v>
      </c>
      <c r="AB4" s="6">
        <f>L13*(100-Z4)/100</f>
        <v>0.92899082455152548</v>
      </c>
      <c r="AC4" s="6">
        <f t="shared" si="2"/>
        <v>4.316411158914093</v>
      </c>
      <c r="AD4" s="6">
        <f>AC4/AE13-1</f>
        <v>9.0022476701512311E-4</v>
      </c>
      <c r="AE4" s="6">
        <f t="shared" si="3"/>
        <v>8.0004159188534896</v>
      </c>
      <c r="AF4" s="6">
        <f>K4/L4</f>
        <v>10.183076281527576</v>
      </c>
      <c r="AG4" s="6">
        <f t="shared" ref="AG4:AG22" si="14">M4/L4</f>
        <v>5.3043919593666802</v>
      </c>
      <c r="AH4" s="6">
        <f t="shared" ref="AH4:AH22" si="15">T4/L4</f>
        <v>4.8328911358556E-2</v>
      </c>
      <c r="AI4" s="6">
        <f>AE4/AE13-1</f>
        <v>0.85515647064182598</v>
      </c>
      <c r="AJ4" s="6">
        <f>AF4/AF13-1</f>
        <v>2.1374137931034487</v>
      </c>
      <c r="AK4" s="6">
        <f>AG4/AG13-1</f>
        <v>-0.29859332795453719</v>
      </c>
      <c r="AL4" s="6">
        <f>AH4/AH13-1</f>
        <v>2.6800452232899943</v>
      </c>
    </row>
    <row r="5" spans="1:38">
      <c r="A5" s="6" t="s">
        <v>481</v>
      </c>
      <c r="B5" s="6" t="s">
        <v>240</v>
      </c>
      <c r="C5" s="6">
        <v>30</v>
      </c>
      <c r="D5" s="6">
        <v>11.31</v>
      </c>
      <c r="E5" s="6">
        <v>5.2</v>
      </c>
      <c r="F5" s="6">
        <v>0.63</v>
      </c>
      <c r="G5" s="6">
        <v>2.58</v>
      </c>
      <c r="H5" s="6">
        <v>1.04</v>
      </c>
      <c r="I5" s="6">
        <v>1.47</v>
      </c>
      <c r="J5" s="3">
        <f t="shared" si="0"/>
        <v>2.9927795213809341</v>
      </c>
      <c r="K5" s="3">
        <f t="shared" si="1"/>
        <v>3.1357866634908351</v>
      </c>
      <c r="L5" s="6">
        <f t="shared" si="4"/>
        <v>0.37758508000901508</v>
      </c>
      <c r="M5" s="6">
        <f t="shared" si="5"/>
        <v>1.8439021780610374</v>
      </c>
      <c r="N5" s="6">
        <f t="shared" si="6"/>
        <v>0.43165851380042464</v>
      </c>
      <c r="O5" s="6">
        <f t="shared" si="7"/>
        <v>0.54526557312246582</v>
      </c>
      <c r="P5" s="6">
        <f t="shared" si="8"/>
        <v>51.47888644944161</v>
      </c>
      <c r="Q5" s="6">
        <f t="shared" si="9"/>
        <v>55.607745111834006</v>
      </c>
      <c r="R5" s="6">
        <v>164</v>
      </c>
      <c r="T5" s="6">
        <f t="shared" si="10"/>
        <v>1.6400000000000001E-2</v>
      </c>
      <c r="U5" s="6">
        <f>(J5/J13-1)*100</f>
        <v>-25.297225891677677</v>
      </c>
      <c r="V5" s="6">
        <f>(K5/K13-1)*100</f>
        <v>4.0000000000000036</v>
      </c>
      <c r="W5" s="6">
        <f>(L5/L13-1)*100</f>
        <v>-59.354838709677416</v>
      </c>
      <c r="X5" s="6">
        <f t="shared" si="11"/>
        <v>-6.5573770491803343</v>
      </c>
      <c r="Y5" s="6">
        <f t="shared" si="12"/>
        <v>-2.098360655737707E-2</v>
      </c>
      <c r="Z5" s="6">
        <f t="shared" si="13"/>
        <v>-2.8852459016393472E-4</v>
      </c>
      <c r="AA5" s="6">
        <f>J13*(100-Y5)/100</f>
        <v>4.0070901652464173</v>
      </c>
      <c r="AB5" s="6">
        <f>L13*(100-Z5)/100</f>
        <v>0.92898184543487394</v>
      </c>
      <c r="AC5" s="6">
        <f t="shared" si="2"/>
        <v>4.3134213923961262</v>
      </c>
      <c r="AD5" s="6">
        <f>AC5/AE13-1</f>
        <v>2.0695022256989049E-4</v>
      </c>
      <c r="AE5" s="3">
        <f t="shared" si="3"/>
        <v>7.926106405765502</v>
      </c>
      <c r="AF5" s="3">
        <f>K5/L5</f>
        <v>8.304847912465096</v>
      </c>
      <c r="AG5" s="6">
        <f t="shared" si="14"/>
        <v>4.883408470528054</v>
      </c>
      <c r="AH5" s="6">
        <f t="shared" si="15"/>
        <v>4.3433919580743073E-2</v>
      </c>
      <c r="AI5" s="6">
        <f>AE5/AE13-1</f>
        <v>0.83792539472856542</v>
      </c>
      <c r="AJ5" s="6">
        <f>AF5/AF13-1</f>
        <v>1.558730158730159</v>
      </c>
      <c r="AK5" s="6">
        <f>AG5/AG13-1</f>
        <v>-0.35426052414862164</v>
      </c>
      <c r="AL5" s="6">
        <f>AH5/AH13-1</f>
        <v>2.307311995836586</v>
      </c>
    </row>
    <row r="6" spans="1:38">
      <c r="A6" s="6" t="s">
        <v>483</v>
      </c>
      <c r="B6" s="6" t="s">
        <v>240</v>
      </c>
      <c r="C6" s="6">
        <v>45</v>
      </c>
      <c r="D6" s="6">
        <v>11.63</v>
      </c>
      <c r="E6" s="6">
        <v>4.76</v>
      </c>
      <c r="F6" s="6">
        <v>0.66</v>
      </c>
      <c r="G6" s="6">
        <v>2.5299999999999998</v>
      </c>
      <c r="H6" s="6">
        <v>1.01</v>
      </c>
      <c r="I6" s="6">
        <v>1.39</v>
      </c>
      <c r="J6" s="3">
        <f t="shared" si="0"/>
        <v>3.077455865045116</v>
      </c>
      <c r="K6" s="3">
        <f t="shared" si="1"/>
        <v>2.8704508688877639</v>
      </c>
      <c r="L6" s="6">
        <f t="shared" si="4"/>
        <v>0.39556532191420629</v>
      </c>
      <c r="M6" s="6">
        <f t="shared" si="5"/>
        <v>1.8081676397265209</v>
      </c>
      <c r="N6" s="6">
        <f t="shared" si="6"/>
        <v>0.41920682590233543</v>
      </c>
      <c r="O6" s="6">
        <f t="shared" si="7"/>
        <v>0.51559125621784174</v>
      </c>
      <c r="P6" s="6">
        <f t="shared" si="8"/>
        <v>52.873418516209583</v>
      </c>
      <c r="Q6" s="6">
        <f t="shared" si="9"/>
        <v>56.977106099764484</v>
      </c>
      <c r="R6" s="6">
        <v>175</v>
      </c>
      <c r="T6" s="6">
        <f t="shared" si="10"/>
        <v>1.7500000000000002E-2</v>
      </c>
      <c r="U6" s="6">
        <f>(J6/J13-1)*100</f>
        <v>-23.183619550858658</v>
      </c>
      <c r="V6" s="6">
        <f>(K6/K13-1)*100</f>
        <v>-4.8000000000000149</v>
      </c>
      <c r="W6" s="6">
        <f>(L6/L13-1)*100</f>
        <v>-57.41935483870968</v>
      </c>
      <c r="X6" s="6">
        <f t="shared" si="11"/>
        <v>7.8688524590164182</v>
      </c>
      <c r="Y6" s="6">
        <f t="shared" si="12"/>
        <v>2.5180327868852541E-2</v>
      </c>
      <c r="Z6" s="6">
        <f t="shared" si="13"/>
        <v>3.4622950819672237E-4</v>
      </c>
      <c r="AA6" s="6">
        <f>J13*(100-Y6)/100</f>
        <v>4.0052407228498481</v>
      </c>
      <c r="AB6" s="6">
        <f>L13*(100-Z6)/100</f>
        <v>0.92897594870155042</v>
      </c>
      <c r="AC6" s="6">
        <f t="shared" si="2"/>
        <v>4.3114579321973396</v>
      </c>
      <c r="AD6" s="6">
        <f>AC6/AE13-1</f>
        <v>-2.4834184343913712E-4</v>
      </c>
      <c r="AE6" s="3">
        <f t="shared" si="3"/>
        <v>7.7798929647138833</v>
      </c>
      <c r="AF6" s="3">
        <f>K6/L6</f>
        <v>7.2565786479896053</v>
      </c>
      <c r="AG6" s="6">
        <f t="shared" si="14"/>
        <v>4.5710974636919568</v>
      </c>
      <c r="AH6" s="6">
        <f t="shared" si="15"/>
        <v>4.4240480725950888E-2</v>
      </c>
      <c r="AI6" s="6">
        <f>AE6/AE13-1</f>
        <v>0.80402105600256202</v>
      </c>
      <c r="AJ6" s="6">
        <f>AF6/AF13-1</f>
        <v>1.2357575757575758</v>
      </c>
      <c r="AK6" s="6">
        <f>AG6/AG13-1</f>
        <v>-0.39555781620888431</v>
      </c>
      <c r="AL6" s="6">
        <f>AH6/AH13-1</f>
        <v>2.3687282662692501</v>
      </c>
    </row>
    <row r="7" spans="1:38">
      <c r="A7" s="6" t="s">
        <v>480</v>
      </c>
      <c r="B7" s="6" t="s">
        <v>240</v>
      </c>
      <c r="C7" s="6">
        <v>63</v>
      </c>
      <c r="D7" s="6">
        <v>12.96</v>
      </c>
      <c r="E7" s="6">
        <v>3.32</v>
      </c>
      <c r="F7" s="6">
        <v>0.77</v>
      </c>
      <c r="G7" s="6">
        <v>2.3199999999999998</v>
      </c>
      <c r="H7" s="6">
        <v>0.55000000000000004</v>
      </c>
      <c r="I7" s="6">
        <v>1.38</v>
      </c>
      <c r="J7" s="3">
        <f t="shared" si="0"/>
        <v>3.4293919183993729</v>
      </c>
      <c r="K7" s="3">
        <f t="shared" si="1"/>
        <v>2.002079177459533</v>
      </c>
      <c r="L7" s="6">
        <f t="shared" si="4"/>
        <v>0.46149287556657403</v>
      </c>
      <c r="M7" s="6">
        <f t="shared" si="5"/>
        <v>1.6580825787215527</v>
      </c>
      <c r="N7" s="6">
        <f t="shared" si="6"/>
        <v>0.22828094479830152</v>
      </c>
      <c r="O7" s="6">
        <f t="shared" si="7"/>
        <v>0.51188196660476382</v>
      </c>
      <c r="P7" s="6">
        <f t="shared" si="8"/>
        <v>58.84703659467997</v>
      </c>
      <c r="Q7" s="6">
        <f t="shared" si="9"/>
        <v>61.246179638963902</v>
      </c>
      <c r="R7" s="6">
        <v>196</v>
      </c>
      <c r="T7" s="6">
        <f t="shared" si="10"/>
        <v>1.9599999999999999E-2</v>
      </c>
      <c r="U7" s="6">
        <f>(J7/J13-1)*100</f>
        <v>-14.398943196829583</v>
      </c>
      <c r="V7" s="6">
        <f>(K7/K13-1)*100</f>
        <v>-33.600000000000009</v>
      </c>
      <c r="W7" s="6">
        <f>(L7/L13-1)*100</f>
        <v>-50.322580645161288</v>
      </c>
      <c r="X7" s="6">
        <f t="shared" si="11"/>
        <v>55.081967213114773</v>
      </c>
      <c r="Y7" s="6">
        <f t="shared" si="12"/>
        <v>0.17626229508196728</v>
      </c>
      <c r="Z7" s="6">
        <f t="shared" si="13"/>
        <v>2.4236065573770499E-3</v>
      </c>
      <c r="AA7" s="6">
        <f>J13*(100-Y7)/100</f>
        <v>3.999188002279261</v>
      </c>
      <c r="AB7" s="6">
        <f>L13*(100-Z7)/100</f>
        <v>0.92895665030158314</v>
      </c>
      <c r="AC7" s="6">
        <f t="shared" si="2"/>
        <v>4.3050318881736152</v>
      </c>
      <c r="AD7" s="6">
        <f>AC7/AE13-1</f>
        <v>-1.7384290179256467E-3</v>
      </c>
      <c r="AE7" s="3">
        <f t="shared" si="3"/>
        <v>7.4310831216822448</v>
      </c>
      <c r="AF7" s="3">
        <f>K7/L7</f>
        <v>4.3382667067212761</v>
      </c>
      <c r="AG7" s="6">
        <f t="shared" si="14"/>
        <v>3.5928671199656712</v>
      </c>
      <c r="AH7" s="6">
        <f t="shared" si="15"/>
        <v>4.2470861496912843E-2</v>
      </c>
      <c r="AI7" s="6">
        <f>AE7/AE13-1</f>
        <v>0.72313815642745638</v>
      </c>
      <c r="AJ7" s="6">
        <f>AF7/AF13-1</f>
        <v>0.33662337662337638</v>
      </c>
      <c r="AK7" s="6">
        <f>AG7/AG13-1</f>
        <v>-0.5249104913397894</v>
      </c>
      <c r="AL7" s="6">
        <f>AH7/AH13-1</f>
        <v>2.2339791356184793</v>
      </c>
    </row>
    <row r="8" spans="1:38">
      <c r="A8" s="6" t="s">
        <v>482</v>
      </c>
      <c r="B8" s="6" t="s">
        <v>216</v>
      </c>
      <c r="C8" s="6">
        <v>85</v>
      </c>
      <c r="D8" s="6">
        <v>12.46</v>
      </c>
      <c r="E8" s="6">
        <v>2.78</v>
      </c>
      <c r="F8" s="6">
        <v>0.73</v>
      </c>
      <c r="G8" s="6">
        <v>2.33</v>
      </c>
      <c r="H8" s="6">
        <v>0.51</v>
      </c>
      <c r="I8" s="6">
        <v>1.56</v>
      </c>
      <c r="J8" s="6">
        <f t="shared" si="0"/>
        <v>3.2970851314240885</v>
      </c>
      <c r="K8" s="3">
        <f t="shared" si="1"/>
        <v>1.6764397931739461</v>
      </c>
      <c r="L8" s="6">
        <f t="shared" si="4"/>
        <v>0.43751921969298574</v>
      </c>
      <c r="M8" s="6">
        <f t="shared" si="5"/>
        <v>1.6652294863884562</v>
      </c>
      <c r="N8" s="6">
        <f t="shared" si="6"/>
        <v>0.21167869426751595</v>
      </c>
      <c r="O8" s="6">
        <f t="shared" si="7"/>
        <v>0.57864917964016782</v>
      </c>
      <c r="P8" s="6">
        <f t="shared" si="8"/>
        <v>57.314271418214837</v>
      </c>
      <c r="Q8" s="6">
        <f t="shared" si="9"/>
        <v>59.503820128545534</v>
      </c>
      <c r="R8" s="6">
        <v>176</v>
      </c>
      <c r="T8" s="6">
        <f t="shared" si="10"/>
        <v>1.7600000000000001E-2</v>
      </c>
      <c r="U8" s="6">
        <f>(J8/J13-1)*100</f>
        <v>-17.70145310435931</v>
      </c>
      <c r="V8" s="6">
        <f>(K8/K13-1)*100</f>
        <v>-44.400000000000006</v>
      </c>
      <c r="W8" s="6">
        <f>(L8/L13-1)*100</f>
        <v>-52.903225806451616</v>
      </c>
      <c r="X8" s="6">
        <f t="shared" si="11"/>
        <v>72.786885245901644</v>
      </c>
      <c r="Y8" s="6">
        <f t="shared" si="12"/>
        <v>0.23291803278688528</v>
      </c>
      <c r="Z8" s="6">
        <f t="shared" si="13"/>
        <v>3.2026229508196721E-3</v>
      </c>
      <c r="AA8" s="6">
        <f>J13*(100-Y8)/100</f>
        <v>3.9969182320652914</v>
      </c>
      <c r="AB8" s="6">
        <f>L13*(100-Z8)/100</f>
        <v>0.9289494134015952</v>
      </c>
      <c r="AC8" s="6">
        <f t="shared" si="2"/>
        <v>4.3026220528301025</v>
      </c>
      <c r="AD8" s="6">
        <f>AC8/AE13-1</f>
        <v>-2.2972276699011474E-3</v>
      </c>
      <c r="AE8" s="6">
        <f t="shared" si="3"/>
        <v>7.5358635301500723</v>
      </c>
      <c r="AF8" s="6">
        <f t="shared" ref="AF8:AF22" si="16">K8/L8</f>
        <v>3.8316940552927727</v>
      </c>
      <c r="AG8" s="6">
        <f t="shared" si="14"/>
        <v>3.8060716225380329</v>
      </c>
      <c r="AH8" s="6">
        <f t="shared" si="15"/>
        <v>4.0226804235823525E-2</v>
      </c>
      <c r="AI8" s="6">
        <f>AE8/AE13-1</f>
        <v>0.7474348998389464</v>
      </c>
      <c r="AJ8" s="6">
        <f>AF8/AF13-1</f>
        <v>0.18054794520547923</v>
      </c>
      <c r="AK8" s="6">
        <f>AG8/AG13-1</f>
        <v>-0.49671818169149495</v>
      </c>
      <c r="AL8" s="6">
        <f>AH8/AH13-1</f>
        <v>2.0631035257130028</v>
      </c>
    </row>
    <row r="9" spans="1:38">
      <c r="A9" s="6" t="s">
        <v>484</v>
      </c>
      <c r="B9" s="6" t="s">
        <v>216</v>
      </c>
      <c r="C9" s="6">
        <v>136</v>
      </c>
      <c r="D9" s="6">
        <v>15.22</v>
      </c>
      <c r="E9" s="6">
        <v>3.41</v>
      </c>
      <c r="F9" s="6">
        <v>1.7</v>
      </c>
      <c r="G9" s="6">
        <v>7.68</v>
      </c>
      <c r="H9" s="6">
        <v>0.55000000000000004</v>
      </c>
      <c r="I9" s="6">
        <v>2.68</v>
      </c>
      <c r="J9" s="3">
        <f t="shared" si="0"/>
        <v>4.0274185955276582</v>
      </c>
      <c r="K9" s="3">
        <f t="shared" si="1"/>
        <v>2.0563524081737974</v>
      </c>
      <c r="L9" s="6">
        <f t="shared" si="4"/>
        <v>1.018880374627501</v>
      </c>
      <c r="M9" s="6">
        <f t="shared" si="5"/>
        <v>5.4888250881816916</v>
      </c>
      <c r="N9" s="6">
        <f t="shared" si="6"/>
        <v>0.22828094479830152</v>
      </c>
      <c r="O9" s="6">
        <f t="shared" si="7"/>
        <v>0.99408961630490367</v>
      </c>
      <c r="P9" s="6">
        <f t="shared" si="8"/>
        <v>37.504081101275823</v>
      </c>
      <c r="Q9" s="6">
        <f t="shared" si="9"/>
        <v>38.318657273430105</v>
      </c>
      <c r="R9" s="6">
        <v>143</v>
      </c>
      <c r="T9" s="6">
        <f t="shared" si="10"/>
        <v>1.43E-2</v>
      </c>
      <c r="U9" s="6">
        <f>(J9/J13-1)*100</f>
        <v>0.52840158520475189</v>
      </c>
      <c r="V9" s="6">
        <f>(K9/K13-1)*100</f>
        <v>-31.800000000000004</v>
      </c>
      <c r="W9" s="6">
        <f>(L9/L13-1)*100</f>
        <v>9.6774193548387011</v>
      </c>
      <c r="X9" s="6">
        <f t="shared" si="11"/>
        <v>52.131147540983612</v>
      </c>
      <c r="Y9" s="6">
        <f t="shared" si="12"/>
        <v>0.16681967213114757</v>
      </c>
      <c r="Z9" s="6">
        <f t="shared" si="13"/>
        <v>2.2937704918032788E-3</v>
      </c>
      <c r="AA9" s="6">
        <f>J13*(100-Y9)/100</f>
        <v>3.9995662973149226</v>
      </c>
      <c r="AB9" s="6">
        <f>L13*(100-Z9)/100</f>
        <v>0.92895785645158102</v>
      </c>
      <c r="AC9" s="6">
        <f t="shared" si="2"/>
        <v>4.3054335237471424</v>
      </c>
      <c r="AD9" s="6">
        <f>AC9/AE13-1</f>
        <v>-1.6452967557250009E-3</v>
      </c>
      <c r="AE9" s="6">
        <f t="shared" si="3"/>
        <v>3.9527884684206112</v>
      </c>
      <c r="AF9" s="6">
        <f t="shared" si="16"/>
        <v>2.0182471459670546</v>
      </c>
      <c r="AG9" s="6">
        <f t="shared" si="14"/>
        <v>5.3871143510722606</v>
      </c>
      <c r="AH9" s="6">
        <f t="shared" si="15"/>
        <v>1.4035013683748722E-2</v>
      </c>
      <c r="AI9" s="6">
        <f>AE9/AE13-1</f>
        <v>-8.3417514958427086E-2</v>
      </c>
      <c r="AJ9" s="6">
        <f>AF9/AF13-1</f>
        <v>-0.37817647058823534</v>
      </c>
      <c r="AK9" s="6">
        <f>AG9/AG13-1</f>
        <v>-0.28765483813057258</v>
      </c>
      <c r="AL9" s="6">
        <f>AH9/AH13-1</f>
        <v>6.8707810993249741E-2</v>
      </c>
    </row>
    <row r="10" spans="1:38">
      <c r="A10" s="6" t="s">
        <v>485</v>
      </c>
      <c r="B10" s="6" t="s">
        <v>216</v>
      </c>
      <c r="C10" s="6">
        <v>171</v>
      </c>
      <c r="D10" s="6">
        <v>14.71</v>
      </c>
      <c r="E10" s="6">
        <v>3.49</v>
      </c>
      <c r="F10" s="6">
        <v>1.22</v>
      </c>
      <c r="G10" s="6">
        <v>5.37</v>
      </c>
      <c r="H10" s="6">
        <v>0.31</v>
      </c>
      <c r="I10" s="6">
        <v>2.04</v>
      </c>
      <c r="J10" s="3">
        <f t="shared" si="0"/>
        <v>3.8924656728128681</v>
      </c>
      <c r="K10" s="3">
        <f t="shared" si="1"/>
        <v>2.1045952799198102</v>
      </c>
      <c r="L10" s="6">
        <f t="shared" si="4"/>
        <v>0.73119650414444193</v>
      </c>
      <c r="M10" s="6">
        <f t="shared" si="5"/>
        <v>3.8378894171270428</v>
      </c>
      <c r="N10" s="6">
        <f t="shared" si="6"/>
        <v>0.12866744161358812</v>
      </c>
      <c r="O10" s="6">
        <f t="shared" si="7"/>
        <v>0.75669508106791172</v>
      </c>
      <c r="P10" s="6">
        <f t="shared" si="8"/>
        <v>45.17865890951073</v>
      </c>
      <c r="Q10" s="6">
        <f t="shared" si="9"/>
        <v>45.863587399420837</v>
      </c>
      <c r="R10" s="6">
        <v>164</v>
      </c>
      <c r="T10" s="6">
        <f t="shared" si="10"/>
        <v>1.6400000000000001E-2</v>
      </c>
      <c r="U10" s="6">
        <f>(J10/J13-1)*100</f>
        <v>-2.8401585204755664</v>
      </c>
      <c r="V10" s="6">
        <f>(K10/K13-1)*100</f>
        <v>-30.200000000000003</v>
      </c>
      <c r="W10" s="6">
        <f>(L10/L13-1)*100</f>
        <v>-21.29032258064516</v>
      </c>
      <c r="X10" s="6">
        <f t="shared" si="11"/>
        <v>49.508196721311478</v>
      </c>
      <c r="Y10" s="6">
        <f t="shared" si="12"/>
        <v>0.15842622950819674</v>
      </c>
      <c r="Z10" s="6">
        <f t="shared" si="13"/>
        <v>2.1783606557377049E-3</v>
      </c>
      <c r="AA10" s="6">
        <f>J13*(100-Y10)/100</f>
        <v>3.9999025595688447</v>
      </c>
      <c r="AB10" s="6">
        <f>L13*(100-Z10)/100</f>
        <v>0.92895892858491247</v>
      </c>
      <c r="AC10" s="6">
        <f t="shared" si="2"/>
        <v>4.3057905322702643</v>
      </c>
      <c r="AD10" s="6">
        <f>AC10/AE13-1</f>
        <v>-1.5625127256868598E-3</v>
      </c>
      <c r="AE10" s="6">
        <f t="shared" si="3"/>
        <v>5.3234194238488088</v>
      </c>
      <c r="AF10" s="6">
        <f t="shared" si="16"/>
        <v>2.8782895815159213</v>
      </c>
      <c r="AG10" s="6">
        <f t="shared" si="14"/>
        <v>5.2487797676462895</v>
      </c>
      <c r="AH10" s="6">
        <f t="shared" si="15"/>
        <v>2.242899125890831E-2</v>
      </c>
      <c r="AI10" s="6">
        <f>AE10/AE13-1</f>
        <v>0.23440782207592537</v>
      </c>
      <c r="AJ10" s="6">
        <f>AF10/AF13-1</f>
        <v>-0.1131967213114754</v>
      </c>
      <c r="AK10" s="6">
        <f>AG10/AG13-1</f>
        <v>-0.30594700065040092</v>
      </c>
      <c r="AL10" s="6">
        <f>AH10/AH13-1</f>
        <v>0.70787422735823724</v>
      </c>
    </row>
    <row r="11" spans="1:38">
      <c r="A11" s="6" t="s">
        <v>471</v>
      </c>
      <c r="B11" s="6" t="s">
        <v>216</v>
      </c>
      <c r="C11" s="6">
        <v>300</v>
      </c>
      <c r="D11" s="6">
        <v>15.05</v>
      </c>
      <c r="E11" s="6">
        <v>4.51</v>
      </c>
      <c r="F11" s="6">
        <v>1.69</v>
      </c>
      <c r="G11" s="6">
        <v>9.9700000000000006</v>
      </c>
      <c r="H11" s="6">
        <v>0.32</v>
      </c>
      <c r="I11" s="6">
        <v>2.5</v>
      </c>
      <c r="J11" s="3">
        <f t="shared" si="0"/>
        <v>3.9824342879560617</v>
      </c>
      <c r="K11" s="3">
        <f t="shared" si="1"/>
        <v>2.7196918946814739</v>
      </c>
      <c r="L11" s="6">
        <f t="shared" si="4"/>
        <v>1.012886960659104</v>
      </c>
      <c r="M11" s="6">
        <f t="shared" si="5"/>
        <v>7.125466943902536</v>
      </c>
      <c r="N11" s="6">
        <f t="shared" si="6"/>
        <v>0.13281800424628451</v>
      </c>
      <c r="O11" s="6">
        <f t="shared" si="7"/>
        <v>0.92732240326949966</v>
      </c>
      <c r="P11" s="6">
        <f t="shared" si="8"/>
        <v>32.728637902333958</v>
      </c>
      <c r="Q11" s="6">
        <f t="shared" si="9"/>
        <v>33.089823743135412</v>
      </c>
      <c r="R11" s="6">
        <v>130</v>
      </c>
      <c r="T11" s="6">
        <f t="shared" si="10"/>
        <v>1.2999999999999999E-2</v>
      </c>
      <c r="U11" s="6">
        <f>(J11/J13-1)*100</f>
        <v>-0.5944517833553542</v>
      </c>
      <c r="V11" s="6">
        <f>(K11/K13-1)*100</f>
        <v>-9.8000000000000078</v>
      </c>
      <c r="W11" s="6">
        <f>(L11/L13-1)*100</f>
        <v>9.0322580645161299</v>
      </c>
      <c r="X11" s="6">
        <f t="shared" si="11"/>
        <v>16.065573770491817</v>
      </c>
      <c r="Y11" s="6">
        <f t="shared" si="12"/>
        <v>5.1409836065573818E-2</v>
      </c>
      <c r="Z11" s="6">
        <f t="shared" si="13"/>
        <v>7.0688524590163996E-4</v>
      </c>
      <c r="AA11" s="6">
        <f>J13*(100-Y11)/100</f>
        <v>4.0041899033063437</v>
      </c>
      <c r="AB11" s="6">
        <f>L13*(100-Z11)/100</f>
        <v>0.92897259828488943</v>
      </c>
      <c r="AC11" s="6">
        <f t="shared" si="2"/>
        <v>4.3103423187067706</v>
      </c>
      <c r="AD11" s="6">
        <f>AC11/AE13-1</f>
        <v>-5.0703309233868232E-4</v>
      </c>
      <c r="AE11" s="6">
        <f t="shared" si="3"/>
        <v>3.931765777066198</v>
      </c>
      <c r="AF11" s="6">
        <f t="shared" si="16"/>
        <v>2.6850892550850105</v>
      </c>
      <c r="AG11" s="6">
        <f t="shared" si="14"/>
        <v>7.0348096289697173</v>
      </c>
      <c r="AH11" s="6">
        <f t="shared" si="15"/>
        <v>1.2834601001814322E-2</v>
      </c>
      <c r="AI11" s="6">
        <f>AE11/AE13-1</f>
        <v>-8.8292309255625923E-2</v>
      </c>
      <c r="AJ11" s="6">
        <f>AF11/AF13-1</f>
        <v>-0.17272189349112432</v>
      </c>
      <c r="AK11" s="6">
        <f>AG11/AG13-1</f>
        <v>-6.9777940972869934E-2</v>
      </c>
      <c r="AL11" s="6">
        <f>AH11/AH13-1</f>
        <v>-2.2698612862547263E-2</v>
      </c>
    </row>
    <row r="12" spans="1:38">
      <c r="A12" s="6" t="s">
        <v>469</v>
      </c>
      <c r="B12" s="6" t="s">
        <v>216</v>
      </c>
      <c r="C12" s="6">
        <v>500</v>
      </c>
      <c r="D12" s="6">
        <v>14.96</v>
      </c>
      <c r="E12" s="6">
        <v>4.6100000000000003</v>
      </c>
      <c r="F12" s="6">
        <v>1.67</v>
      </c>
      <c r="G12" s="6">
        <v>9.57</v>
      </c>
      <c r="H12" s="6">
        <v>0.44</v>
      </c>
      <c r="I12" s="6">
        <v>2.84</v>
      </c>
      <c r="J12" s="6">
        <f t="shared" si="0"/>
        <v>3.9586190663005105</v>
      </c>
      <c r="K12" s="3">
        <f t="shared" si="1"/>
        <v>2.7799954843639902</v>
      </c>
      <c r="L12" s="6">
        <f t="shared" si="4"/>
        <v>1.0009001327223099</v>
      </c>
      <c r="M12" s="6">
        <f t="shared" si="5"/>
        <v>6.8395906372264061</v>
      </c>
      <c r="N12" s="6">
        <f t="shared" si="6"/>
        <v>0.18262475583864121</v>
      </c>
      <c r="O12" s="6">
        <f t="shared" si="7"/>
        <v>1.0534382501141515</v>
      </c>
      <c r="P12" s="6">
        <f t="shared" si="8"/>
        <v>32.894543458219985</v>
      </c>
      <c r="Q12" s="6">
        <f t="shared" si="9"/>
        <v>33.40142300703711</v>
      </c>
      <c r="R12" s="6">
        <v>124</v>
      </c>
      <c r="T12" s="6">
        <f t="shared" si="10"/>
        <v>1.24E-2</v>
      </c>
      <c r="U12" s="6">
        <f>(J12/J13-1)*100</f>
        <v>-1.1889035667106973</v>
      </c>
      <c r="V12" s="6">
        <f>(K12/K13-1)*100</f>
        <v>-7.7999999999999954</v>
      </c>
      <c r="W12" s="6">
        <f>(L12/L13-1)*100</f>
        <v>7.7419354838709653</v>
      </c>
      <c r="X12" s="6">
        <f t="shared" si="11"/>
        <v>12.786885245901631</v>
      </c>
      <c r="Y12" s="6">
        <f t="shared" si="12"/>
        <v>4.0918032786885224E-2</v>
      </c>
      <c r="Z12" s="6">
        <f t="shared" si="13"/>
        <v>5.6262295081967173E-4</v>
      </c>
      <c r="AA12" s="6">
        <f>J13*(100-Y12)/100</f>
        <v>4.0046102311237455</v>
      </c>
      <c r="AB12" s="6">
        <f>L13*(100-Z12)/100</f>
        <v>0.92897393845155396</v>
      </c>
      <c r="AC12" s="6">
        <f t="shared" si="2"/>
        <v>4.3107885650686484</v>
      </c>
      <c r="AD12" s="6">
        <f>AC12/AE13-1</f>
        <v>-4.0355636886146851E-4</v>
      </c>
      <c r="AE12" s="6">
        <f t="shared" si="3"/>
        <v>3.9550589882864879</v>
      </c>
      <c r="AF12" s="6">
        <f t="shared" si="16"/>
        <v>2.7774953698954832</v>
      </c>
      <c r="AG12" s="6">
        <f t="shared" si="14"/>
        <v>6.8334396346053685</v>
      </c>
      <c r="AH12" s="6">
        <f t="shared" si="15"/>
        <v>1.2388848392170471E-2</v>
      </c>
      <c r="AI12" s="6">
        <f>AE12/AE13-1</f>
        <v>-8.2891021128153164E-2</v>
      </c>
      <c r="AJ12" s="6">
        <f>AF12/AF13-1</f>
        <v>-0.14425149700598794</v>
      </c>
      <c r="AK12" s="6">
        <f>AG12/AG13-1</f>
        <v>-9.6405358154494469E-2</v>
      </c>
      <c r="AL12" s="6">
        <f>AH12/AH13-1</f>
        <v>-5.6640816727201448E-2</v>
      </c>
    </row>
    <row r="13" spans="1:38" s="2" customFormat="1">
      <c r="A13" s="2" t="s">
        <v>486</v>
      </c>
      <c r="B13" s="2" t="s">
        <v>42</v>
      </c>
      <c r="C13" s="2">
        <v>700</v>
      </c>
      <c r="D13" s="2">
        <v>15.14</v>
      </c>
      <c r="E13" s="2">
        <v>5</v>
      </c>
      <c r="F13" s="2">
        <v>1.55</v>
      </c>
      <c r="G13" s="2">
        <v>9.83</v>
      </c>
      <c r="H13" s="2">
        <v>0.74</v>
      </c>
      <c r="I13" s="2">
        <v>2.91</v>
      </c>
      <c r="J13" s="2">
        <f t="shared" si="0"/>
        <v>4.0062495096116129</v>
      </c>
      <c r="K13" s="2">
        <f t="shared" si="1"/>
        <v>3.0151794841258028</v>
      </c>
      <c r="L13" s="2">
        <f t="shared" si="4"/>
        <v>0.9289791651015451</v>
      </c>
      <c r="M13" s="2">
        <f t="shared" si="5"/>
        <v>7.0254102365658895</v>
      </c>
      <c r="N13" s="2">
        <f t="shared" si="6"/>
        <v>0.30714163481953294</v>
      </c>
      <c r="O13" s="2">
        <f t="shared" si="7"/>
        <v>1.0794032774056976</v>
      </c>
      <c r="R13" s="2">
        <v>122</v>
      </c>
      <c r="T13" s="2">
        <f t="shared" si="10"/>
        <v>1.2200000000000001E-2</v>
      </c>
      <c r="AE13" s="2">
        <f t="shared" si="3"/>
        <v>4.3125289135776219</v>
      </c>
      <c r="AF13" s="2">
        <f t="shared" si="16"/>
        <v>3.2456911816706016</v>
      </c>
      <c r="AG13" s="2">
        <f t="shared" si="14"/>
        <v>7.5625057057097225</v>
      </c>
      <c r="AH13" s="2">
        <f t="shared" si="15"/>
        <v>1.3132694960566139E-2</v>
      </c>
    </row>
    <row r="14" spans="1:38" s="3" customFormat="1">
      <c r="A14" s="3" t="s">
        <v>467</v>
      </c>
      <c r="B14" s="3" t="s">
        <v>240</v>
      </c>
      <c r="C14" s="3">
        <v>0</v>
      </c>
      <c r="D14" s="3">
        <v>14.77</v>
      </c>
      <c r="E14" s="3">
        <v>2.23</v>
      </c>
      <c r="F14" s="3">
        <v>0.74</v>
      </c>
      <c r="G14" s="3">
        <v>2.68</v>
      </c>
      <c r="H14" s="3">
        <v>3.09</v>
      </c>
      <c r="I14" s="3">
        <v>0.95</v>
      </c>
      <c r="J14" s="3">
        <f t="shared" si="0"/>
        <v>3.908342487249902</v>
      </c>
      <c r="K14" s="3">
        <f t="shared" si="1"/>
        <v>1.3447700499201081</v>
      </c>
      <c r="L14" s="3">
        <f t="shared" si="4"/>
        <v>0.44351263366138283</v>
      </c>
      <c r="M14" s="3">
        <f t="shared" si="5"/>
        <v>1.9153712547300699</v>
      </c>
      <c r="N14" s="3">
        <f t="shared" si="6"/>
        <v>1.2825238535031847</v>
      </c>
      <c r="O14" s="3">
        <f t="shared" si="7"/>
        <v>0.35238251324240988</v>
      </c>
      <c r="P14" s="6">
        <f t="shared" ref="P14:P21" si="17">100*(J14/(J14+M14+N14+O14))</f>
        <v>52.40034256038426</v>
      </c>
      <c r="Q14" s="6">
        <f t="shared" ref="Q14:Q21" si="18">100*(J14/(J14+M14+O14))</f>
        <v>63.281761257284266</v>
      </c>
      <c r="R14" s="6">
        <v>205</v>
      </c>
      <c r="S14" s="6"/>
      <c r="T14" s="6">
        <f t="shared" si="10"/>
        <v>2.0500000000000001E-2</v>
      </c>
      <c r="U14" s="6">
        <f>(J14/J22-1)*100</f>
        <v>-4.3393782383419621</v>
      </c>
      <c r="V14" s="6">
        <f>(K14/K22-1)*100</f>
        <v>-61.284722222222207</v>
      </c>
      <c r="W14" s="6">
        <f>(L14/L22-1)*100</f>
        <v>-56.725146198830402</v>
      </c>
      <c r="X14" s="6">
        <f>V14/-0.61</f>
        <v>100.46675774134788</v>
      </c>
      <c r="Y14" s="6">
        <f>X14*0.0032</f>
        <v>0.32149362477231325</v>
      </c>
      <c r="Z14" s="6">
        <f>X14*0.000044</f>
        <v>4.4205373406193066E-3</v>
      </c>
      <c r="AA14" s="6">
        <f>J22*(100-Y14)/100</f>
        <v>4.0724985302997494</v>
      </c>
      <c r="AB14" s="6">
        <f>L22*(100-Z14)/100</f>
        <v>1.0248284836673789</v>
      </c>
      <c r="AC14" s="6">
        <f t="shared" si="2"/>
        <v>3.9738342514897651</v>
      </c>
      <c r="AD14" s="6">
        <f>AC14/AE22-1</f>
        <v>-3.1708710438553833E-3</v>
      </c>
      <c r="AE14" s="3">
        <f t="shared" si="3"/>
        <v>8.8122461247268102</v>
      </c>
      <c r="AF14" s="3">
        <f t="shared" si="16"/>
        <v>3.0320896133633606</v>
      </c>
      <c r="AG14" s="6">
        <f t="shared" si="14"/>
        <v>4.3186396719251867</v>
      </c>
      <c r="AH14" s="6">
        <f t="shared" si="15"/>
        <v>4.622190766193942E-2</v>
      </c>
      <c r="AI14" s="6">
        <f>AE14/AE22-1</f>
        <v>1.2105359893572332</v>
      </c>
      <c r="AJ14" s="6">
        <f>AF14/AF22-1</f>
        <v>-0.10536317567567555</v>
      </c>
      <c r="AK14" s="6">
        <f>AG14/AG22-1</f>
        <v>-0.35355188173559782</v>
      </c>
      <c r="AL14" s="6">
        <f>AH14/AH22-1</f>
        <v>4.3831388206388207</v>
      </c>
    </row>
    <row r="15" spans="1:38" s="3" customFormat="1">
      <c r="A15" s="3" t="s">
        <v>468</v>
      </c>
      <c r="B15" s="3" t="s">
        <v>240</v>
      </c>
      <c r="C15" s="3">
        <v>6</v>
      </c>
      <c r="D15" s="3">
        <v>13.61</v>
      </c>
      <c r="E15" s="3">
        <v>2.1800000000000002</v>
      </c>
      <c r="F15" s="3">
        <v>0.79</v>
      </c>
      <c r="G15" s="3">
        <v>2.66</v>
      </c>
      <c r="H15" s="3">
        <v>1.41</v>
      </c>
      <c r="I15" s="3">
        <v>0.96</v>
      </c>
      <c r="J15" s="3">
        <f t="shared" si="0"/>
        <v>3.6013907414672421</v>
      </c>
      <c r="K15" s="3">
        <f t="shared" si="1"/>
        <v>1.3146182550788499</v>
      </c>
      <c r="L15" s="3">
        <f t="shared" si="4"/>
        <v>0.4734797035033681</v>
      </c>
      <c r="M15" s="3">
        <f t="shared" si="5"/>
        <v>1.9010774393962633</v>
      </c>
      <c r="N15" s="3">
        <f t="shared" si="6"/>
        <v>0.58522933121019105</v>
      </c>
      <c r="O15" s="3">
        <f t="shared" si="7"/>
        <v>0.35609180285548786</v>
      </c>
      <c r="P15" s="6">
        <f t="shared" si="17"/>
        <v>55.889331035752846</v>
      </c>
      <c r="Q15" s="6">
        <f t="shared" si="18"/>
        <v>61.472285876999621</v>
      </c>
      <c r="R15" s="6">
        <v>221</v>
      </c>
      <c r="S15" s="6"/>
      <c r="T15" s="6">
        <f t="shared" si="10"/>
        <v>2.2100000000000002E-2</v>
      </c>
      <c r="U15" s="6">
        <f>(J15/J22-1)*100</f>
        <v>-11.852331606217614</v>
      </c>
      <c r="V15" s="6">
        <f>(K15/K22-1)*100</f>
        <v>-62.152777777777771</v>
      </c>
      <c r="W15" s="6">
        <f>(L15/L22-1)*100</f>
        <v>-53.801169590643269</v>
      </c>
      <c r="X15" s="6">
        <f t="shared" ref="X15:X21" si="19">V15/-0.61</f>
        <v>101.88979963570127</v>
      </c>
      <c r="Y15" s="6">
        <f t="shared" ref="Y15:Y21" si="20">X15*0.0032</f>
        <v>0.32604735883424407</v>
      </c>
      <c r="Z15" s="6">
        <f t="shared" ref="Z15:Z21" si="21">X15*0.000044</f>
        <v>4.4831511839708554E-3</v>
      </c>
      <c r="AA15" s="6">
        <f>J22*(100-Y15)/100</f>
        <v>4.0723124814116893</v>
      </c>
      <c r="AB15" s="6">
        <f>L22*(100-Z15)/100</f>
        <v>1.0248278419545103</v>
      </c>
      <c r="AC15" s="6">
        <f t="shared" si="2"/>
        <v>3.9736551981698112</v>
      </c>
      <c r="AD15" s="6">
        <f>AC15/AE22-1</f>
        <v>-3.2157862450616914E-3</v>
      </c>
      <c r="AE15" s="3">
        <f t="shared" si="3"/>
        <v>7.6062198966921999</v>
      </c>
      <c r="AF15" s="3">
        <f t="shared" si="16"/>
        <v>2.7765039247759398</v>
      </c>
      <c r="AG15" s="6">
        <f t="shared" si="14"/>
        <v>4.0151191810965132</v>
      </c>
      <c r="AH15" s="6">
        <f t="shared" si="15"/>
        <v>4.6675707187610826E-2</v>
      </c>
      <c r="AI15" s="6">
        <f>AE15/AE22-1</f>
        <v>0.90800649308060621</v>
      </c>
      <c r="AJ15" s="6">
        <f>AF15/AF22-1</f>
        <v>-0.18077531645569611</v>
      </c>
      <c r="AK15" s="6">
        <f>AG15/AG22-1</f>
        <v>-0.39898522766311673</v>
      </c>
      <c r="AL15" s="6">
        <f>AH15/AH22-1</f>
        <v>4.4359896432681252</v>
      </c>
    </row>
    <row r="16" spans="1:38" s="3" customFormat="1">
      <c r="A16" s="3" t="s">
        <v>470</v>
      </c>
      <c r="B16" s="3" t="s">
        <v>240</v>
      </c>
      <c r="C16" s="3">
        <v>21</v>
      </c>
      <c r="D16" s="3">
        <v>14.57</v>
      </c>
      <c r="E16" s="3">
        <v>2.56</v>
      </c>
      <c r="F16" s="3">
        <v>0.85</v>
      </c>
      <c r="G16" s="3">
        <v>2.1800000000000002</v>
      </c>
      <c r="H16" s="3">
        <v>1.28</v>
      </c>
      <c r="I16" s="3">
        <v>0.69</v>
      </c>
      <c r="J16" s="3">
        <f t="shared" si="0"/>
        <v>3.8554197724597885</v>
      </c>
      <c r="K16" s="3">
        <f t="shared" si="1"/>
        <v>1.5437718958724109</v>
      </c>
      <c r="L16" s="3">
        <f t="shared" si="4"/>
        <v>0.50944018731375051</v>
      </c>
      <c r="M16" s="3">
        <f t="shared" si="5"/>
        <v>1.5580258713849078</v>
      </c>
      <c r="N16" s="3">
        <f t="shared" si="6"/>
        <v>0.53127201698513804</v>
      </c>
      <c r="O16" s="3">
        <f t="shared" si="7"/>
        <v>0.25594098330238191</v>
      </c>
      <c r="P16" s="6">
        <f t="shared" si="17"/>
        <v>62.177584571733114</v>
      </c>
      <c r="Q16" s="6">
        <f t="shared" si="18"/>
        <v>68.004177982828722</v>
      </c>
      <c r="R16" s="6">
        <v>228</v>
      </c>
      <c r="S16" s="6"/>
      <c r="T16" s="6">
        <f t="shared" si="10"/>
        <v>2.2800000000000001E-2</v>
      </c>
      <c r="U16" s="6">
        <f>(J16/J22-1)*100</f>
        <v>-5.634715025906722</v>
      </c>
      <c r="V16" s="6">
        <f>(K16/K22-1)*100</f>
        <v>-55.55555555555555</v>
      </c>
      <c r="W16" s="6">
        <f>(L16/L22-1)*100</f>
        <v>-50.292397660818708</v>
      </c>
      <c r="X16" s="6">
        <f t="shared" si="19"/>
        <v>91.074681238615653</v>
      </c>
      <c r="Y16" s="6">
        <f t="shared" si="20"/>
        <v>0.2914389799635701</v>
      </c>
      <c r="Z16" s="6">
        <f t="shared" si="21"/>
        <v>4.0072859744990884E-3</v>
      </c>
      <c r="AA16" s="6">
        <f>J22*(100-Y16)/100</f>
        <v>4.0737264529609449</v>
      </c>
      <c r="AB16" s="6">
        <f>L22*(100-Z16)/100</f>
        <v>1.0248327189723114</v>
      </c>
      <c r="AC16" s="6">
        <f t="shared" si="2"/>
        <v>3.9750159977776893</v>
      </c>
      <c r="AD16" s="6">
        <f>AC16/AE22-1</f>
        <v>-2.8744321266063189E-3</v>
      </c>
      <c r="AE16" s="3">
        <f t="shared" si="3"/>
        <v>7.5679537430865054</v>
      </c>
      <c r="AF16" s="3">
        <f t="shared" si="16"/>
        <v>3.0303300256162227</v>
      </c>
      <c r="AG16" s="6">
        <f t="shared" si="14"/>
        <v>3.0583097097233156</v>
      </c>
      <c r="AH16" s="6">
        <f t="shared" si="15"/>
        <v>4.4755008669856065E-2</v>
      </c>
      <c r="AI16" s="6">
        <f>AE16/AE22-1</f>
        <v>0.89840749771411188</v>
      </c>
      <c r="AJ16" s="6">
        <f>AF16/AF22-1</f>
        <v>-0.10588235294117643</v>
      </c>
      <c r="AK16" s="6">
        <f>AG16/AG22-1</f>
        <v>-0.54220803143804486</v>
      </c>
      <c r="AL16" s="6">
        <f>AH16/AH22-1</f>
        <v>4.2122994652406422</v>
      </c>
    </row>
    <row r="17" spans="1:38" s="3" customFormat="1">
      <c r="A17" s="3" t="s">
        <v>472</v>
      </c>
      <c r="B17" s="3" t="s">
        <v>240</v>
      </c>
      <c r="C17" s="3">
        <v>29</v>
      </c>
      <c r="D17" s="3">
        <v>15.61</v>
      </c>
      <c r="E17" s="3">
        <v>2.82</v>
      </c>
      <c r="F17" s="3">
        <v>0.89</v>
      </c>
      <c r="G17" s="3">
        <v>2.0099999999999998</v>
      </c>
      <c r="H17" s="3">
        <v>1.23</v>
      </c>
      <c r="I17" s="3">
        <v>0.68</v>
      </c>
      <c r="J17" s="3">
        <f t="shared" si="0"/>
        <v>4.1306178893683798</v>
      </c>
      <c r="K17" s="3">
        <f t="shared" si="1"/>
        <v>1.7005612290469525</v>
      </c>
      <c r="L17" s="3">
        <f t="shared" si="4"/>
        <v>0.53341384318733875</v>
      </c>
      <c r="M17" s="3">
        <f t="shared" si="5"/>
        <v>1.4365284410475523</v>
      </c>
      <c r="N17" s="3">
        <f t="shared" si="6"/>
        <v>0.51051920382165605</v>
      </c>
      <c r="O17" s="3">
        <f t="shared" si="7"/>
        <v>0.25223169368930393</v>
      </c>
      <c r="P17" s="6">
        <f t="shared" si="17"/>
        <v>65.25568647693828</v>
      </c>
      <c r="Q17" s="6">
        <f t="shared" si="18"/>
        <v>70.980401552509335</v>
      </c>
      <c r="R17" s="6">
        <v>231</v>
      </c>
      <c r="S17" s="6"/>
      <c r="T17" s="6">
        <f t="shared" si="10"/>
        <v>2.3099999999999999E-2</v>
      </c>
      <c r="U17" s="6">
        <f>(J17/J22-1)*100</f>
        <v>1.1010362694300557</v>
      </c>
      <c r="V17" s="6">
        <f>(K17/K22-1)*100</f>
        <v>-51.041666666666664</v>
      </c>
      <c r="W17" s="6">
        <f>(L17/L22-1)*100</f>
        <v>-47.953216374269005</v>
      </c>
      <c r="X17" s="6">
        <f t="shared" si="19"/>
        <v>83.674863387978135</v>
      </c>
      <c r="Y17" s="6">
        <f t="shared" si="20"/>
        <v>0.26775956284153002</v>
      </c>
      <c r="Z17" s="6">
        <f t="shared" si="21"/>
        <v>3.681693989071038E-3</v>
      </c>
      <c r="AA17" s="6">
        <f>J22*(100-Y17)/100</f>
        <v>4.0746939071788573</v>
      </c>
      <c r="AB17" s="6">
        <f>L22*(100-Z17)/100</f>
        <v>1.0248360558792278</v>
      </c>
      <c r="AC17" s="6">
        <f t="shared" si="2"/>
        <v>3.9759470637311782</v>
      </c>
      <c r="AD17" s="6">
        <f>AC17/AE22-1</f>
        <v>-2.6408759174944008E-3</v>
      </c>
      <c r="AE17" s="3">
        <f t="shared" si="3"/>
        <v>7.7437395787976904</v>
      </c>
      <c r="AF17" s="3">
        <f t="shared" si="16"/>
        <v>3.1880710460858874</v>
      </c>
      <c r="AG17" s="6">
        <f t="shared" si="14"/>
        <v>2.6930842897960434</v>
      </c>
      <c r="AH17" s="6">
        <f t="shared" si="15"/>
        <v>4.330596270612181E-2</v>
      </c>
      <c r="AI17" s="6">
        <f>AE17/AE22-1</f>
        <v>0.94250305641264509</v>
      </c>
      <c r="AJ17" s="6">
        <f>AF17/AF22-1</f>
        <v>-5.9339887640449396E-2</v>
      </c>
      <c r="AK17" s="6">
        <f>AG17/AG22-1</f>
        <v>-0.59687785883512001</v>
      </c>
      <c r="AL17" s="6">
        <f>AH17/AH22-1</f>
        <v>4.0435393258426968</v>
      </c>
    </row>
    <row r="18" spans="1:38" s="3" customFormat="1">
      <c r="A18" s="3" t="s">
        <v>473</v>
      </c>
      <c r="B18" s="3" t="s">
        <v>240</v>
      </c>
      <c r="C18" s="3">
        <v>50</v>
      </c>
      <c r="D18" s="3">
        <v>16.190000000000001</v>
      </c>
      <c r="E18" s="3">
        <v>4.96</v>
      </c>
      <c r="F18" s="3">
        <v>1.85</v>
      </c>
      <c r="G18" s="3">
        <v>11.6</v>
      </c>
      <c r="H18" s="3">
        <v>0.5</v>
      </c>
      <c r="I18" s="3">
        <v>3.09</v>
      </c>
      <c r="J18" s="3">
        <f t="shared" si="0"/>
        <v>4.2840937622597108</v>
      </c>
      <c r="K18" s="3">
        <f t="shared" si="1"/>
        <v>2.9910580482527958</v>
      </c>
      <c r="L18" s="3">
        <f t="shared" si="4"/>
        <v>1.108781584153457</v>
      </c>
      <c r="M18" s="3">
        <f t="shared" si="5"/>
        <v>8.2904128936077637</v>
      </c>
      <c r="N18" s="3">
        <f t="shared" si="6"/>
        <v>0.20752813163481953</v>
      </c>
      <c r="O18" s="3">
        <f t="shared" si="7"/>
        <v>1.1461704904411016</v>
      </c>
      <c r="P18" s="6">
        <f t="shared" si="17"/>
        <v>30.758404810733015</v>
      </c>
      <c r="Q18" s="6">
        <f t="shared" si="18"/>
        <v>31.223632161713738</v>
      </c>
      <c r="R18" s="6">
        <v>95</v>
      </c>
      <c r="S18" s="6"/>
      <c r="T18" s="6">
        <f t="shared" si="10"/>
        <v>9.4999999999999998E-3</v>
      </c>
      <c r="U18" s="6">
        <f>(J18/J22-1)*100</f>
        <v>4.8575129533679151</v>
      </c>
      <c r="V18" s="6">
        <f>(K18/K22-1)*100</f>
        <v>-13.888888888888884</v>
      </c>
      <c r="W18" s="6">
        <f>(L18/L22-1)*100</f>
        <v>8.1871345029239642</v>
      </c>
      <c r="X18" s="6">
        <f t="shared" si="19"/>
        <v>22.76867030965391</v>
      </c>
      <c r="Y18" s="6">
        <f t="shared" si="20"/>
        <v>7.2859744990892511E-2</v>
      </c>
      <c r="Z18" s="6">
        <f t="shared" si="21"/>
        <v>1.0018214936247721E-3</v>
      </c>
      <c r="AA18" s="6">
        <f>J22*(100-Y18)/100</f>
        <v>4.0826567995878236</v>
      </c>
      <c r="AB18" s="6">
        <f>L22*(100-Z18)/100</f>
        <v>1.0248635211900012</v>
      </c>
      <c r="AC18" s="6">
        <f t="shared" si="2"/>
        <v>3.9836102224102214</v>
      </c>
      <c r="AD18" s="6">
        <f>AC18/AE22-1</f>
        <v>-7.1858643392586075E-4</v>
      </c>
      <c r="AE18" s="3">
        <f t="shared" si="3"/>
        <v>3.8637850984245659</v>
      </c>
      <c r="AF18" s="3">
        <f t="shared" si="16"/>
        <v>2.6976079788847116</v>
      </c>
      <c r="AG18" s="6">
        <f t="shared" si="14"/>
        <v>7.4770477901988306</v>
      </c>
      <c r="AH18" s="6">
        <f t="shared" si="15"/>
        <v>8.5679633714814529E-3</v>
      </c>
      <c r="AI18" s="6">
        <f>AE18/AE22-1</f>
        <v>-3.0776501890491192E-2</v>
      </c>
      <c r="AJ18" s="6">
        <f>AF18/AF22-1</f>
        <v>-0.20405405405405408</v>
      </c>
      <c r="AK18" s="6">
        <f>AG18/AG22-1</f>
        <v>0.11922360774135288</v>
      </c>
      <c r="AL18" s="6">
        <f>AH18/AH22-1</f>
        <v>-2.149877149877133E-3</v>
      </c>
    </row>
    <row r="19" spans="1:38" s="3" customFormat="1">
      <c r="A19" s="3" t="s">
        <v>474</v>
      </c>
      <c r="B19" s="3" t="s">
        <v>216</v>
      </c>
      <c r="C19" s="3">
        <v>190</v>
      </c>
      <c r="D19" s="3">
        <v>16.84</v>
      </c>
      <c r="E19" s="3">
        <v>8.4700000000000006</v>
      </c>
      <c r="F19" s="3">
        <v>1.34</v>
      </c>
      <c r="G19" s="3">
        <v>4.41</v>
      </c>
      <c r="H19" s="3">
        <v>0.64</v>
      </c>
      <c r="I19" s="3">
        <v>1.41</v>
      </c>
      <c r="J19" s="3">
        <f t="shared" si="0"/>
        <v>4.4560925853275801</v>
      </c>
      <c r="K19" s="3">
        <f t="shared" si="1"/>
        <v>5.10771404610911</v>
      </c>
      <c r="L19" s="3">
        <f t="shared" si="4"/>
        <v>0.80311747176520665</v>
      </c>
      <c r="M19" s="3">
        <f t="shared" si="5"/>
        <v>3.1517862811043313</v>
      </c>
      <c r="N19" s="3">
        <f t="shared" si="6"/>
        <v>0.26563600849256902</v>
      </c>
      <c r="O19" s="3">
        <f t="shared" si="7"/>
        <v>0.52300983544399782</v>
      </c>
      <c r="P19" s="6">
        <f t="shared" si="17"/>
        <v>53.070677917793283</v>
      </c>
      <c r="Q19" s="6">
        <f t="shared" si="18"/>
        <v>54.804496146891026</v>
      </c>
      <c r="R19" s="6">
        <v>77</v>
      </c>
      <c r="S19" s="6"/>
      <c r="T19" s="6">
        <f t="shared" si="10"/>
        <v>7.7000000000000002E-3</v>
      </c>
      <c r="U19" s="6">
        <f>(J19/J22-1)*100</f>
        <v>9.0673575129534001</v>
      </c>
      <c r="V19" s="6">
        <f>(K19/K22-1)*100</f>
        <v>47.048611111111136</v>
      </c>
      <c r="W19" s="6">
        <f>(L19/L22-1)*100</f>
        <v>-21.637426900584799</v>
      </c>
      <c r="X19" s="6">
        <f t="shared" si="19"/>
        <v>-77.128870673952676</v>
      </c>
      <c r="Y19" s="6">
        <f t="shared" si="20"/>
        <v>-0.24681238615664858</v>
      </c>
      <c r="Z19" s="6">
        <f t="shared" si="21"/>
        <v>-3.3936703096539176E-3</v>
      </c>
      <c r="AA19" s="6">
        <f>J22*(100-Y19)/100</f>
        <v>4.095717431529633</v>
      </c>
      <c r="AB19" s="6">
        <f>L22*(100-Z19)/100</f>
        <v>1.0249085694333731</v>
      </c>
      <c r="AC19" s="6">
        <f t="shared" si="2"/>
        <v>3.9961783457367082</v>
      </c>
      <c r="AD19" s="6">
        <f>AC19/AE22-1</f>
        <v>2.4341045529865379E-3</v>
      </c>
      <c r="AE19" s="3">
        <f t="shared" si="3"/>
        <v>5.5484941393857881</v>
      </c>
      <c r="AF19" s="3">
        <f t="shared" si="16"/>
        <v>6.3598592057555967</v>
      </c>
      <c r="AG19" s="6">
        <f t="shared" si="14"/>
        <v>3.9244399380041926</v>
      </c>
      <c r="AH19" s="6">
        <f t="shared" si="15"/>
        <v>9.5876385095642822E-3</v>
      </c>
      <c r="AI19" s="6">
        <f>AE19/AE22-1</f>
        <v>0.39182971154589774</v>
      </c>
      <c r="AJ19" s="6">
        <f>AF19/AF22-1</f>
        <v>0.87651585820895561</v>
      </c>
      <c r="AK19" s="6">
        <f>AG19/AG22-1</f>
        <v>-0.4125588134484155</v>
      </c>
      <c r="AL19" s="6">
        <f>AH19/AH22-1</f>
        <v>0.11660447761194037</v>
      </c>
    </row>
    <row r="20" spans="1:38" s="3" customFormat="1">
      <c r="A20" s="3" t="s">
        <v>475</v>
      </c>
      <c r="B20" s="3" t="s">
        <v>216</v>
      </c>
      <c r="C20" s="3">
        <v>320</v>
      </c>
      <c r="D20" s="3">
        <v>12.75</v>
      </c>
      <c r="E20" s="3">
        <v>7.65</v>
      </c>
      <c r="F20" s="3">
        <v>1.34</v>
      </c>
      <c r="G20" s="3">
        <v>5.25</v>
      </c>
      <c r="H20" s="3">
        <v>1.59</v>
      </c>
      <c r="I20" s="3">
        <v>1.28</v>
      </c>
      <c r="J20" s="3">
        <f t="shared" si="0"/>
        <v>3.3738230678697532</v>
      </c>
      <c r="K20" s="3">
        <f t="shared" si="1"/>
        <v>4.6132246107124786</v>
      </c>
      <c r="L20" s="3">
        <f t="shared" si="4"/>
        <v>0.80311747176520665</v>
      </c>
      <c r="M20" s="3">
        <f t="shared" si="5"/>
        <v>3.7521265251242037</v>
      </c>
      <c r="N20" s="3">
        <f t="shared" si="6"/>
        <v>0.65993945859872616</v>
      </c>
      <c r="O20" s="3">
        <f t="shared" si="7"/>
        <v>0.47478907047398383</v>
      </c>
      <c r="P20" s="6">
        <f t="shared" si="17"/>
        <v>40.841962584854791</v>
      </c>
      <c r="Q20" s="6">
        <f t="shared" si="18"/>
        <v>44.388094595142952</v>
      </c>
      <c r="R20" s="6">
        <v>74</v>
      </c>
      <c r="S20" s="6"/>
      <c r="T20" s="6">
        <f t="shared" si="10"/>
        <v>7.4000000000000003E-3</v>
      </c>
      <c r="U20" s="6">
        <f>(J20/J22-1)*100</f>
        <v>-17.4222797927461</v>
      </c>
      <c r="V20" s="6">
        <f>(K20/K22-1)*100</f>
        <v>32.812500000000043</v>
      </c>
      <c r="W20" s="6">
        <f>(L20/L22-1)*100</f>
        <v>-21.637426900584799</v>
      </c>
      <c r="X20" s="6">
        <f t="shared" si="19"/>
        <v>-53.790983606557447</v>
      </c>
      <c r="Y20" s="6">
        <f t="shared" si="20"/>
        <v>-0.17213114754098383</v>
      </c>
      <c r="Z20" s="6">
        <f t="shared" si="21"/>
        <v>-2.3668032786885278E-3</v>
      </c>
      <c r="AA20" s="6">
        <f>J22*(100-Y20)/100</f>
        <v>4.0926662297654488</v>
      </c>
      <c r="AB20" s="6">
        <f>L22*(100-Z20)/100</f>
        <v>1.0248980453423291</v>
      </c>
      <c r="AC20" s="6">
        <f t="shared" si="2"/>
        <v>3.9932423018705689</v>
      </c>
      <c r="AD20" s="6">
        <f>AC20/AE22-1</f>
        <v>1.6976032636930594E-3</v>
      </c>
      <c r="AE20" s="3">
        <f t="shared" si="3"/>
        <v>4.2009085675278381</v>
      </c>
      <c r="AF20" s="3">
        <f t="shared" si="16"/>
        <v>5.7441467442774874</v>
      </c>
      <c r="AG20" s="6">
        <f t="shared" si="14"/>
        <v>4.6719523071478477</v>
      </c>
      <c r="AH20" s="6">
        <f t="shared" si="15"/>
        <v>9.214094152048791E-3</v>
      </c>
      <c r="AI20" s="6">
        <f>AE20/AE22-1</f>
        <v>5.3790310107493911E-2</v>
      </c>
      <c r="AJ20" s="6">
        <f>AF20/AF22-1</f>
        <v>0.69484608208955279</v>
      </c>
      <c r="AK20" s="6">
        <f>AG20/AG22-1</f>
        <v>-0.30066525410525669</v>
      </c>
      <c r="AL20" s="6">
        <f>AH20/AH22-1</f>
        <v>7.3100407055631145E-2</v>
      </c>
    </row>
    <row r="21" spans="1:38" s="3" customFormat="1">
      <c r="A21" s="3" t="s">
        <v>476</v>
      </c>
      <c r="B21" s="3" t="s">
        <v>216</v>
      </c>
      <c r="C21" s="3">
        <v>480</v>
      </c>
      <c r="D21" s="3">
        <v>16.61</v>
      </c>
      <c r="E21" s="3">
        <v>5.29</v>
      </c>
      <c r="F21" s="3">
        <v>1.77</v>
      </c>
      <c r="G21" s="3">
        <v>10.4</v>
      </c>
      <c r="H21" s="3">
        <v>0.43</v>
      </c>
      <c r="I21" s="3">
        <v>3.03</v>
      </c>
      <c r="J21" s="3">
        <f t="shared" si="0"/>
        <v>4.3952314633189484</v>
      </c>
      <c r="K21" s="3">
        <f t="shared" si="1"/>
        <v>3.1900598942050995</v>
      </c>
      <c r="L21" s="3">
        <f t="shared" si="4"/>
        <v>1.0608342724062805</v>
      </c>
      <c r="M21" s="3">
        <f t="shared" si="5"/>
        <v>7.432783973579375</v>
      </c>
      <c r="N21" s="3">
        <f t="shared" si="6"/>
        <v>0.17847419320594479</v>
      </c>
      <c r="O21" s="3">
        <f t="shared" si="7"/>
        <v>1.1239147527626334</v>
      </c>
      <c r="P21" s="6">
        <f t="shared" si="17"/>
        <v>33.473694603450518</v>
      </c>
      <c r="Q21" s="6">
        <f t="shared" si="18"/>
        <v>33.934953315510441</v>
      </c>
      <c r="R21" s="6">
        <v>87</v>
      </c>
      <c r="S21" s="6"/>
      <c r="T21" s="6">
        <f t="shared" si="10"/>
        <v>8.6999999999999994E-3</v>
      </c>
      <c r="U21" s="6">
        <f>(J21/J22-1)*100</f>
        <v>7.5777202072538907</v>
      </c>
      <c r="V21" s="6">
        <f>(K21/K22-1)*100</f>
        <v>-8.1597222222221983</v>
      </c>
      <c r="W21" s="6">
        <f>(L21/L22-1)*100</f>
        <v>3.5087719298245723</v>
      </c>
      <c r="X21" s="6">
        <f t="shared" si="19"/>
        <v>13.376593806921637</v>
      </c>
      <c r="Y21" s="6">
        <f t="shared" si="20"/>
        <v>4.2805100182149239E-2</v>
      </c>
      <c r="Z21" s="6">
        <f t="shared" si="21"/>
        <v>5.8857012750455201E-4</v>
      </c>
      <c r="AA21" s="6">
        <f>J22*(100-Y21)/100</f>
        <v>4.0838847222490191</v>
      </c>
      <c r="AB21" s="6">
        <f>L22*(100-Z21)/100</f>
        <v>1.0248677564949338</v>
      </c>
      <c r="AC21" s="6">
        <f t="shared" si="2"/>
        <v>3.9847918878977895</v>
      </c>
      <c r="AD21" s="6">
        <f>AC21/AE22-1</f>
        <v>-4.221677852999095E-4</v>
      </c>
      <c r="AE21" s="3">
        <f t="shared" si="3"/>
        <v>4.1431838861590382</v>
      </c>
      <c r="AF21" s="3">
        <f t="shared" si="16"/>
        <v>3.0071237111986555</v>
      </c>
      <c r="AG21" s="6">
        <f t="shared" si="14"/>
        <v>7.0065458544430887</v>
      </c>
      <c r="AH21" s="6">
        <f t="shared" si="15"/>
        <v>8.2010925045491508E-3</v>
      </c>
      <c r="AI21" s="6">
        <f>AE21/AE22-1</f>
        <v>3.9310178273469942E-2</v>
      </c>
      <c r="AJ21" s="6">
        <f>AF21/AF22-1</f>
        <v>-0.11272951977401113</v>
      </c>
      <c r="AK21" s="6">
        <f>AG21/AG22-1</f>
        <v>4.8795159406956445E-2</v>
      </c>
      <c r="AL21" s="6">
        <f>AH21/AH22-1</f>
        <v>-4.4876733436055583E-2</v>
      </c>
    </row>
    <row r="22" spans="1:38" s="2" customFormat="1">
      <c r="A22" s="2" t="s">
        <v>477</v>
      </c>
      <c r="B22" s="2" t="s">
        <v>42</v>
      </c>
      <c r="C22" s="2">
        <v>590</v>
      </c>
      <c r="D22" s="2">
        <v>15.44</v>
      </c>
      <c r="E22" s="2">
        <v>5.76</v>
      </c>
      <c r="F22" s="2">
        <v>1.71</v>
      </c>
      <c r="G22" s="2">
        <v>9.58</v>
      </c>
      <c r="H22" s="2">
        <v>0.53</v>
      </c>
      <c r="I22" s="2">
        <v>2.99</v>
      </c>
      <c r="J22" s="2">
        <f t="shared" si="0"/>
        <v>4.0856335817967828</v>
      </c>
      <c r="K22" s="2">
        <f t="shared" si="1"/>
        <v>3.473486765712924</v>
      </c>
      <c r="L22" s="2">
        <f t="shared" si="4"/>
        <v>1.0248737885958981</v>
      </c>
      <c r="M22" s="2">
        <f t="shared" si="5"/>
        <v>6.8467375448933092</v>
      </c>
      <c r="N22" s="2">
        <f t="shared" si="6"/>
        <v>0.21997981953290874</v>
      </c>
      <c r="O22" s="2">
        <f t="shared" si="7"/>
        <v>1.1090775943103217</v>
      </c>
      <c r="R22" s="2">
        <v>88</v>
      </c>
      <c r="T22" s="2">
        <f t="shared" si="10"/>
        <v>8.8000000000000005E-3</v>
      </c>
      <c r="AE22" s="2">
        <f t="shared" si="3"/>
        <v>3.9864748491560116</v>
      </c>
      <c r="AF22" s="2">
        <f t="shared" si="16"/>
        <v>3.3891848970707752</v>
      </c>
      <c r="AG22" s="2">
        <f t="shared" si="14"/>
        <v>6.6805665449533116</v>
      </c>
      <c r="AH22" s="2">
        <f t="shared" si="15"/>
        <v>8.5864231263599912E-3</v>
      </c>
    </row>
    <row r="23" spans="1:38" s="3" customFormat="1">
      <c r="AC23" s="39"/>
      <c r="AD23" s="6"/>
      <c r="AF23" s="39"/>
      <c r="AG23" s="6"/>
      <c r="AH23" s="39" t="s">
        <v>97</v>
      </c>
      <c r="AI23" s="6">
        <f>_xlfn.VAR.P(AI3:AI12,AI14:AI21)</f>
        <v>0.20222174439214785</v>
      </c>
    </row>
    <row r="24" spans="1:38" s="3" customFormat="1">
      <c r="AH24" s="67" t="s">
        <v>98</v>
      </c>
      <c r="AI24" s="3">
        <f>AVERAGE(AI3:AI12,AI14:AI21)</f>
        <v>0.52659964379900215</v>
      </c>
    </row>
    <row r="25" spans="1:38">
      <c r="AG25" s="3"/>
      <c r="AH25" s="3"/>
    </row>
    <row r="26" spans="1:38">
      <c r="AG26" s="3"/>
      <c r="AH26" s="3"/>
    </row>
    <row r="31" spans="1:38">
      <c r="AF31" s="3"/>
      <c r="AG31" s="3"/>
      <c r="AH31" s="3"/>
      <c r="AI31" s="3"/>
    </row>
    <row r="32" spans="1:38">
      <c r="AF32" s="3"/>
      <c r="AG32" s="3"/>
      <c r="AH32" s="3"/>
      <c r="AI32" s="3"/>
    </row>
    <row r="33" spans="32:35">
      <c r="AF33" s="3"/>
      <c r="AG33" s="3"/>
      <c r="AH33" s="3"/>
      <c r="AI33" s="3"/>
    </row>
    <row r="34" spans="32:35">
      <c r="AF34" s="3"/>
      <c r="AG34" s="3"/>
      <c r="AH34" s="3"/>
      <c r="AI34" s="3"/>
    </row>
    <row r="35" spans="32:35">
      <c r="AF35" s="3"/>
      <c r="AG35" s="3"/>
      <c r="AH35" s="3"/>
      <c r="AI35" s="3"/>
    </row>
    <row r="36" spans="32:35">
      <c r="AF36" s="3"/>
      <c r="AG36" s="3"/>
      <c r="AH36" s="3"/>
      <c r="AI36" s="3"/>
    </row>
    <row r="37" spans="32:35">
      <c r="AF37" s="3"/>
      <c r="AG37" s="3"/>
      <c r="AH37" s="3"/>
      <c r="AI37" s="3"/>
    </row>
    <row r="38" spans="32:35">
      <c r="AF38" s="3"/>
      <c r="AG38" s="3"/>
      <c r="AH38" s="3"/>
      <c r="AI38" s="3"/>
    </row>
    <row r="39" spans="32:35">
      <c r="AF39" s="3"/>
      <c r="AG39" s="3"/>
      <c r="AH39" s="3"/>
      <c r="AI39" s="3"/>
    </row>
    <row r="40" spans="32:35">
      <c r="AF40" s="3"/>
      <c r="AG40" s="3"/>
      <c r="AH40" s="3"/>
      <c r="AI40" s="3"/>
    </row>
    <row r="41" spans="32:35">
      <c r="AF41" s="3"/>
      <c r="AG41" s="3"/>
      <c r="AH41" s="3"/>
      <c r="AI41" s="3"/>
    </row>
    <row r="42" spans="32:35">
      <c r="AF42" s="3"/>
      <c r="AG42" s="3"/>
      <c r="AH42" s="3"/>
      <c r="AI42" s="3"/>
    </row>
    <row r="43" spans="32:35">
      <c r="AF43" s="3"/>
      <c r="AG43" s="3"/>
      <c r="AH43" s="3"/>
      <c r="AI43" s="3"/>
    </row>
    <row r="44" spans="32:35">
      <c r="AF44" s="3"/>
      <c r="AG44" s="3"/>
      <c r="AH44" s="3"/>
      <c r="AI44" s="3"/>
    </row>
    <row r="45" spans="32:35">
      <c r="AF45" s="3"/>
      <c r="AG45" s="3"/>
      <c r="AH45" s="3"/>
      <c r="AI45" s="3"/>
    </row>
    <row r="46" spans="32:35">
      <c r="AF46" s="3"/>
      <c r="AG46" s="3"/>
      <c r="AH46" s="3"/>
      <c r="AI46" s="3"/>
    </row>
    <row r="47" spans="32:35">
      <c r="AF47" s="3"/>
      <c r="AG47" s="3"/>
      <c r="AH47" s="3"/>
      <c r="AI47" s="3"/>
    </row>
    <row r="48" spans="32:35">
      <c r="AF48" s="3"/>
      <c r="AG48" s="3"/>
      <c r="AH48" s="3"/>
      <c r="AI48" s="3"/>
    </row>
    <row r="49" spans="32:35">
      <c r="AF49" s="3"/>
      <c r="AG49" s="3"/>
      <c r="AH49" s="3"/>
      <c r="AI49" s="3"/>
    </row>
    <row r="50" spans="32:35">
      <c r="AF50" s="3"/>
      <c r="AG50" s="3"/>
      <c r="AH50" s="3"/>
      <c r="AI50" s="3"/>
    </row>
    <row r="51" spans="32:35">
      <c r="AF51" s="3"/>
      <c r="AG51" s="3"/>
      <c r="AH51" s="3"/>
      <c r="AI51" s="3"/>
    </row>
    <row r="52" spans="32:35">
      <c r="AF52" s="3"/>
      <c r="AG52" s="3"/>
      <c r="AH52" s="3"/>
      <c r="AI52" s="3"/>
    </row>
    <row r="53" spans="32:35">
      <c r="AF53" s="3"/>
      <c r="AG53" s="3"/>
      <c r="AH53" s="3"/>
      <c r="AI53" s="3"/>
    </row>
    <row r="54" spans="32:35">
      <c r="AF54" s="3"/>
      <c r="AG54" s="3"/>
      <c r="AH54" s="3"/>
      <c r="AI54" s="3"/>
    </row>
    <row r="55" spans="32:35">
      <c r="AF55" s="3"/>
      <c r="AG55" s="3"/>
      <c r="AH55" s="3"/>
      <c r="AI55" s="3"/>
    </row>
    <row r="56" spans="32:35">
      <c r="AF56" s="3"/>
      <c r="AG56" s="3"/>
      <c r="AH56" s="3"/>
      <c r="AI56" s="3"/>
    </row>
    <row r="57" spans="32:35">
      <c r="AF57" s="3"/>
      <c r="AG57" s="3"/>
      <c r="AH57" s="3"/>
      <c r="AI57" s="3"/>
    </row>
    <row r="58" spans="32:35">
      <c r="AF58" s="3"/>
      <c r="AG58" s="3"/>
      <c r="AH58" s="3"/>
      <c r="AI58" s="3"/>
    </row>
    <row r="59" spans="32:35">
      <c r="AF59" s="3"/>
      <c r="AG59" s="3"/>
      <c r="AH59" s="3"/>
      <c r="AI59" s="3"/>
    </row>
    <row r="60" spans="32:35">
      <c r="AF60" s="3"/>
      <c r="AG60" s="3"/>
      <c r="AH60" s="3"/>
      <c r="AI60" s="3"/>
    </row>
    <row r="61" spans="32:35">
      <c r="AF61" s="3"/>
      <c r="AG61" s="3"/>
      <c r="AH61" s="3"/>
      <c r="AI61" s="3"/>
    </row>
    <row r="63" spans="32:35">
      <c r="AG63" s="2"/>
      <c r="AH63" s="2"/>
    </row>
    <row r="68" spans="33:34">
      <c r="AG68" s="2"/>
      <c r="AH68" s="2"/>
    </row>
    <row r="69" spans="33:34">
      <c r="AG69" s="39"/>
      <c r="AH69" s="39"/>
    </row>
    <row r="70" spans="33:34">
      <c r="AG70" s="3"/>
      <c r="AH70" s="3"/>
    </row>
  </sheetData>
  <phoneticPr fontId="22" type="noConversion"/>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67"/>
  <sheetViews>
    <sheetView topLeftCell="A3" zoomScale="80" zoomScaleNormal="80" workbookViewId="0">
      <selection activeCell="K24" sqref="K24"/>
    </sheetView>
  </sheetViews>
  <sheetFormatPr defaultRowHeight="14.5"/>
  <cols>
    <col min="1" max="2" width="12" style="6" customWidth="1"/>
    <col min="3" max="3" width="11.1796875" style="6" customWidth="1"/>
    <col min="4" max="4" width="7.26953125" style="6" customWidth="1"/>
    <col min="5" max="16" width="8.7265625" style="6"/>
    <col min="17" max="19" width="8.7265625" style="6" customWidth="1"/>
    <col min="20" max="20" width="13.26953125" style="6" customWidth="1"/>
    <col min="21" max="22" width="12.54296875" style="6" customWidth="1"/>
    <col min="23" max="23" width="17.90625" style="6" customWidth="1"/>
    <col min="24" max="25" width="20" style="6" customWidth="1"/>
    <col min="26" max="27" width="11.90625" style="6" customWidth="1"/>
    <col min="28" max="28" width="13.81640625" style="6" customWidth="1"/>
    <col min="29" max="29" width="18.36328125" style="6" customWidth="1"/>
    <col min="30" max="34" width="8.7265625" style="6"/>
    <col min="35" max="35" width="11" style="6" customWidth="1"/>
    <col min="36" max="36" width="13.81640625" style="6" customWidth="1"/>
    <col min="37" max="37" width="17.08984375" style="6" customWidth="1"/>
    <col min="38" max="16384" width="8.7265625" style="6"/>
  </cols>
  <sheetData>
    <row r="1" spans="1:37">
      <c r="A1" s="81" t="s">
        <v>193</v>
      </c>
      <c r="B1" s="91"/>
      <c r="C1" s="81"/>
      <c r="D1" s="81"/>
      <c r="E1" s="81"/>
      <c r="F1" s="81"/>
      <c r="G1" s="81"/>
      <c r="H1" s="81"/>
      <c r="I1" s="81"/>
      <c r="J1" s="81"/>
      <c r="K1" s="81"/>
      <c r="L1" s="81"/>
      <c r="M1" s="81"/>
      <c r="N1" s="81"/>
    </row>
    <row r="2" spans="1:37">
      <c r="A2" s="1" t="s">
        <v>197</v>
      </c>
      <c r="B2" s="1" t="s">
        <v>196</v>
      </c>
      <c r="C2" s="1" t="s">
        <v>18</v>
      </c>
      <c r="D2" s="1" t="s">
        <v>1</v>
      </c>
      <c r="E2" s="1" t="s">
        <v>2</v>
      </c>
      <c r="F2" s="1" t="s">
        <v>3</v>
      </c>
      <c r="G2" s="1" t="s">
        <v>48</v>
      </c>
      <c r="H2" s="1" t="s">
        <v>49</v>
      </c>
      <c r="I2" s="1" t="s">
        <v>50</v>
      </c>
      <c r="J2" s="1" t="s">
        <v>4</v>
      </c>
      <c r="K2" s="1" t="s">
        <v>5</v>
      </c>
      <c r="L2" s="1" t="s">
        <v>6</v>
      </c>
      <c r="M2" s="1" t="s">
        <v>45</v>
      </c>
      <c r="N2" s="1" t="s">
        <v>46</v>
      </c>
      <c r="O2" s="1" t="s">
        <v>47</v>
      </c>
      <c r="P2" s="1" t="s">
        <v>51</v>
      </c>
      <c r="Q2" s="1" t="s">
        <v>52</v>
      </c>
      <c r="R2" s="1" t="s">
        <v>110</v>
      </c>
      <c r="S2" s="1" t="s">
        <v>120</v>
      </c>
      <c r="T2" s="1" t="s">
        <v>7</v>
      </c>
      <c r="U2" s="1" t="s">
        <v>8</v>
      </c>
      <c r="V2" s="1" t="s">
        <v>9</v>
      </c>
      <c r="W2" s="1" t="s">
        <v>10</v>
      </c>
      <c r="X2" s="1" t="s">
        <v>11</v>
      </c>
      <c r="Y2" s="1" t="s">
        <v>12</v>
      </c>
      <c r="Z2" s="1" t="s">
        <v>13</v>
      </c>
      <c r="AA2" s="1" t="s">
        <v>14</v>
      </c>
      <c r="AB2" s="1" t="s">
        <v>15</v>
      </c>
      <c r="AC2" s="1" t="s">
        <v>460</v>
      </c>
      <c r="AD2" s="1" t="s">
        <v>16</v>
      </c>
      <c r="AE2" s="1" t="s">
        <v>17</v>
      </c>
      <c r="AF2" s="1" t="s">
        <v>107</v>
      </c>
      <c r="AG2" s="1" t="s">
        <v>134</v>
      </c>
      <c r="AH2" s="1" t="s">
        <v>459</v>
      </c>
      <c r="AI2" s="1" t="s">
        <v>461</v>
      </c>
      <c r="AJ2" s="1" t="s">
        <v>462</v>
      </c>
      <c r="AK2" s="1" t="s">
        <v>465</v>
      </c>
    </row>
    <row r="3" spans="1:37">
      <c r="A3" s="6" t="s">
        <v>487</v>
      </c>
      <c r="B3" s="6" t="s">
        <v>240</v>
      </c>
      <c r="C3" s="6">
        <v>5</v>
      </c>
      <c r="D3" s="6">
        <v>21.89</v>
      </c>
      <c r="E3" s="6">
        <v>2.0699999999999998</v>
      </c>
      <c r="F3" s="6">
        <v>3.33</v>
      </c>
      <c r="G3" s="6">
        <v>1.42</v>
      </c>
      <c r="H3" s="6">
        <v>0.12</v>
      </c>
      <c r="I3" s="6">
        <v>0.03</v>
      </c>
      <c r="J3" s="6">
        <f t="shared" ref="J3:J16" si="0">D3*26.98/101.96</f>
        <v>5.7923911337779526</v>
      </c>
      <c r="K3" s="6">
        <f t="shared" ref="K3:K16" si="1">E3*24.305/40.3044</f>
        <v>1.2482843064280822</v>
      </c>
      <c r="L3" s="6">
        <f>F3*47.867/79.866</f>
        <v>1.9958068514762226</v>
      </c>
      <c r="M3" s="6">
        <f>G3*40.078/56.0774</f>
        <v>1.0148608887002608</v>
      </c>
      <c r="N3" s="6">
        <f>H3*39.0983/94.2</f>
        <v>4.9806751592356688E-2</v>
      </c>
      <c r="O3" s="6">
        <f>I3*22.989769/61.9789</f>
        <v>1.1127868839233996E-2</v>
      </c>
      <c r="P3" s="6">
        <f>100*(J3/(J3+M3+N3+O3))</f>
        <v>84.336542306368145</v>
      </c>
      <c r="Q3" s="6">
        <f>100*(J3/(J3+M3+O3))</f>
        <v>84.952602027264675</v>
      </c>
      <c r="R3" s="6" t="s">
        <v>53</v>
      </c>
      <c r="S3" s="6" t="s">
        <v>53</v>
      </c>
      <c r="T3" s="6">
        <f>(J3/J16-1)*100</f>
        <v>16.127320954907141</v>
      </c>
      <c r="U3" s="6">
        <f>(K3/K16-1)*100</f>
        <v>-1.4285714285714346</v>
      </c>
      <c r="V3" s="6">
        <f>(L3/L16-1)*100</f>
        <v>-1.7699115044247815</v>
      </c>
      <c r="W3" s="6">
        <f>U3/-0.61</f>
        <v>2.3419203747072701</v>
      </c>
      <c r="X3" s="6">
        <f>W3*0.0032</f>
        <v>7.4941451990632648E-3</v>
      </c>
      <c r="Y3" s="6">
        <f>W3*0.000044</f>
        <v>1.0304449648711989E-4</v>
      </c>
      <c r="Z3" s="6">
        <f>J16*(100-X3)/100</f>
        <v>4.9875920635635236</v>
      </c>
      <c r="AA3" s="6">
        <f>L16*(100-Y3)/100</f>
        <v>2.0317652416621845</v>
      </c>
      <c r="AB3" s="6">
        <f t="shared" ref="AB3:AB15" si="2">Z3/AA3</f>
        <v>2.4548072588756273</v>
      </c>
      <c r="AC3" s="6">
        <f>AB3/AD16-1</f>
        <v>-7.3911083186994908E-5</v>
      </c>
      <c r="AD3" s="6">
        <f t="shared" ref="AD3:AD16" si="3">J3/L3</f>
        <v>2.9022804133042936</v>
      </c>
      <c r="AE3" s="6">
        <f t="shared" ref="AE3:AE9" si="4">K3/L3</f>
        <v>0.62545346284625369</v>
      </c>
      <c r="AF3" s="6">
        <f t="shared" ref="AF3:AF16" si="5">M3/L3</f>
        <v>0.50849654511888598</v>
      </c>
      <c r="AG3" s="6" t="s">
        <v>53</v>
      </c>
      <c r="AH3" s="6">
        <f>AD3/AD16-1</f>
        <v>0.18219705116256812</v>
      </c>
      <c r="AI3" s="6">
        <f>AE3/AE16-1</f>
        <v>3.4749034749035346E-3</v>
      </c>
      <c r="AJ3" s="6">
        <f>AF3/AF16-1</f>
        <v>-0.4873809980192958</v>
      </c>
      <c r="AK3" s="6" t="s">
        <v>53</v>
      </c>
    </row>
    <row r="4" spans="1:37">
      <c r="A4" s="6" t="s">
        <v>490</v>
      </c>
      <c r="B4" s="6" t="s">
        <v>240</v>
      </c>
      <c r="C4" s="6">
        <v>35</v>
      </c>
      <c r="D4" s="6">
        <v>20.43</v>
      </c>
      <c r="E4" s="6">
        <v>1.95</v>
      </c>
      <c r="F4" s="6">
        <v>3.46</v>
      </c>
      <c r="G4" s="6">
        <v>2.0499999999999998</v>
      </c>
      <c r="H4" s="6">
        <v>0.34</v>
      </c>
      <c r="I4" s="6">
        <v>0.24</v>
      </c>
      <c r="J4" s="6">
        <f t="shared" si="0"/>
        <v>5.4060553158101223</v>
      </c>
      <c r="K4" s="6">
        <f t="shared" si="1"/>
        <v>1.1759199988090629</v>
      </c>
      <c r="L4" s="6">
        <f>F4*47.867/79.866</f>
        <v>2.0737212330653843</v>
      </c>
      <c r="M4" s="6">
        <f>G4*40.078/56.0774</f>
        <v>1.465116071715165</v>
      </c>
      <c r="N4" s="6">
        <f>H4*39.0983/94.2</f>
        <v>0.14111912951167729</v>
      </c>
      <c r="O4" s="6">
        <f>I4*22.989769/61.9789</f>
        <v>8.9022950713871965E-2</v>
      </c>
      <c r="P4" s="6">
        <f>100*(J4/(J4+M4+N4+O4))</f>
        <v>76.127540917051718</v>
      </c>
      <c r="Q4" s="6">
        <f>100*(J4/(J4+M4+O4))</f>
        <v>77.671039817227083</v>
      </c>
      <c r="R4" s="6" t="s">
        <v>53</v>
      </c>
      <c r="S4" s="6" t="s">
        <v>53</v>
      </c>
      <c r="T4" s="6">
        <f>(J4/J16-1)*100</f>
        <v>8.3819628647214817</v>
      </c>
      <c r="U4" s="6">
        <f>(K4/K16-1)*100</f>
        <v>-7.1428571428571512</v>
      </c>
      <c r="V4" s="6">
        <f>(L4/L16-1)*100</f>
        <v>2.0648967551622377</v>
      </c>
      <c r="W4" s="6">
        <f t="shared" ref="W4:W15" si="6">U4/-0.61</f>
        <v>11.709601873536315</v>
      </c>
      <c r="X4" s="6">
        <f t="shared" ref="X4:X15" si="7">W4*0.0032</f>
        <v>3.7470725995316208E-2</v>
      </c>
      <c r="Y4" s="6">
        <f t="shared" ref="Y4:Y15" si="8">W4*0.000044</f>
        <v>5.1522248243559784E-4</v>
      </c>
      <c r="Z4" s="6">
        <f>J16*(100-X4)/100</f>
        <v>4.9860968419447227</v>
      </c>
      <c r="AA4" s="6">
        <f>L16*(100-Y4)/100</f>
        <v>2.031756867164503</v>
      </c>
      <c r="AB4" s="6">
        <f t="shared" si="2"/>
        <v>2.4540814516371063</v>
      </c>
      <c r="AC4" s="6">
        <f>AB4/AD16-1</f>
        <v>-3.69556939169291E-4</v>
      </c>
      <c r="AD4" s="6">
        <f t="shared" si="3"/>
        <v>2.6069344469308762</v>
      </c>
      <c r="AE4" s="6">
        <f t="shared" si="4"/>
        <v>0.56705789575719034</v>
      </c>
      <c r="AF4" s="6">
        <f t="shared" si="5"/>
        <v>0.70651544110845776</v>
      </c>
      <c r="AG4" s="6" t="s">
        <v>53</v>
      </c>
      <c r="AH4" s="6">
        <f>AD4/AD16-1</f>
        <v>6.1892641940479276E-2</v>
      </c>
      <c r="AI4" s="6">
        <f>AE4/AE16-1</f>
        <v>-9.0214698596201348E-2</v>
      </c>
      <c r="AJ4" s="6">
        <f>AF4/AF16-1</f>
        <v>-0.28775673348911579</v>
      </c>
      <c r="AK4" s="6" t="s">
        <v>53</v>
      </c>
    </row>
    <row r="5" spans="1:37">
      <c r="A5" s="6" t="s">
        <v>491</v>
      </c>
      <c r="B5" s="6" t="s">
        <v>240</v>
      </c>
      <c r="C5" s="6">
        <v>55</v>
      </c>
      <c r="D5" s="6">
        <v>21.92</v>
      </c>
      <c r="E5" s="6">
        <v>2.0699999999999998</v>
      </c>
      <c r="F5" s="6">
        <v>3.25</v>
      </c>
      <c r="G5" s="6">
        <v>1.55</v>
      </c>
      <c r="H5" s="6">
        <v>0.14000000000000001</v>
      </c>
      <c r="I5" s="6">
        <v>0.03</v>
      </c>
      <c r="J5" s="6">
        <f t="shared" si="0"/>
        <v>5.8003295409964695</v>
      </c>
      <c r="K5" s="6">
        <f t="shared" si="1"/>
        <v>1.2482843064280822</v>
      </c>
      <c r="L5" s="6">
        <f>F5*47.867/79.866</f>
        <v>1.9478595397290461</v>
      </c>
      <c r="M5" s="6">
        <f>G5*40.078/56.0774</f>
        <v>1.1077706883700031</v>
      </c>
      <c r="N5" s="6">
        <f>H5*39.0983/94.2</f>
        <v>5.8107876857749471E-2</v>
      </c>
      <c r="O5" s="6">
        <f>I5*22.989769/61.9789</f>
        <v>1.1127868839233996E-2</v>
      </c>
      <c r="P5" s="6">
        <f>100*(J5/(J5+M5+N5+O5))</f>
        <v>83.131005325334328</v>
      </c>
      <c r="Q5" s="6">
        <f>100*(J5/(J5+M5+O5))</f>
        <v>83.829141902412658</v>
      </c>
      <c r="R5" s="6" t="s">
        <v>53</v>
      </c>
      <c r="S5" s="6" t="s">
        <v>53</v>
      </c>
      <c r="T5" s="6">
        <f>(J5/J16-1)*100</f>
        <v>16.286472148541108</v>
      </c>
      <c r="U5" s="6">
        <f>(K5/K16-1)*100</f>
        <v>-1.4285714285714346</v>
      </c>
      <c r="V5" s="6">
        <f>(L5/L16-1)*100</f>
        <v>-4.129793510324486</v>
      </c>
      <c r="W5" s="6">
        <f t="shared" si="6"/>
        <v>2.3419203747072701</v>
      </c>
      <c r="X5" s="6">
        <f t="shared" si="7"/>
        <v>7.4941451990632648E-3</v>
      </c>
      <c r="Y5" s="6">
        <f t="shared" si="8"/>
        <v>1.0304449648711989E-4</v>
      </c>
      <c r="Z5" s="6">
        <f>J16*(100-X5)/100</f>
        <v>4.9875920635635236</v>
      </c>
      <c r="AA5" s="6">
        <f>L16*(100-Y5)/100</f>
        <v>2.0317652416621845</v>
      </c>
      <c r="AB5" s="6">
        <f t="shared" si="2"/>
        <v>2.4548072588756273</v>
      </c>
      <c r="AC5" s="6">
        <f>AB5/AD16-1</f>
        <v>-7.3911083186994908E-5</v>
      </c>
      <c r="AD5" s="6">
        <f t="shared" si="3"/>
        <v>2.9777966135090597</v>
      </c>
      <c r="AE5" s="6">
        <f t="shared" si="4"/>
        <v>0.64084924039323843</v>
      </c>
      <c r="AF5" s="6">
        <f t="shared" si="5"/>
        <v>0.56871179146936734</v>
      </c>
      <c r="AG5" s="6" t="s">
        <v>53</v>
      </c>
      <c r="AH5" s="6">
        <f>AD5/AD16-1</f>
        <v>0.21295735564170548</v>
      </c>
      <c r="AI5" s="6">
        <f>AE5/AE16-1</f>
        <v>2.8175824175824316E-2</v>
      </c>
      <c r="AJ5" s="6">
        <f>AF5/AF16-1</f>
        <v>-0.42667757774140735</v>
      </c>
      <c r="AK5" s="6" t="s">
        <v>53</v>
      </c>
    </row>
    <row r="6" spans="1:37">
      <c r="A6" s="6" t="s">
        <v>489</v>
      </c>
      <c r="B6" s="6" t="s">
        <v>240</v>
      </c>
      <c r="C6" s="6">
        <v>85</v>
      </c>
      <c r="D6" s="6">
        <v>23.29</v>
      </c>
      <c r="E6" s="6">
        <v>2.2599999999999998</v>
      </c>
      <c r="F6" s="6">
        <v>2.59</v>
      </c>
      <c r="G6" s="6">
        <v>1.54</v>
      </c>
      <c r="H6" s="6">
        <v>0.11</v>
      </c>
      <c r="I6" s="6">
        <v>0.03</v>
      </c>
      <c r="J6" s="6">
        <f t="shared" si="0"/>
        <v>6.162850137308749</v>
      </c>
      <c r="K6" s="6">
        <f t="shared" si="1"/>
        <v>1.3628611268248625</v>
      </c>
      <c r="L6" s="6">
        <f>F6*47.867/79.866</f>
        <v>1.5522942178148398</v>
      </c>
      <c r="M6" s="6">
        <f>G6*40.078/56.0774</f>
        <v>1.1006237807030999</v>
      </c>
      <c r="N6" s="6">
        <f>H6*39.0983/94.2</f>
        <v>4.5656188959660303E-2</v>
      </c>
      <c r="O6" s="6">
        <f>I6*22.989769/61.9789</f>
        <v>1.1127868839233996E-2</v>
      </c>
      <c r="P6" s="6">
        <f>100*(J6/(J6+M6+N6+O6))</f>
        <v>84.188974728396687</v>
      </c>
      <c r="Q6" s="6">
        <f>100*(J6/(J6+M6+O6))</f>
        <v>84.717353854999516</v>
      </c>
      <c r="R6" s="6" t="s">
        <v>53</v>
      </c>
      <c r="S6" s="6" t="s">
        <v>53</v>
      </c>
      <c r="T6" s="6">
        <f>(J6/J16-1)*100</f>
        <v>23.554376657824918</v>
      </c>
      <c r="U6" s="6">
        <f>(K6/K16-1)*100</f>
        <v>7.619047619047592</v>
      </c>
      <c r="V6" s="6">
        <f>(L6/L16-1)*100</f>
        <v>-23.598820058997049</v>
      </c>
      <c r="W6" s="6">
        <f t="shared" si="6"/>
        <v>-12.490241998438675</v>
      </c>
      <c r="X6" s="6">
        <f t="shared" si="7"/>
        <v>-3.9968774395003764E-2</v>
      </c>
      <c r="Y6" s="6">
        <f t="shared" si="8"/>
        <v>-5.495706479313017E-4</v>
      </c>
      <c r="Z6" s="6">
        <f>J16*(100-X6)/100</f>
        <v>4.9899594977932908</v>
      </c>
      <c r="AA6" s="6">
        <f>L16*(100-Y6)/100</f>
        <v>2.0317785012835139</v>
      </c>
      <c r="AB6" s="6">
        <f t="shared" si="2"/>
        <v>2.4559564414334716</v>
      </c>
      <c r="AC6" s="6">
        <f>AB6/AD16-1</f>
        <v>3.9418987111883297E-4</v>
      </c>
      <c r="AD6" s="6">
        <f t="shared" si="3"/>
        <v>3.9701559579241206</v>
      </c>
      <c r="AE6" s="6">
        <f t="shared" si="4"/>
        <v>0.8779657304549896</v>
      </c>
      <c r="AF6" s="6">
        <f t="shared" si="5"/>
        <v>0.70903039389816502</v>
      </c>
      <c r="AG6" s="6" t="s">
        <v>53</v>
      </c>
      <c r="AH6" s="6">
        <f>AD6/AD16-1</f>
        <v>0.61717890683407894</v>
      </c>
      <c r="AI6" s="6">
        <f>AE6/AE16-1</f>
        <v>0.40860452289023708</v>
      </c>
      <c r="AJ6" s="6">
        <f>AF6/AF16-1</f>
        <v>-0.28522139160437021</v>
      </c>
      <c r="AK6" s="6" t="s">
        <v>53</v>
      </c>
    </row>
    <row r="7" spans="1:37">
      <c r="A7" s="6" t="s">
        <v>488</v>
      </c>
      <c r="B7" s="6" t="s">
        <v>240</v>
      </c>
      <c r="C7" s="6">
        <v>120</v>
      </c>
      <c r="D7" s="6">
        <v>20.5</v>
      </c>
      <c r="E7" s="6">
        <v>1.78</v>
      </c>
      <c r="F7" s="6">
        <v>3.99</v>
      </c>
      <c r="G7" s="6">
        <v>1.73</v>
      </c>
      <c r="H7" s="6">
        <v>0.16</v>
      </c>
      <c r="I7" s="6">
        <v>0.06</v>
      </c>
      <c r="J7" s="6">
        <f t="shared" si="0"/>
        <v>5.4245782659866624</v>
      </c>
      <c r="K7" s="6">
        <f t="shared" si="1"/>
        <v>1.0734038963487857</v>
      </c>
      <c r="L7" s="6">
        <f t="shared" ref="L7:L16" si="9">F7*47.867/79.866</f>
        <v>2.3913721733904287</v>
      </c>
      <c r="M7" s="6">
        <f t="shared" ref="M7:M16" si="10">G7*40.078/56.0774</f>
        <v>1.2364150263742615</v>
      </c>
      <c r="N7" s="6">
        <f t="shared" ref="N7:N16" si="11">H7*39.0983/94.2</f>
        <v>6.6409002123142255E-2</v>
      </c>
      <c r="O7" s="6">
        <f t="shared" ref="O7:O16" si="12">I7*22.989769/61.9789</f>
        <v>2.2255737678467991E-2</v>
      </c>
      <c r="P7" s="6">
        <f t="shared" ref="P7:P15" si="13">100*(J7/(J7+M7+N7+O7))</f>
        <v>80.368194064620965</v>
      </c>
      <c r="Q7" s="6">
        <f t="shared" ref="Q7:Q15" si="14">100*(J7/(J7+M7+O7))</f>
        <v>81.166783425316851</v>
      </c>
      <c r="R7" s="6" t="s">
        <v>53</v>
      </c>
      <c r="S7" s="6" t="s">
        <v>53</v>
      </c>
      <c r="T7" s="6">
        <f>(J7/J16-1)*100</f>
        <v>8.7533156498673659</v>
      </c>
      <c r="U7" s="6">
        <f>(K7/K16-1)*100</f>
        <v>-15.238095238095239</v>
      </c>
      <c r="V7" s="6">
        <f>(L7/L16-1)*100</f>
        <v>17.699115044247769</v>
      </c>
      <c r="W7" s="6">
        <f t="shared" si="6"/>
        <v>24.980483996877442</v>
      </c>
      <c r="X7" s="6">
        <f t="shared" si="7"/>
        <v>7.993754879000782E-2</v>
      </c>
      <c r="Y7" s="6">
        <f t="shared" si="8"/>
        <v>1.0991412958626075E-3</v>
      </c>
      <c r="Z7" s="6">
        <f>J16*(100-X7)/100</f>
        <v>4.9839786113180882</v>
      </c>
      <c r="AA7" s="6">
        <f>L16*(100-Y7)/100</f>
        <v>2.0317450032927868</v>
      </c>
      <c r="AB7" s="6">
        <f t="shared" si="2"/>
        <v>2.4530532144736208</v>
      </c>
      <c r="AC7" s="6">
        <f>AB7/AD16-1</f>
        <v>-7.8839274049158359E-4</v>
      </c>
      <c r="AD7" s="6">
        <f t="shared" si="3"/>
        <v>2.2683956626859252</v>
      </c>
      <c r="AE7" s="6">
        <f t="shared" si="4"/>
        <v>0.44886526166562357</v>
      </c>
      <c r="AF7" s="6">
        <f t="shared" si="5"/>
        <v>0.51703161897267658</v>
      </c>
      <c r="AG7" s="6" t="s">
        <v>53</v>
      </c>
      <c r="AH7" s="6">
        <f>AD7/AD16-1</f>
        <v>-7.6005664027442466E-2</v>
      </c>
      <c r="AI7" s="6">
        <f>AE7/AE16-1</f>
        <v>-0.27984246330110973</v>
      </c>
      <c r="AJ7" s="6">
        <f>AF7/AF16-1</f>
        <v>-0.47877672905668411</v>
      </c>
      <c r="AK7" s="6" t="s">
        <v>53</v>
      </c>
    </row>
    <row r="8" spans="1:37">
      <c r="A8" s="6" t="s">
        <v>492</v>
      </c>
      <c r="B8" s="6" t="s">
        <v>240</v>
      </c>
      <c r="C8" s="6">
        <v>185</v>
      </c>
      <c r="D8" s="6">
        <v>22.02</v>
      </c>
      <c r="E8" s="6">
        <v>1.18</v>
      </c>
      <c r="F8" s="6">
        <v>4.22</v>
      </c>
      <c r="G8" s="6">
        <v>1.22</v>
      </c>
      <c r="H8" s="6">
        <v>0.17</v>
      </c>
      <c r="I8" s="6">
        <v>0.04</v>
      </c>
      <c r="J8" s="3">
        <f t="shared" si="0"/>
        <v>5.8267908983915264</v>
      </c>
      <c r="K8" s="3">
        <f t="shared" si="1"/>
        <v>0.71158235825368932</v>
      </c>
      <c r="L8" s="6">
        <f t="shared" si="9"/>
        <v>2.5292206946635609</v>
      </c>
      <c r="M8" s="6">
        <f t="shared" si="10"/>
        <v>0.87192273536219589</v>
      </c>
      <c r="N8" s="6">
        <f t="shared" si="11"/>
        <v>7.0559564755838647E-2</v>
      </c>
      <c r="O8" s="6">
        <f t="shared" si="12"/>
        <v>1.4837158452311995E-2</v>
      </c>
      <c r="P8" s="6">
        <f t="shared" si="13"/>
        <v>85.88879885204193</v>
      </c>
      <c r="Q8" s="6">
        <f t="shared" si="14"/>
        <v>86.791491994907162</v>
      </c>
      <c r="R8" s="6" t="s">
        <v>53</v>
      </c>
      <c r="S8" s="6" t="s">
        <v>53</v>
      </c>
      <c r="T8" s="6">
        <f>(J8/J16-1)*100</f>
        <v>16.816976127320938</v>
      </c>
      <c r="U8" s="6">
        <f>(K8/K16-1)*100</f>
        <v>-43.809523809523817</v>
      </c>
      <c r="V8" s="6">
        <f>(L8/L16-1)*100</f>
        <v>24.483775811209419</v>
      </c>
      <c r="W8" s="6">
        <f t="shared" si="6"/>
        <v>71.818891491022654</v>
      </c>
      <c r="X8" s="6">
        <f t="shared" si="7"/>
        <v>0.2298204527712725</v>
      </c>
      <c r="Y8" s="6">
        <f t="shared" si="8"/>
        <v>3.1600312256049967E-3</v>
      </c>
      <c r="Z8" s="6">
        <f>J16*(100-X8)/100</f>
        <v>4.9765025032240837</v>
      </c>
      <c r="AA8" s="6">
        <f>L16*(100-Y8)/100</f>
        <v>2.0317031308043783</v>
      </c>
      <c r="AB8" s="6">
        <f t="shared" si="2"/>
        <v>2.4494240461468504</v>
      </c>
      <c r="AC8" s="6">
        <f>AB8/AD16-1</f>
        <v>-2.2666758431212353E-3</v>
      </c>
      <c r="AD8" s="3">
        <f t="shared" si="3"/>
        <v>2.3037890329956401</v>
      </c>
      <c r="AE8" s="3">
        <f t="shared" si="4"/>
        <v>0.28134451048699194</v>
      </c>
      <c r="AF8" s="6">
        <f t="shared" si="5"/>
        <v>0.34473968096255031</v>
      </c>
      <c r="AG8" s="6" t="s">
        <v>53</v>
      </c>
      <c r="AH8" s="6">
        <f>AD8/AD16-1</f>
        <v>-6.1588746275786588E-2</v>
      </c>
      <c r="AI8" s="6">
        <f>AE8/AE16-1</f>
        <v>-0.54861205145565339</v>
      </c>
      <c r="AJ8" s="6">
        <f>AF8/AF16-1</f>
        <v>-0.65246546334576982</v>
      </c>
      <c r="AK8" s="6" t="s">
        <v>53</v>
      </c>
    </row>
    <row r="9" spans="1:37">
      <c r="A9" s="6" t="s">
        <v>493</v>
      </c>
      <c r="B9" s="6" t="s">
        <v>240</v>
      </c>
      <c r="C9" s="6">
        <v>220</v>
      </c>
      <c r="D9" s="6">
        <v>22.8</v>
      </c>
      <c r="E9" s="6">
        <v>1.1000000000000001</v>
      </c>
      <c r="F9" s="6">
        <v>4.13</v>
      </c>
      <c r="G9" s="6">
        <v>1.19</v>
      </c>
      <c r="H9" s="6">
        <v>0.18</v>
      </c>
      <c r="I9" s="6">
        <v>0.04</v>
      </c>
      <c r="J9" s="3">
        <f t="shared" si="0"/>
        <v>6.0331894860729705</v>
      </c>
      <c r="K9" s="3">
        <f t="shared" si="1"/>
        <v>0.6633394865076766</v>
      </c>
      <c r="L9" s="6">
        <f t="shared" si="9"/>
        <v>2.4752799689479876</v>
      </c>
      <c r="M9" s="6">
        <f t="shared" si="10"/>
        <v>0.85048201236148624</v>
      </c>
      <c r="N9" s="6">
        <f t="shared" si="11"/>
        <v>7.4710127388535025E-2</v>
      </c>
      <c r="O9" s="6">
        <f t="shared" si="12"/>
        <v>1.4837158452311995E-2</v>
      </c>
      <c r="P9" s="6">
        <f t="shared" si="13"/>
        <v>86.519434893938637</v>
      </c>
      <c r="Q9" s="6">
        <f t="shared" si="14"/>
        <v>87.456431326646936</v>
      </c>
      <c r="R9" s="6" t="s">
        <v>53</v>
      </c>
      <c r="S9" s="6" t="s">
        <v>53</v>
      </c>
      <c r="T9" s="6">
        <f>(J9/J16-1)*100</f>
        <v>20.954907161803703</v>
      </c>
      <c r="U9" s="6">
        <f>(K9/K16-1)*100</f>
        <v>-47.619047619047613</v>
      </c>
      <c r="V9" s="6">
        <f>(L9/L16-1)*100</f>
        <v>21.828908554572269</v>
      </c>
      <c r="W9" s="6">
        <f t="shared" si="6"/>
        <v>78.064012490241993</v>
      </c>
      <c r="X9" s="6">
        <f t="shared" si="7"/>
        <v>0.24980483996877439</v>
      </c>
      <c r="Y9" s="6">
        <f t="shared" si="8"/>
        <v>3.4348165495706475E-3</v>
      </c>
      <c r="Z9" s="6">
        <f>J16*(100-X9)/100</f>
        <v>4.9755056888115501</v>
      </c>
      <c r="AA9" s="6">
        <f>L16*(100-Y9)/100</f>
        <v>2.0316975478059236</v>
      </c>
      <c r="AB9" s="6">
        <f t="shared" si="2"/>
        <v>2.4489401457341482</v>
      </c>
      <c r="AC9" s="6">
        <f>AB9/AD16-1</f>
        <v>-2.4637848606822166E-3</v>
      </c>
      <c r="AD9" s="3">
        <f t="shared" si="3"/>
        <v>2.4373766045693492</v>
      </c>
      <c r="AE9" s="3">
        <f t="shared" si="4"/>
        <v>0.26798563993938868</v>
      </c>
      <c r="AF9" s="6">
        <f t="shared" si="5"/>
        <v>0.3435902294005746</v>
      </c>
      <c r="AG9" s="6" t="s">
        <v>53</v>
      </c>
      <c r="AH9" s="6">
        <f>AD9/AD16-1</f>
        <v>-7.1740065895531391E-3</v>
      </c>
      <c r="AI9" s="6">
        <f>AE9/AE16-1</f>
        <v>-0.57004496713939812</v>
      </c>
      <c r="AJ9" s="6">
        <f>AF9/AF16-1</f>
        <v>-0.6536242336819329</v>
      </c>
      <c r="AK9" s="6" t="s">
        <v>53</v>
      </c>
    </row>
    <row r="10" spans="1:37">
      <c r="A10" s="6" t="s">
        <v>494</v>
      </c>
      <c r="B10" s="6" t="s">
        <v>240</v>
      </c>
      <c r="C10" s="6">
        <v>290</v>
      </c>
      <c r="D10" s="6">
        <v>22.04</v>
      </c>
      <c r="E10" s="6">
        <v>1.36</v>
      </c>
      <c r="F10" s="6">
        <v>3.86</v>
      </c>
      <c r="G10" s="6">
        <v>1.41</v>
      </c>
      <c r="H10" s="6">
        <v>0.12</v>
      </c>
      <c r="I10" s="6">
        <v>0.03</v>
      </c>
      <c r="J10" s="3">
        <f t="shared" si="0"/>
        <v>5.8320831698705371</v>
      </c>
      <c r="K10" s="3">
        <f t="shared" si="1"/>
        <v>0.82012881968221829</v>
      </c>
      <c r="L10" s="6">
        <f t="shared" si="9"/>
        <v>2.3134577918012669</v>
      </c>
      <c r="M10" s="6">
        <f t="shared" si="10"/>
        <v>1.0077139810333575</v>
      </c>
      <c r="N10" s="6">
        <f t="shared" si="11"/>
        <v>4.9806751592356688E-2</v>
      </c>
      <c r="O10" s="6">
        <f t="shared" si="12"/>
        <v>1.1127868839233996E-2</v>
      </c>
      <c r="P10" s="6">
        <f t="shared" si="13"/>
        <v>84.51398146057582</v>
      </c>
      <c r="Q10" s="6">
        <f t="shared" si="14"/>
        <v>85.128404603225505</v>
      </c>
      <c r="R10" s="6" t="s">
        <v>53</v>
      </c>
      <c r="S10" s="6" t="s">
        <v>53</v>
      </c>
      <c r="T10" s="6">
        <f>(J10/J16-1)*100</f>
        <v>16.923076923076906</v>
      </c>
      <c r="U10" s="6">
        <f>(K10/K16-1)*100</f>
        <v>-35.238095238095234</v>
      </c>
      <c r="V10" s="6">
        <f>(L10/L16-1)*100</f>
        <v>13.864306784660752</v>
      </c>
      <c r="W10" s="6">
        <f t="shared" si="6"/>
        <v>57.767369242779075</v>
      </c>
      <c r="X10" s="6">
        <f t="shared" si="7"/>
        <v>0.18485558157689305</v>
      </c>
      <c r="Y10" s="6">
        <f t="shared" si="8"/>
        <v>2.5417642466822794E-3</v>
      </c>
      <c r="Z10" s="6">
        <f>J16*(100-X10)/100</f>
        <v>4.9787453356522855</v>
      </c>
      <c r="AA10" s="6">
        <f>L16*(100-Y10)/100</f>
        <v>2.0317156925509008</v>
      </c>
      <c r="AB10" s="6">
        <f t="shared" si="2"/>
        <v>2.4505128123518456</v>
      </c>
      <c r="AC10" s="6">
        <f>AB10/AD16-1</f>
        <v>-1.8231845143541481E-3</v>
      </c>
      <c r="AD10" s="3">
        <f t="shared" si="3"/>
        <v>2.520937788681096</v>
      </c>
      <c r="AE10" s="3">
        <f>K10/L10</f>
        <v>0.35450347207055072</v>
      </c>
      <c r="AF10" s="6">
        <f t="shared" si="5"/>
        <v>0.43558779615717458</v>
      </c>
      <c r="AG10" s="6" t="s">
        <v>53</v>
      </c>
      <c r="AH10" s="6">
        <f>AD10/AD16-1</f>
        <v>2.6863292148266105E-2</v>
      </c>
      <c r="AI10" s="6">
        <f>AE10/AE16-1</f>
        <v>-0.43123612139156164</v>
      </c>
      <c r="AJ10" s="6">
        <f>AF10/AF16-1</f>
        <v>-0.56088082901554404</v>
      </c>
      <c r="AK10" s="6" t="s">
        <v>53</v>
      </c>
    </row>
    <row r="11" spans="1:37">
      <c r="A11" s="6" t="s">
        <v>495</v>
      </c>
      <c r="B11" s="6" t="s">
        <v>240</v>
      </c>
      <c r="C11" s="6">
        <v>330</v>
      </c>
      <c r="D11" s="6">
        <v>22.31</v>
      </c>
      <c r="E11" s="6">
        <v>1.39</v>
      </c>
      <c r="F11" s="6">
        <v>3.98</v>
      </c>
      <c r="G11" s="6">
        <v>1.35</v>
      </c>
      <c r="H11" s="6">
        <v>0.17</v>
      </c>
      <c r="I11" s="6">
        <v>0.04</v>
      </c>
      <c r="J11" s="6">
        <f t="shared" si="0"/>
        <v>5.9035288348371919</v>
      </c>
      <c r="K11" s="3">
        <f t="shared" si="1"/>
        <v>0.83821989658697305</v>
      </c>
      <c r="L11" s="6">
        <f t="shared" si="9"/>
        <v>2.3853787594220321</v>
      </c>
      <c r="M11" s="6">
        <f t="shared" si="10"/>
        <v>0.96483253503193822</v>
      </c>
      <c r="N11" s="6">
        <f t="shared" si="11"/>
        <v>7.0559564755838647E-2</v>
      </c>
      <c r="O11" s="6">
        <f t="shared" si="12"/>
        <v>1.4837158452311995E-2</v>
      </c>
      <c r="P11" s="6">
        <f t="shared" si="13"/>
        <v>84.896954363632091</v>
      </c>
      <c r="Q11" s="6">
        <f t="shared" si="14"/>
        <v>85.767231768002546</v>
      </c>
      <c r="R11" s="6" t="s">
        <v>53</v>
      </c>
      <c r="S11" s="6" t="s">
        <v>53</v>
      </c>
      <c r="T11" s="6">
        <f>(J11/J16-1)*100</f>
        <v>18.355437665782492</v>
      </c>
      <c r="U11" s="6">
        <f>(K11/K16-1)*100</f>
        <v>-33.80952380952381</v>
      </c>
      <c r="V11" s="6">
        <f>(L11/L16-1)*100</f>
        <v>17.404129793510336</v>
      </c>
      <c r="W11" s="6">
        <f t="shared" si="6"/>
        <v>55.425448868071818</v>
      </c>
      <c r="X11" s="6">
        <f t="shared" si="7"/>
        <v>0.17736143637782983</v>
      </c>
      <c r="Y11" s="6">
        <f t="shared" si="8"/>
        <v>2.4387197501951601E-3</v>
      </c>
      <c r="Z11" s="6">
        <f>J16*(100-X11)/100</f>
        <v>4.9791191410569855</v>
      </c>
      <c r="AA11" s="6">
        <f>L16*(100-Y11)/100</f>
        <v>2.0317177861753213</v>
      </c>
      <c r="AB11" s="6">
        <f t="shared" si="2"/>
        <v>2.4506942720770799</v>
      </c>
      <c r="AC11" s="6">
        <f>AB11/AD16-1</f>
        <v>-1.7492698260651585E-3</v>
      </c>
      <c r="AD11" s="6">
        <f t="shared" si="3"/>
        <v>2.4748811112360176</v>
      </c>
      <c r="AE11" s="6">
        <f t="shared" ref="AE11:AE16" si="15">K11/L11</f>
        <v>0.35139907793514119</v>
      </c>
      <c r="AF11" s="6">
        <f t="shared" si="5"/>
        <v>0.40447770871646116</v>
      </c>
      <c r="AG11" s="6" t="s">
        <v>53</v>
      </c>
      <c r="AH11" s="6">
        <f>AD11/AD16-1</f>
        <v>8.1028484598055783E-3</v>
      </c>
      <c r="AI11" s="6">
        <f>AE11/AE16-1</f>
        <v>-0.4362167982770998</v>
      </c>
      <c r="AJ11" s="6">
        <f>AF11/AF16-1</f>
        <v>-0.5922431305463487</v>
      </c>
      <c r="AK11" s="6" t="s">
        <v>53</v>
      </c>
    </row>
    <row r="12" spans="1:37">
      <c r="A12" s="6" t="s">
        <v>496</v>
      </c>
      <c r="B12" s="6" t="s">
        <v>240</v>
      </c>
      <c r="C12" s="6">
        <v>350</v>
      </c>
      <c r="D12" s="6">
        <v>21.94</v>
      </c>
      <c r="E12" s="6">
        <v>1.53</v>
      </c>
      <c r="F12" s="6">
        <v>4.09</v>
      </c>
      <c r="G12" s="6">
        <v>1.58</v>
      </c>
      <c r="H12" s="6">
        <v>0.18</v>
      </c>
      <c r="I12" s="6">
        <v>0.06</v>
      </c>
      <c r="J12" s="3">
        <f t="shared" si="0"/>
        <v>5.8056218124754819</v>
      </c>
      <c r="K12" s="3">
        <f t="shared" si="1"/>
        <v>0.9226449221424956</v>
      </c>
      <c r="L12" s="6">
        <f t="shared" si="9"/>
        <v>2.4513063130743995</v>
      </c>
      <c r="M12" s="6">
        <f t="shared" si="10"/>
        <v>1.1292114113707128</v>
      </c>
      <c r="N12" s="6">
        <f t="shared" si="11"/>
        <v>7.4710127388535025E-2</v>
      </c>
      <c r="O12" s="6">
        <f t="shared" si="12"/>
        <v>2.2255737678467991E-2</v>
      </c>
      <c r="P12" s="6">
        <f t="shared" si="13"/>
        <v>82.562396039286895</v>
      </c>
      <c r="Q12" s="6">
        <f t="shared" si="14"/>
        <v>83.449009270727601</v>
      </c>
      <c r="R12" s="6" t="s">
        <v>53</v>
      </c>
      <c r="S12" s="6" t="s">
        <v>53</v>
      </c>
      <c r="T12" s="6">
        <f>(J12/J16-1)*100</f>
        <v>16.3925729442971</v>
      </c>
      <c r="U12" s="6">
        <f>(K12/K16-1)*100</f>
        <v>-27.142857142857135</v>
      </c>
      <c r="V12" s="6">
        <f>(L12/L16-1)*100</f>
        <v>20.64896755162242</v>
      </c>
      <c r="W12" s="6">
        <f t="shared" si="6"/>
        <v>44.49648711943793</v>
      </c>
      <c r="X12" s="6">
        <f t="shared" si="7"/>
        <v>0.14238875878220139</v>
      </c>
      <c r="Y12" s="6">
        <f t="shared" si="8"/>
        <v>1.9578454332552691E-3</v>
      </c>
      <c r="Z12" s="6">
        <f>J16*(100-X12)/100</f>
        <v>4.98086356627892</v>
      </c>
      <c r="AA12" s="6">
        <f>L16*(100-Y12)/100</f>
        <v>2.0317275564226169</v>
      </c>
      <c r="AB12" s="6">
        <f t="shared" si="2"/>
        <v>2.4515410791833832</v>
      </c>
      <c r="AC12" s="6">
        <f>AB12/AD16-1</f>
        <v>-1.4043366282300296E-3</v>
      </c>
      <c r="AD12" s="6">
        <f t="shared" si="3"/>
        <v>2.3683787625848112</v>
      </c>
      <c r="AE12" s="6">
        <f t="shared" si="15"/>
        <v>0.37638907762013846</v>
      </c>
      <c r="AF12" s="6">
        <f t="shared" si="5"/>
        <v>0.46065699963643841</v>
      </c>
      <c r="AG12" s="6" t="s">
        <v>53</v>
      </c>
      <c r="AH12" s="6">
        <f>AD12/AD16-1</f>
        <v>-3.5279163126730739E-2</v>
      </c>
      <c r="AI12" s="6">
        <f>AE12/AE16-1</f>
        <v>-0.39612294795668868</v>
      </c>
      <c r="AJ12" s="6">
        <f>AF12/AF16-1</f>
        <v>-0.53560838578785819</v>
      </c>
      <c r="AK12" s="6" t="s">
        <v>53</v>
      </c>
    </row>
    <row r="13" spans="1:37">
      <c r="A13" s="6" t="s">
        <v>497</v>
      </c>
      <c r="B13" s="6" t="s">
        <v>240</v>
      </c>
      <c r="C13" s="6">
        <v>390</v>
      </c>
      <c r="D13" s="6">
        <v>20.23</v>
      </c>
      <c r="E13" s="6">
        <v>2.34</v>
      </c>
      <c r="F13" s="6">
        <v>3.62</v>
      </c>
      <c r="G13" s="6">
        <v>2.35</v>
      </c>
      <c r="H13" s="6">
        <v>0.22</v>
      </c>
      <c r="I13" s="6">
        <v>0.22</v>
      </c>
      <c r="J13" s="3">
        <f t="shared" si="0"/>
        <v>5.3531326010200075</v>
      </c>
      <c r="K13" s="3">
        <f t="shared" si="1"/>
        <v>1.4111039985708753</v>
      </c>
      <c r="L13" s="6">
        <f t="shared" si="9"/>
        <v>2.1696158565597377</v>
      </c>
      <c r="M13" s="6">
        <f t="shared" si="10"/>
        <v>1.6795233017222628</v>
      </c>
      <c r="N13" s="6">
        <f t="shared" si="11"/>
        <v>9.1312377919320606E-2</v>
      </c>
      <c r="O13" s="6">
        <f t="shared" si="12"/>
        <v>8.1604371487715974E-2</v>
      </c>
      <c r="P13" s="6">
        <f t="shared" si="13"/>
        <v>74.291563758270527</v>
      </c>
      <c r="Q13" s="6">
        <f t="shared" si="14"/>
        <v>75.245104827141091</v>
      </c>
      <c r="R13" s="6" t="s">
        <v>53</v>
      </c>
      <c r="S13" s="6" t="s">
        <v>53</v>
      </c>
      <c r="T13" s="6">
        <f>(J13/J16-1)*100</f>
        <v>7.3209549071617808</v>
      </c>
      <c r="U13" s="6">
        <f>(K13/K16-1)*100</f>
        <v>11.428571428571409</v>
      </c>
      <c r="V13" s="6">
        <f>(L13/L16-1)*100</f>
        <v>6.7846607669616477</v>
      </c>
      <c r="W13" s="6">
        <f t="shared" si="6"/>
        <v>-18.735362997658047</v>
      </c>
      <c r="X13" s="6">
        <f t="shared" si="7"/>
        <v>-5.9953161592505751E-2</v>
      </c>
      <c r="Y13" s="6">
        <f t="shared" si="8"/>
        <v>-8.2435597189695401E-4</v>
      </c>
      <c r="Z13" s="6">
        <f>J16*(100-X13)/100</f>
        <v>4.9909563122058254</v>
      </c>
      <c r="AA13" s="6">
        <f>L16*(100-Y13)/100</f>
        <v>2.0317840842819685</v>
      </c>
      <c r="AB13" s="6">
        <f t="shared" si="2"/>
        <v>2.4564403032862749</v>
      </c>
      <c r="AC13" s="6">
        <f>AB13/AD16-1</f>
        <v>5.9128318192791518E-4</v>
      </c>
      <c r="AD13" s="6">
        <f t="shared" si="3"/>
        <v>2.4673181590349498</v>
      </c>
      <c r="AE13" s="6">
        <f t="shared" si="15"/>
        <v>0.65039347601763908</v>
      </c>
      <c r="AF13" s="6">
        <f t="shared" si="5"/>
        <v>0.77411090845612063</v>
      </c>
      <c r="AG13" s="6" t="s">
        <v>53</v>
      </c>
      <c r="AH13" s="6">
        <f>AD13/AD16-1</f>
        <v>5.0222020311558868E-3</v>
      </c>
      <c r="AI13" s="6">
        <f>AE13/AE16-1</f>
        <v>4.3488555643251603E-2</v>
      </c>
      <c r="AJ13" s="6">
        <f>AF13/AF16-1</f>
        <v>-0.2196132596685082</v>
      </c>
      <c r="AK13" s="6" t="s">
        <v>53</v>
      </c>
    </row>
    <row r="14" spans="1:37">
      <c r="A14" s="6" t="s">
        <v>498</v>
      </c>
      <c r="B14" s="6" t="s">
        <v>216</v>
      </c>
      <c r="C14" s="6">
        <v>405</v>
      </c>
      <c r="D14" s="6">
        <v>21.33</v>
      </c>
      <c r="E14" s="6">
        <v>1.53</v>
      </c>
      <c r="F14" s="6">
        <v>3.42</v>
      </c>
      <c r="G14" s="6">
        <v>1.39</v>
      </c>
      <c r="H14" s="6">
        <v>0.23</v>
      </c>
      <c r="I14" s="6">
        <v>0.11</v>
      </c>
      <c r="J14" s="3">
        <f t="shared" si="0"/>
        <v>5.6442075323656331</v>
      </c>
      <c r="K14" s="3">
        <f t="shared" si="1"/>
        <v>0.9226449221424956</v>
      </c>
      <c r="L14" s="6">
        <f t="shared" si="9"/>
        <v>2.0497475771917961</v>
      </c>
      <c r="M14" s="6">
        <f t="shared" si="10"/>
        <v>0.99342016569955094</v>
      </c>
      <c r="N14" s="6">
        <f t="shared" si="11"/>
        <v>9.5462940552016998E-2</v>
      </c>
      <c r="O14" s="6">
        <f t="shared" si="12"/>
        <v>4.0802185743857987E-2</v>
      </c>
      <c r="P14" s="6">
        <f t="shared" si="13"/>
        <v>83.322952971255745</v>
      </c>
      <c r="Q14" s="6">
        <f t="shared" si="14"/>
        <v>84.513989523933716</v>
      </c>
      <c r="R14" s="6" t="s">
        <v>53</v>
      </c>
      <c r="S14" s="6" t="s">
        <v>53</v>
      </c>
      <c r="T14" s="6">
        <f>(J14/J16-1)*100</f>
        <v>13.156498673740025</v>
      </c>
      <c r="U14" s="6">
        <f>(K14/K16-1)*100</f>
        <v>-27.142857142857135</v>
      </c>
      <c r="V14" s="6">
        <f>(L14/L16-1)*100</f>
        <v>0.88495575221239076</v>
      </c>
      <c r="W14" s="6">
        <f t="shared" si="6"/>
        <v>44.49648711943793</v>
      </c>
      <c r="X14" s="6">
        <f t="shared" si="7"/>
        <v>0.14238875878220139</v>
      </c>
      <c r="Y14" s="6">
        <f t="shared" si="8"/>
        <v>1.9578454332552691E-3</v>
      </c>
      <c r="Z14" s="6">
        <f>J16*(100-X14)/100</f>
        <v>4.98086356627892</v>
      </c>
      <c r="AA14" s="6">
        <f>L16*(100-Y14)/100</f>
        <v>2.0317275564226169</v>
      </c>
      <c r="AB14" s="6">
        <f t="shared" si="2"/>
        <v>2.4515410791833832</v>
      </c>
      <c r="AC14" s="6">
        <f>AB14/AD16-1</f>
        <v>-1.4043366282300296E-3</v>
      </c>
      <c r="AD14" s="6">
        <f t="shared" si="3"/>
        <v>2.7536110276067918</v>
      </c>
      <c r="AE14" s="6">
        <f t="shared" si="15"/>
        <v>0.4501261191422124</v>
      </c>
      <c r="AF14" s="6">
        <f t="shared" si="5"/>
        <v>0.48465487982698857</v>
      </c>
      <c r="AG14" s="6" t="s">
        <v>53</v>
      </c>
      <c r="AH14" s="6">
        <f>AD14/AD16-1</f>
        <v>0.12163897808180901</v>
      </c>
      <c r="AI14" s="6">
        <f>AE14/AE16-1</f>
        <v>-0.2778195488721803</v>
      </c>
      <c r="AJ14" s="6">
        <f>AF14/AF16-1</f>
        <v>-0.5114159512255817</v>
      </c>
      <c r="AK14" s="6" t="s">
        <v>53</v>
      </c>
    </row>
    <row r="15" spans="1:37">
      <c r="A15" s="6" t="s">
        <v>499</v>
      </c>
      <c r="B15" s="6" t="s">
        <v>216</v>
      </c>
      <c r="C15" s="6">
        <v>465</v>
      </c>
      <c r="D15" s="6">
        <v>19.02</v>
      </c>
      <c r="E15" s="6">
        <v>1.49</v>
      </c>
      <c r="F15" s="6">
        <v>3.45</v>
      </c>
      <c r="G15" s="6">
        <v>4.4400000000000004</v>
      </c>
      <c r="H15" s="6">
        <v>0.55000000000000004</v>
      </c>
      <c r="I15" s="6">
        <v>2.61</v>
      </c>
      <c r="J15" s="6">
        <f t="shared" si="0"/>
        <v>5.0329501765398197</v>
      </c>
      <c r="K15" s="3">
        <f t="shared" si="1"/>
        <v>0.89852348626948919</v>
      </c>
      <c r="L15" s="6">
        <f t="shared" si="9"/>
        <v>2.0677278190969877</v>
      </c>
      <c r="M15" s="6">
        <f t="shared" si="10"/>
        <v>3.1732270041050414</v>
      </c>
      <c r="N15" s="6">
        <f t="shared" si="11"/>
        <v>0.22828094479830152</v>
      </c>
      <c r="O15" s="6">
        <f t="shared" si="12"/>
        <v>0.96812458901335763</v>
      </c>
      <c r="P15" s="6">
        <f t="shared" si="13"/>
        <v>53.527316157523742</v>
      </c>
      <c r="Q15" s="6">
        <f t="shared" si="14"/>
        <v>54.859217659321871</v>
      </c>
      <c r="R15" s="6" t="s">
        <v>53</v>
      </c>
      <c r="S15" s="6" t="s">
        <v>53</v>
      </c>
      <c r="T15" s="6">
        <f>(J15/J16-1)*100</f>
        <v>0.90185676392571246</v>
      </c>
      <c r="U15" s="6">
        <f>(K15/K16-1)*100</f>
        <v>-29.047619047619044</v>
      </c>
      <c r="V15" s="6">
        <f>(L15/L16-1)*100</f>
        <v>1.7699115044247815</v>
      </c>
      <c r="W15" s="6">
        <f t="shared" si="6"/>
        <v>47.619047619047613</v>
      </c>
      <c r="X15" s="6">
        <f t="shared" si="7"/>
        <v>0.15238095238095237</v>
      </c>
      <c r="Y15" s="6">
        <f t="shared" si="8"/>
        <v>2.0952380952380949E-3</v>
      </c>
      <c r="Z15" s="6">
        <f>J16*(100-X15)/100</f>
        <v>4.9803651590726528</v>
      </c>
      <c r="AA15" s="6">
        <f>L16*(100-Y15)/100</f>
        <v>2.0317247649233896</v>
      </c>
      <c r="AB15" s="6">
        <f t="shared" si="2"/>
        <v>2.4512991351269213</v>
      </c>
      <c r="AC15" s="6">
        <f>AB15/AD16-1</f>
        <v>-1.5028886319524704E-3</v>
      </c>
      <c r="AD15" s="6">
        <f t="shared" si="3"/>
        <v>2.4340486838049098</v>
      </c>
      <c r="AE15" s="6">
        <f t="shared" si="15"/>
        <v>0.43454630632279728</v>
      </c>
      <c r="AF15" s="6">
        <f t="shared" si="5"/>
        <v>1.5346444414965816</v>
      </c>
      <c r="AG15" s="6" t="s">
        <v>53</v>
      </c>
      <c r="AH15" s="6">
        <f>AD15/AD16-1</f>
        <v>-8.5295813631649509E-3</v>
      </c>
      <c r="AI15" s="6">
        <f>AE15/AE16-1</f>
        <v>-0.30281573498964809</v>
      </c>
      <c r="AJ15" s="6">
        <f>AF15/AF16-1</f>
        <v>0.54708603145235912</v>
      </c>
      <c r="AK15" s="6" t="s">
        <v>53</v>
      </c>
    </row>
    <row r="16" spans="1:37" s="2" customFormat="1">
      <c r="A16" s="2" t="s">
        <v>500</v>
      </c>
      <c r="B16" s="2" t="s">
        <v>42</v>
      </c>
      <c r="C16" s="2">
        <v>500</v>
      </c>
      <c r="D16" s="2">
        <v>18.850000000000001</v>
      </c>
      <c r="E16" s="2">
        <v>2.1</v>
      </c>
      <c r="F16" s="2">
        <v>3.39</v>
      </c>
      <c r="G16" s="2">
        <v>2.82</v>
      </c>
      <c r="H16" s="2">
        <v>0.41</v>
      </c>
      <c r="I16" s="2">
        <v>1.1000000000000001</v>
      </c>
      <c r="J16" s="2">
        <f t="shared" si="0"/>
        <v>4.9879658689682236</v>
      </c>
      <c r="K16" s="2">
        <f t="shared" si="1"/>
        <v>1.2663753833328371</v>
      </c>
      <c r="L16" s="2">
        <f t="shared" si="9"/>
        <v>2.031767335286605</v>
      </c>
      <c r="M16" s="2">
        <f t="shared" si="10"/>
        <v>2.015427962066715</v>
      </c>
      <c r="N16" s="2">
        <f t="shared" si="11"/>
        <v>0.17017306794055201</v>
      </c>
      <c r="O16" s="2">
        <f t="shared" si="12"/>
        <v>0.40802185743857994</v>
      </c>
      <c r="S16" s="2">
        <f>R16/10000</f>
        <v>0</v>
      </c>
      <c r="AD16" s="2">
        <f t="shared" si="3"/>
        <v>2.4549887097503769</v>
      </c>
      <c r="AE16" s="2">
        <f t="shared" si="15"/>
        <v>0.6232875986040004</v>
      </c>
      <c r="AF16" s="2">
        <f t="shared" si="5"/>
        <v>0.99195804906589602</v>
      </c>
      <c r="AG16" s="2" t="s">
        <v>53</v>
      </c>
    </row>
    <row r="17" spans="28:34" s="3" customFormat="1">
      <c r="AB17" s="39"/>
      <c r="AC17" s="6"/>
      <c r="AE17" s="39"/>
      <c r="AF17" s="6"/>
      <c r="AG17" s="39" t="s">
        <v>97</v>
      </c>
      <c r="AH17" s="6">
        <f>_xlfn.VAR.P(AH3:AH15)</f>
        <v>3.1189714025916603E-2</v>
      </c>
    </row>
    <row r="18" spans="28:34" s="3" customFormat="1">
      <c r="AG18" s="67" t="s">
        <v>98</v>
      </c>
      <c r="AH18" s="3">
        <f>AVERAGE(AH3:AH15)</f>
        <v>8.0559701147476195E-2</v>
      </c>
    </row>
    <row r="19" spans="28:34">
      <c r="AF19" s="3"/>
      <c r="AG19" s="3"/>
    </row>
    <row r="20" spans="28:34">
      <c r="AF20" s="3"/>
      <c r="AG20" s="3"/>
    </row>
    <row r="22" spans="28:34">
      <c r="AE22" s="3"/>
      <c r="AF22" s="3"/>
      <c r="AG22" s="3"/>
      <c r="AH22" s="3"/>
    </row>
    <row r="23" spans="28:34">
      <c r="AE23" s="3"/>
      <c r="AF23" s="3"/>
      <c r="AG23" s="3"/>
      <c r="AH23" s="3"/>
    </row>
    <row r="24" spans="28:34">
      <c r="AE24" s="3"/>
      <c r="AF24" s="3"/>
      <c r="AG24" s="3"/>
      <c r="AH24" s="3"/>
    </row>
    <row r="25" spans="28:34">
      <c r="AE25" s="3"/>
      <c r="AF25" s="3"/>
      <c r="AG25" s="3"/>
      <c r="AH25" s="3"/>
    </row>
    <row r="26" spans="28:34">
      <c r="AE26" s="3"/>
      <c r="AF26" s="3"/>
      <c r="AG26" s="3"/>
      <c r="AH26" s="3"/>
    </row>
    <row r="27" spans="28:34">
      <c r="AE27" s="3"/>
      <c r="AF27" s="3"/>
      <c r="AG27" s="3"/>
      <c r="AH27" s="3"/>
    </row>
    <row r="28" spans="28:34">
      <c r="AE28" s="3"/>
      <c r="AF28" s="3"/>
      <c r="AG28" s="3"/>
      <c r="AH28" s="3"/>
    </row>
    <row r="29" spans="28:34">
      <c r="AE29" s="3"/>
      <c r="AF29" s="3"/>
      <c r="AG29" s="3"/>
      <c r="AH29" s="3"/>
    </row>
    <row r="30" spans="28:34">
      <c r="AE30" s="3"/>
      <c r="AF30" s="3"/>
      <c r="AG30" s="3"/>
      <c r="AH30" s="3"/>
    </row>
    <row r="31" spans="28:34">
      <c r="AE31" s="3"/>
      <c r="AF31" s="3"/>
      <c r="AG31" s="3"/>
      <c r="AH31" s="3"/>
    </row>
    <row r="32" spans="28:34">
      <c r="AE32" s="3"/>
      <c r="AF32" s="3"/>
      <c r="AG32" s="3"/>
      <c r="AH32" s="3"/>
    </row>
    <row r="33" spans="31:34">
      <c r="AE33" s="3"/>
      <c r="AF33" s="3"/>
      <c r="AG33" s="3"/>
      <c r="AH33" s="3"/>
    </row>
    <row r="34" spans="31:34">
      <c r="AE34" s="3"/>
      <c r="AF34" s="3"/>
      <c r="AG34" s="3"/>
      <c r="AH34" s="3"/>
    </row>
    <row r="35" spans="31:34">
      <c r="AE35" s="3"/>
      <c r="AF35" s="3"/>
      <c r="AG35" s="3"/>
      <c r="AH35" s="3"/>
    </row>
    <row r="36" spans="31:34">
      <c r="AE36" s="3"/>
      <c r="AF36" s="3"/>
      <c r="AG36" s="3"/>
      <c r="AH36" s="3"/>
    </row>
    <row r="37" spans="31:34">
      <c r="AE37" s="3"/>
      <c r="AF37" s="3"/>
      <c r="AG37" s="3"/>
      <c r="AH37" s="3"/>
    </row>
    <row r="38" spans="31:34">
      <c r="AE38" s="3"/>
      <c r="AF38" s="3"/>
      <c r="AG38" s="3"/>
      <c r="AH38" s="3"/>
    </row>
    <row r="39" spans="31:34">
      <c r="AE39" s="3"/>
      <c r="AF39" s="3"/>
      <c r="AG39" s="3"/>
      <c r="AH39" s="3"/>
    </row>
    <row r="40" spans="31:34">
      <c r="AE40" s="3"/>
      <c r="AF40" s="3"/>
      <c r="AG40" s="3"/>
      <c r="AH40" s="3"/>
    </row>
    <row r="41" spans="31:34">
      <c r="AE41" s="3"/>
      <c r="AF41" s="3"/>
      <c r="AG41" s="3"/>
      <c r="AH41" s="3"/>
    </row>
    <row r="42" spans="31:34">
      <c r="AE42" s="3"/>
      <c r="AF42" s="3"/>
      <c r="AG42" s="3"/>
      <c r="AH42" s="3"/>
    </row>
    <row r="43" spans="31:34">
      <c r="AE43" s="3"/>
      <c r="AF43" s="3"/>
      <c r="AG43" s="3"/>
      <c r="AH43" s="3"/>
    </row>
    <row r="44" spans="31:34">
      <c r="AE44" s="3"/>
      <c r="AF44" s="3"/>
      <c r="AG44" s="3"/>
      <c r="AH44" s="3"/>
    </row>
    <row r="45" spans="31:34">
      <c r="AE45" s="3"/>
      <c r="AF45" s="3"/>
      <c r="AG45" s="3"/>
      <c r="AH45" s="3"/>
    </row>
    <row r="46" spans="31:34">
      <c r="AE46" s="3"/>
      <c r="AF46" s="3"/>
      <c r="AG46" s="3"/>
      <c r="AH46" s="3"/>
    </row>
    <row r="47" spans="31:34">
      <c r="AE47" s="3"/>
      <c r="AF47" s="3"/>
      <c r="AG47" s="3"/>
      <c r="AH47" s="3"/>
    </row>
    <row r="48" spans="31:34">
      <c r="AE48" s="3"/>
      <c r="AF48" s="3"/>
      <c r="AG48" s="3"/>
      <c r="AH48" s="3"/>
    </row>
    <row r="49" spans="30:34">
      <c r="AE49" s="3"/>
      <c r="AF49" s="3"/>
      <c r="AG49" s="3"/>
      <c r="AH49" s="3"/>
    </row>
    <row r="50" spans="30:34">
      <c r="AE50" s="3"/>
      <c r="AF50" s="3"/>
      <c r="AG50" s="3"/>
      <c r="AH50" s="3"/>
    </row>
    <row r="51" spans="30:34">
      <c r="AE51" s="3"/>
      <c r="AF51" s="3"/>
      <c r="AG51" s="3"/>
      <c r="AH51" s="3"/>
    </row>
    <row r="52" spans="30:34">
      <c r="AE52" s="3"/>
      <c r="AF52" s="3"/>
      <c r="AG52" s="3"/>
      <c r="AH52" s="3"/>
    </row>
    <row r="53" spans="30:34">
      <c r="AE53" s="3"/>
      <c r="AF53" s="3"/>
      <c r="AG53" s="3"/>
      <c r="AH53" s="3"/>
    </row>
    <row r="54" spans="30:34">
      <c r="AE54" s="3"/>
      <c r="AF54" s="3"/>
      <c r="AG54" s="3"/>
      <c r="AH54" s="3"/>
    </row>
    <row r="55" spans="30:34">
      <c r="AE55" s="3"/>
      <c r="AF55" s="3"/>
      <c r="AG55" s="3"/>
      <c r="AH55" s="3"/>
    </row>
    <row r="56" spans="30:34">
      <c r="AE56" s="3"/>
      <c r="AF56" s="3"/>
      <c r="AG56" s="3"/>
      <c r="AH56" s="3"/>
    </row>
    <row r="57" spans="30:34">
      <c r="AE57" s="3"/>
      <c r="AF57" s="3"/>
      <c r="AG57" s="3"/>
      <c r="AH57" s="3"/>
    </row>
    <row r="58" spans="30:34">
      <c r="AE58" s="3"/>
      <c r="AF58" s="3"/>
      <c r="AG58" s="3"/>
      <c r="AH58" s="3"/>
    </row>
    <row r="59" spans="30:34">
      <c r="AD59" s="3"/>
      <c r="AE59" s="3"/>
      <c r="AF59" s="3"/>
      <c r="AG59" s="3"/>
      <c r="AH59" s="3"/>
    </row>
    <row r="60" spans="30:34">
      <c r="AD60" s="3"/>
      <c r="AE60" s="3"/>
      <c r="AF60" s="3"/>
      <c r="AG60" s="3"/>
      <c r="AH60" s="3"/>
    </row>
    <row r="61" spans="30:34">
      <c r="AD61" s="3"/>
      <c r="AE61" s="3"/>
      <c r="AF61" s="3"/>
      <c r="AG61" s="3"/>
      <c r="AH61" s="3"/>
    </row>
    <row r="62" spans="30:34">
      <c r="AD62" s="3"/>
      <c r="AE62" s="3"/>
      <c r="AF62" s="3"/>
      <c r="AG62" s="3"/>
      <c r="AH62" s="3"/>
    </row>
    <row r="63" spans="30:34">
      <c r="AD63" s="3"/>
      <c r="AE63" s="3"/>
      <c r="AF63" s="67"/>
      <c r="AG63" s="67"/>
      <c r="AH63" s="3"/>
    </row>
    <row r="64" spans="30:34">
      <c r="AD64" s="3"/>
      <c r="AE64" s="3"/>
      <c r="AF64" s="3"/>
      <c r="AG64" s="3"/>
      <c r="AH64" s="3"/>
    </row>
    <row r="65" spans="30:34">
      <c r="AD65" s="3"/>
      <c r="AE65" s="3"/>
      <c r="AF65" s="3"/>
      <c r="AG65" s="3"/>
      <c r="AH65" s="3"/>
    </row>
    <row r="66" spans="30:34">
      <c r="AD66" s="3"/>
      <c r="AE66" s="3"/>
      <c r="AF66" s="3"/>
      <c r="AG66" s="3"/>
      <c r="AH66" s="3"/>
    </row>
    <row r="67" spans="30:34">
      <c r="AD67" s="3"/>
      <c r="AE67" s="3"/>
      <c r="AF67" s="3"/>
      <c r="AG67" s="3"/>
      <c r="AH67" s="3"/>
    </row>
  </sheetData>
  <phoneticPr fontId="22" type="noConversion"/>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21"/>
  <sheetViews>
    <sheetView topLeftCell="A5" zoomScale="80" zoomScaleNormal="80" workbookViewId="0">
      <selection activeCell="P25" sqref="P25"/>
    </sheetView>
  </sheetViews>
  <sheetFormatPr defaultRowHeight="14.5"/>
  <cols>
    <col min="1" max="1" width="12.1796875" style="6" customWidth="1"/>
    <col min="2" max="2" width="11.1796875" style="6" customWidth="1"/>
    <col min="3" max="3" width="7.26953125" style="6" customWidth="1"/>
    <col min="4" max="15" width="8.7265625" style="6"/>
    <col min="16" max="20" width="8.7265625" style="6" customWidth="1"/>
    <col min="21" max="21" width="13.26953125" style="6" customWidth="1"/>
    <col min="22" max="23" width="12.54296875" style="6" customWidth="1"/>
    <col min="24" max="24" width="17.90625" style="6" customWidth="1"/>
    <col min="25" max="26" width="20" style="6" customWidth="1"/>
    <col min="27" max="28" width="11.90625" style="6" customWidth="1"/>
    <col min="29" max="29" width="13.81640625" style="6" customWidth="1"/>
    <col min="30" max="30" width="18.36328125" style="6" customWidth="1"/>
    <col min="31" max="35" width="8.7265625" style="6"/>
    <col min="36" max="36" width="11" style="6" customWidth="1"/>
    <col min="37" max="37" width="13.81640625" style="6" customWidth="1"/>
    <col min="38" max="38" width="17.08984375" style="6" customWidth="1"/>
    <col min="39" max="16384" width="8.7265625" style="6"/>
  </cols>
  <sheetData>
    <row r="1" spans="1:38">
      <c r="A1" s="81" t="s">
        <v>194</v>
      </c>
      <c r="B1" s="81"/>
      <c r="C1" s="81"/>
      <c r="D1" s="81"/>
      <c r="E1" s="81"/>
      <c r="F1" s="81"/>
      <c r="G1" s="81"/>
      <c r="H1" s="81"/>
      <c r="I1" s="81"/>
      <c r="J1" s="81"/>
      <c r="K1" s="81"/>
      <c r="L1" s="81"/>
      <c r="M1" s="81"/>
      <c r="N1" s="81"/>
      <c r="O1" s="81"/>
      <c r="P1" s="81"/>
      <c r="Q1" s="81"/>
      <c r="R1" s="81"/>
      <c r="S1" s="91"/>
      <c r="T1" s="91"/>
      <c r="U1" s="81"/>
      <c r="V1" s="81"/>
      <c r="W1" s="81"/>
    </row>
    <row r="2" spans="1:38">
      <c r="A2" s="1" t="s">
        <v>197</v>
      </c>
      <c r="B2" s="1" t="s">
        <v>196</v>
      </c>
      <c r="C2" s="1" t="s">
        <v>1</v>
      </c>
      <c r="D2" s="1" t="s">
        <v>2</v>
      </c>
      <c r="E2" s="1" t="s">
        <v>3</v>
      </c>
      <c r="F2" s="1" t="s">
        <v>48</v>
      </c>
      <c r="G2" s="1" t="s">
        <v>49</v>
      </c>
      <c r="H2" s="1" t="s">
        <v>50</v>
      </c>
      <c r="I2" s="1" t="s">
        <v>4</v>
      </c>
      <c r="J2" s="1" t="s">
        <v>5</v>
      </c>
      <c r="K2" s="1" t="s">
        <v>6</v>
      </c>
      <c r="L2" s="1" t="s">
        <v>45</v>
      </c>
      <c r="M2" s="1" t="s">
        <v>46</v>
      </c>
      <c r="N2" s="1" t="s">
        <v>47</v>
      </c>
      <c r="O2" s="1" t="s">
        <v>51</v>
      </c>
      <c r="P2" s="1" t="s">
        <v>52</v>
      </c>
      <c r="Q2" s="1" t="s">
        <v>110</v>
      </c>
      <c r="R2" s="1" t="s">
        <v>120</v>
      </c>
      <c r="S2" s="1" t="s">
        <v>109</v>
      </c>
      <c r="T2" s="1" t="s">
        <v>378</v>
      </c>
      <c r="U2" s="1" t="s">
        <v>7</v>
      </c>
      <c r="V2" s="1" t="s">
        <v>8</v>
      </c>
      <c r="W2" s="1" t="s">
        <v>9</v>
      </c>
      <c r="X2" s="1" t="s">
        <v>10</v>
      </c>
      <c r="Y2" s="1" t="s">
        <v>11</v>
      </c>
      <c r="Z2" s="1" t="s">
        <v>12</v>
      </c>
      <c r="AA2" s="1" t="s">
        <v>13</v>
      </c>
      <c r="AB2" s="1" t="s">
        <v>14</v>
      </c>
      <c r="AC2" s="1" t="s">
        <v>15</v>
      </c>
      <c r="AD2" s="1" t="s">
        <v>460</v>
      </c>
      <c r="AE2" s="1" t="s">
        <v>16</v>
      </c>
      <c r="AF2" s="1" t="s">
        <v>17</v>
      </c>
      <c r="AG2" s="1" t="s">
        <v>107</v>
      </c>
      <c r="AH2" s="1" t="s">
        <v>134</v>
      </c>
      <c r="AI2" s="1" t="s">
        <v>459</v>
      </c>
      <c r="AJ2" s="1" t="s">
        <v>461</v>
      </c>
      <c r="AK2" s="1" t="s">
        <v>462</v>
      </c>
      <c r="AL2" s="1" t="s">
        <v>465</v>
      </c>
    </row>
    <row r="3" spans="1:38">
      <c r="A3" s="6" t="s">
        <v>93</v>
      </c>
      <c r="B3" s="6" t="s">
        <v>240</v>
      </c>
      <c r="C3" s="6">
        <v>26.28</v>
      </c>
      <c r="D3" s="6">
        <v>0.33</v>
      </c>
      <c r="E3" s="6">
        <v>2.278</v>
      </c>
      <c r="F3" s="6">
        <v>0.66</v>
      </c>
      <c r="G3" s="6">
        <v>0.05</v>
      </c>
      <c r="H3" s="6">
        <v>0.08</v>
      </c>
      <c r="I3" s="3">
        <f t="shared" ref="I3:I10" si="0">C3*26.98/101.96</f>
        <v>6.9540447234209495</v>
      </c>
      <c r="J3" s="3">
        <f t="shared" ref="J3:J10" si="1">D3*24.305/40.3044</f>
        <v>0.19900184595230297</v>
      </c>
      <c r="K3" s="6">
        <f t="shared" ref="K3:K10" si="2">E3*47.867/79.866</f>
        <v>1.3652997020008513</v>
      </c>
      <c r="L3" s="6">
        <f t="shared" ref="L3:L10" si="3">F3*40.078/56.0774</f>
        <v>0.47169590601561423</v>
      </c>
      <c r="M3" s="6">
        <f t="shared" ref="M3:M10" si="4">G3*39.0983/94.2</f>
        <v>2.0752813163481956E-2</v>
      </c>
      <c r="N3" s="6">
        <f t="shared" ref="N3:N10" si="5">H3*22.989769/61.9789</f>
        <v>2.9674316904623989E-2</v>
      </c>
      <c r="O3" s="6">
        <f t="shared" ref="O3:O9" si="6">100*(I3/(I3+L3+M3+N3))</f>
        <v>93.016167468688352</v>
      </c>
      <c r="P3" s="6">
        <f t="shared" ref="P3:P9" si="7">100*(I3/(I3+L3+N3))</f>
        <v>93.2750862758311</v>
      </c>
      <c r="Q3" s="6">
        <v>465</v>
      </c>
      <c r="R3" s="6">
        <f t="shared" ref="R3:R10" si="8">Q3/10000</f>
        <v>4.65E-2</v>
      </c>
      <c r="S3" s="6">
        <v>11.4</v>
      </c>
      <c r="U3" s="6">
        <f>(I3/I10-1)*100</f>
        <v>98.639455782312908</v>
      </c>
      <c r="V3" s="6">
        <f>(J3/J10-1)*100</f>
        <v>-89.877300613496942</v>
      </c>
      <c r="W3" s="6">
        <f>(K3/K10-1)*100</f>
        <v>-1.5131863380890676</v>
      </c>
      <c r="X3" s="6">
        <f t="shared" ref="X3:X9" si="9">V3/-0.61</f>
        <v>147.33983707130648</v>
      </c>
      <c r="Y3" s="6">
        <f t="shared" ref="Y3:Y9" si="10">X3*0.0032</f>
        <v>0.47148747862818075</v>
      </c>
      <c r="Z3" s="6">
        <f t="shared" ref="Z3:Z9" si="11">X3*0.000044</f>
        <v>6.4829528311374845E-3</v>
      </c>
      <c r="AA3" s="6">
        <f>I10*(100-Y3)/100</f>
        <v>3.4843315725133466</v>
      </c>
      <c r="AB3" s="6">
        <f>K10*(100-Z3)/100</f>
        <v>1.3861867792288549</v>
      </c>
      <c r="AC3" s="6">
        <f t="shared" ref="AC3:AC9" si="12">AA3/AB3</f>
        <v>2.5136090061771501</v>
      </c>
      <c r="AD3" s="6">
        <f>AC3/AE10-1</f>
        <v>-4.6503467377557728E-3</v>
      </c>
      <c r="AE3" s="3">
        <f t="shared" ref="AE3:AE10" si="13">I3/K3</f>
        <v>5.0934199379299461</v>
      </c>
      <c r="AF3" s="3">
        <f>J3/K3</f>
        <v>0.14575689547186241</v>
      </c>
      <c r="AG3" s="6">
        <f t="shared" ref="AG3:AG10" si="14">L3/K3</f>
        <v>0.34548891010841232</v>
      </c>
      <c r="AH3" s="6">
        <f t="shared" ref="AH3:AH10" si="15">R3/K3</f>
        <v>3.4058456126412458E-2</v>
      </c>
      <c r="AI3" s="6">
        <f>AE3/AE10-1</f>
        <v>1.0169142283779187</v>
      </c>
      <c r="AJ3" s="6">
        <f>AF3/AF10-1</f>
        <v>-0.89721771869630551</v>
      </c>
      <c r="AK3" s="6">
        <f>AG3/AG10-1</f>
        <v>-0.90587914689605509</v>
      </c>
      <c r="AL3" s="6">
        <f>AH3/AH10-1</f>
        <v>1.7134737065181196</v>
      </c>
    </row>
    <row r="4" spans="1:38">
      <c r="A4" s="6" t="s">
        <v>88</v>
      </c>
      <c r="B4" s="6" t="s">
        <v>216</v>
      </c>
      <c r="C4" s="6">
        <v>14.34</v>
      </c>
      <c r="D4" s="6">
        <v>1.85</v>
      </c>
      <c r="E4" s="6">
        <v>2.516</v>
      </c>
      <c r="F4" s="6">
        <v>5.82</v>
      </c>
      <c r="G4" s="6">
        <v>1.86</v>
      </c>
      <c r="H4" s="6">
        <v>3.04</v>
      </c>
      <c r="I4" s="3">
        <f t="shared" si="0"/>
        <v>3.7945586504511573</v>
      </c>
      <c r="J4" s="3">
        <f t="shared" si="1"/>
        <v>1.115616409126547</v>
      </c>
      <c r="K4" s="6">
        <f t="shared" si="2"/>
        <v>1.5079429544487015</v>
      </c>
      <c r="L4" s="6">
        <f t="shared" si="3"/>
        <v>4.1595002621376889</v>
      </c>
      <c r="M4" s="6">
        <f t="shared" si="4"/>
        <v>0.77200464968152871</v>
      </c>
      <c r="N4" s="6">
        <f t="shared" si="5"/>
        <v>1.1276240423757116</v>
      </c>
      <c r="O4" s="6">
        <f t="shared" si="6"/>
        <v>38.509021218228959</v>
      </c>
      <c r="P4" s="6">
        <f t="shared" si="7"/>
        <v>41.782549217673782</v>
      </c>
      <c r="Q4" s="6">
        <v>223</v>
      </c>
      <c r="R4" s="6">
        <f t="shared" si="8"/>
        <v>2.23E-2</v>
      </c>
      <c r="S4" s="6">
        <v>6.5</v>
      </c>
      <c r="T4" s="6">
        <v>50</v>
      </c>
      <c r="U4" s="6">
        <f>(I4/I10-1)*100</f>
        <v>8.3900226757369403</v>
      </c>
      <c r="V4" s="6">
        <f>(J4/J10-1)*100</f>
        <v>-43.251533742331283</v>
      </c>
      <c r="W4" s="6">
        <f>(K4/K10-1)*100</f>
        <v>8.7764807609165487</v>
      </c>
      <c r="X4" s="6">
        <f t="shared" si="9"/>
        <v>70.904153675952927</v>
      </c>
      <c r="Y4" s="6">
        <f t="shared" si="10"/>
        <v>0.22689329176304937</v>
      </c>
      <c r="Z4" s="6">
        <f t="shared" si="11"/>
        <v>3.1197827617419288E-3</v>
      </c>
      <c r="AA4" s="6">
        <f>I10*(100-Y4)/100</f>
        <v>3.492894417733849</v>
      </c>
      <c r="AB4" s="6">
        <f>K10*(100-Z4)/100</f>
        <v>1.3862334020702565</v>
      </c>
      <c r="AC4" s="6">
        <f t="shared" si="12"/>
        <v>2.5197015253834025</v>
      </c>
      <c r="AD4" s="6">
        <f>AC4/AE10-1</f>
        <v>-2.2378049046647419E-3</v>
      </c>
      <c r="AE4" s="3">
        <f t="shared" si="13"/>
        <v>2.5163807684213322</v>
      </c>
      <c r="AF4" s="3">
        <f>J4/K4</f>
        <v>0.73982666641021066</v>
      </c>
      <c r="AG4" s="6">
        <f t="shared" si="14"/>
        <v>2.7583936447107757</v>
      </c>
      <c r="AH4" s="6">
        <f t="shared" si="15"/>
        <v>1.4788357831581765E-2</v>
      </c>
      <c r="AI4" s="6">
        <f>AE4/AE10-1</f>
        <v>-3.5527724603354738E-3</v>
      </c>
      <c r="AJ4" s="6">
        <f>AF4/AF10-1</f>
        <v>-0.47830205701912654</v>
      </c>
      <c r="AK4" s="6">
        <f>AG4/AG10-1</f>
        <v>-0.24853633375609574</v>
      </c>
      <c r="AL4" s="6">
        <f>AH4/AH10-1</f>
        <v>0.17820431993860009</v>
      </c>
    </row>
    <row r="5" spans="1:38">
      <c r="A5" s="6" t="s">
        <v>87</v>
      </c>
      <c r="B5" s="6" t="s">
        <v>216</v>
      </c>
      <c r="C5" s="6">
        <v>14.01</v>
      </c>
      <c r="D5" s="6">
        <v>1.97</v>
      </c>
      <c r="E5" s="6">
        <v>2.399</v>
      </c>
      <c r="F5" s="6">
        <v>5.92</v>
      </c>
      <c r="G5" s="6">
        <v>1.98</v>
      </c>
      <c r="H5" s="6">
        <v>2.99</v>
      </c>
      <c r="I5" s="6">
        <f t="shared" si="0"/>
        <v>3.7072361710474699</v>
      </c>
      <c r="J5" s="3">
        <f t="shared" si="1"/>
        <v>1.187980716745566</v>
      </c>
      <c r="K5" s="6">
        <f t="shared" si="2"/>
        <v>1.4378200110184558</v>
      </c>
      <c r="L5" s="6">
        <f t="shared" si="3"/>
        <v>4.2309693388067213</v>
      </c>
      <c r="M5" s="6">
        <f t="shared" si="4"/>
        <v>0.82181140127388541</v>
      </c>
      <c r="N5" s="6">
        <f t="shared" si="5"/>
        <v>1.1090775943103217</v>
      </c>
      <c r="O5" s="6">
        <f t="shared" si="6"/>
        <v>37.564096371805796</v>
      </c>
      <c r="P5" s="6">
        <f t="shared" si="7"/>
        <v>40.976237046688738</v>
      </c>
      <c r="Q5" s="6">
        <v>214</v>
      </c>
      <c r="R5" s="6">
        <f t="shared" si="8"/>
        <v>2.1399999999999999E-2</v>
      </c>
      <c r="S5" s="6">
        <v>6.7</v>
      </c>
      <c r="T5" s="6">
        <v>70</v>
      </c>
      <c r="U5" s="6">
        <f>(I5/I10-1)*100</f>
        <v>5.895691609977316</v>
      </c>
      <c r="V5" s="6">
        <f>(J5/J10-1)*100</f>
        <v>-39.570552147239269</v>
      </c>
      <c r="W5" s="6">
        <f>(K5/K10-1)*100</f>
        <v>3.7181150021616816</v>
      </c>
      <c r="X5" s="6">
        <f t="shared" si="9"/>
        <v>64.869757618425027</v>
      </c>
      <c r="Y5" s="6">
        <f t="shared" si="10"/>
        <v>0.2075832243789601</v>
      </c>
      <c r="Z5" s="6">
        <f t="shared" si="11"/>
        <v>2.8542693352107012E-3</v>
      </c>
      <c r="AA5" s="6">
        <f>I10*(100-Y5)/100</f>
        <v>3.4935704318302045</v>
      </c>
      <c r="AB5" s="6">
        <f>K10*(100-Z5)/100</f>
        <v>1.3862370828208936</v>
      </c>
      <c r="AC5" s="6">
        <f t="shared" si="12"/>
        <v>2.5201824962877475</v>
      </c>
      <c r="AD5" s="6">
        <f>AC5/AE10-1</f>
        <v>-2.0473479872632483E-3</v>
      </c>
      <c r="AE5" s="6">
        <f t="shared" si="13"/>
        <v>2.5783729136037765</v>
      </c>
      <c r="AF5" s="6">
        <f t="shared" ref="AF5:AF10" si="16">J5/K5</f>
        <v>0.82623743420018181</v>
      </c>
      <c r="AG5" s="6">
        <f t="shared" si="14"/>
        <v>2.942627941177272</v>
      </c>
      <c r="AH5" s="6">
        <f t="shared" si="15"/>
        <v>1.4883643179261127E-2</v>
      </c>
      <c r="AI5" s="6">
        <f>AE5/AE10-1</f>
        <v>2.0995142533879019E-2</v>
      </c>
      <c r="AJ5" s="6">
        <f>AF5/AF10-1</f>
        <v>-0.41736843316617089</v>
      </c>
      <c r="AK5" s="6">
        <f>AG5/AG10-1</f>
        <v>-0.19834575267784793</v>
      </c>
      <c r="AL5" s="6">
        <f>AH5/AH10-1</f>
        <v>0.18579580572364929</v>
      </c>
    </row>
    <row r="6" spans="1:38">
      <c r="A6" s="6" t="s">
        <v>86</v>
      </c>
      <c r="B6" s="6" t="s">
        <v>216</v>
      </c>
      <c r="C6" s="6">
        <v>13.52</v>
      </c>
      <c r="D6" s="6">
        <v>1.83</v>
      </c>
      <c r="E6" s="6">
        <v>2.4009999999999998</v>
      </c>
      <c r="F6" s="6">
        <v>5.82</v>
      </c>
      <c r="G6" s="6">
        <v>1.65</v>
      </c>
      <c r="H6" s="6">
        <v>2.77</v>
      </c>
      <c r="I6" s="3">
        <f t="shared" si="0"/>
        <v>3.577575519811691</v>
      </c>
      <c r="J6" s="3">
        <f t="shared" si="1"/>
        <v>1.1035556911900437</v>
      </c>
      <c r="K6" s="6">
        <f t="shared" si="2"/>
        <v>1.4390186938121352</v>
      </c>
      <c r="L6" s="6">
        <f t="shared" si="3"/>
        <v>4.1595002621376889</v>
      </c>
      <c r="M6" s="6">
        <f t="shared" si="4"/>
        <v>0.68484283439490445</v>
      </c>
      <c r="N6" s="6">
        <f t="shared" si="5"/>
        <v>1.0274732228226056</v>
      </c>
      <c r="O6" s="6">
        <f t="shared" si="6"/>
        <v>37.860378537621422</v>
      </c>
      <c r="P6" s="6">
        <f t="shared" si="7"/>
        <v>40.818706334619478</v>
      </c>
      <c r="Q6" s="6">
        <v>184</v>
      </c>
      <c r="R6" s="6">
        <f t="shared" si="8"/>
        <v>1.84E-2</v>
      </c>
      <c r="S6" s="6">
        <v>6.5</v>
      </c>
      <c r="T6" s="6">
        <v>50</v>
      </c>
      <c r="U6" s="6">
        <f>(I6/I10-1)*100</f>
        <v>2.1919879062736181</v>
      </c>
      <c r="V6" s="6">
        <f>(J6/J10-1)*100</f>
        <v>-43.865030674846615</v>
      </c>
      <c r="W6" s="6">
        <f>(K6/K10-1)*100</f>
        <v>3.8045827929096276</v>
      </c>
      <c r="X6" s="6">
        <f t="shared" si="9"/>
        <v>71.909886352207565</v>
      </c>
      <c r="Y6" s="6">
        <f t="shared" si="10"/>
        <v>0.23011163632706422</v>
      </c>
      <c r="Z6" s="6">
        <f t="shared" si="11"/>
        <v>3.1640349994971327E-3</v>
      </c>
      <c r="AA6" s="6">
        <f>I10*(100-Y6)/100</f>
        <v>3.4927817487177895</v>
      </c>
      <c r="AB6" s="6">
        <f>K10*(100-Z6)/100</f>
        <v>1.3862327886118171</v>
      </c>
      <c r="AC6" s="6">
        <f t="shared" si="12"/>
        <v>2.5196213633176896</v>
      </c>
      <c r="AD6" s="6">
        <f>AC6/AE10-1</f>
        <v>-2.2695478225632781E-3</v>
      </c>
      <c r="AE6" s="6">
        <f t="shared" si="13"/>
        <v>2.4861216433083708</v>
      </c>
      <c r="AF6" s="6">
        <f t="shared" si="16"/>
        <v>0.76688071943429081</v>
      </c>
      <c r="AG6" s="6">
        <f t="shared" si="14"/>
        <v>2.890511624361646</v>
      </c>
      <c r="AH6" s="6">
        <f t="shared" si="15"/>
        <v>1.2786491293769204E-2</v>
      </c>
      <c r="AI6" s="6">
        <f>AE6/AE10-1</f>
        <v>-1.5534910340646024E-2</v>
      </c>
      <c r="AJ6" s="6">
        <f>AF6/AF10-1</f>
        <v>-0.45922455623040492</v>
      </c>
      <c r="AK6" s="6">
        <f>AG6/AG10-1</f>
        <v>-0.21254369668069006</v>
      </c>
      <c r="AL6" s="6">
        <f>AH6/AH10-1</f>
        <v>1.8713467089862101E-2</v>
      </c>
    </row>
    <row r="7" spans="1:38">
      <c r="A7" s="6" t="s">
        <v>85</v>
      </c>
      <c r="B7" s="6" t="s">
        <v>216</v>
      </c>
      <c r="C7" s="6">
        <v>14.41</v>
      </c>
      <c r="D7" s="6">
        <v>2.41</v>
      </c>
      <c r="E7" s="6">
        <v>2.4580000000000002</v>
      </c>
      <c r="F7" s="6">
        <v>6.18</v>
      </c>
      <c r="G7" s="6">
        <v>1.77</v>
      </c>
      <c r="H7" s="6">
        <v>3.04</v>
      </c>
      <c r="I7" s="3">
        <f t="shared" si="0"/>
        <v>3.8130816006276977</v>
      </c>
      <c r="J7" s="3">
        <f t="shared" si="1"/>
        <v>1.453316511348637</v>
      </c>
      <c r="K7" s="6">
        <f t="shared" si="2"/>
        <v>1.4731811534319987</v>
      </c>
      <c r="L7" s="6">
        <f t="shared" si="3"/>
        <v>4.4167889381462055</v>
      </c>
      <c r="M7" s="6">
        <f t="shared" si="4"/>
        <v>0.73464958598726116</v>
      </c>
      <c r="N7" s="6">
        <f t="shared" si="5"/>
        <v>1.1276240423757116</v>
      </c>
      <c r="O7" s="6">
        <f t="shared" si="6"/>
        <v>37.78267073358171</v>
      </c>
      <c r="P7" s="6">
        <f t="shared" si="7"/>
        <v>40.748958682904643</v>
      </c>
      <c r="Q7" s="6">
        <v>204</v>
      </c>
      <c r="R7" s="6">
        <f t="shared" si="8"/>
        <v>2.0400000000000001E-2</v>
      </c>
      <c r="S7" s="6">
        <v>6.6</v>
      </c>
      <c r="T7" s="6">
        <v>50</v>
      </c>
      <c r="U7" s="6">
        <f>(I7/I10-1)*100</f>
        <v>8.9191232048374971</v>
      </c>
      <c r="V7" s="6">
        <f>(J7/J10-1)*100</f>
        <v>-26.073619631901824</v>
      </c>
      <c r="W7" s="6">
        <f>(K7/K10-1)*100</f>
        <v>6.2689148292261354</v>
      </c>
      <c r="X7" s="6">
        <f t="shared" si="9"/>
        <v>42.743638740822661</v>
      </c>
      <c r="Y7" s="6">
        <f t="shared" si="10"/>
        <v>0.13677964397063253</v>
      </c>
      <c r="Z7" s="6">
        <f t="shared" si="11"/>
        <v>1.8807201045961969E-3</v>
      </c>
      <c r="AA7" s="6">
        <f>I10*(100-Y7)/100</f>
        <v>3.496049150183508</v>
      </c>
      <c r="AB7" s="6">
        <f>K10*(100-Z7)/100</f>
        <v>1.3862505789065624</v>
      </c>
      <c r="AC7" s="6">
        <f t="shared" si="12"/>
        <v>2.5219460344183218</v>
      </c>
      <c r="AD7" s="6">
        <f>AC7/AE10-1</f>
        <v>-1.3490146098492639E-3</v>
      </c>
      <c r="AE7" s="6">
        <f t="shared" si="13"/>
        <v>2.5883317823775753</v>
      </c>
      <c r="AF7" s="6">
        <f t="shared" si="16"/>
        <v>0.98651581848092207</v>
      </c>
      <c r="AG7" s="6">
        <f t="shared" si="14"/>
        <v>2.998130221701945</v>
      </c>
      <c r="AH7" s="6">
        <f t="shared" si="15"/>
        <v>1.3847584156554753E-2</v>
      </c>
      <c r="AI7" s="6">
        <f>AE7/AE10-1</f>
        <v>2.4938698017856309E-2</v>
      </c>
      <c r="AJ7" s="6">
        <f>AF7/AF10-1</f>
        <v>-0.3043461440544708</v>
      </c>
      <c r="AK7" s="6">
        <f>AG7/AG10-1</f>
        <v>-0.1832253773507283</v>
      </c>
      <c r="AL7" s="6">
        <f>AH7/AH10-1</f>
        <v>0.10325187284307402</v>
      </c>
    </row>
    <row r="8" spans="1:38">
      <c r="A8" s="6" t="s">
        <v>84</v>
      </c>
      <c r="B8" s="6" t="s">
        <v>216</v>
      </c>
      <c r="C8" s="6">
        <v>13</v>
      </c>
      <c r="D8" s="6">
        <v>3.15</v>
      </c>
      <c r="E8" s="6">
        <v>2.347</v>
      </c>
      <c r="F8" s="6">
        <v>7.05</v>
      </c>
      <c r="G8" s="6">
        <v>1.87</v>
      </c>
      <c r="H8" s="6">
        <v>2.9</v>
      </c>
      <c r="I8" s="3">
        <f t="shared" si="0"/>
        <v>3.4399764613573955</v>
      </c>
      <c r="J8" s="3">
        <f t="shared" si="1"/>
        <v>1.8995630749992556</v>
      </c>
      <c r="K8" s="6">
        <f t="shared" si="2"/>
        <v>1.406654258382791</v>
      </c>
      <c r="L8" s="6">
        <f t="shared" si="3"/>
        <v>5.0385699051667885</v>
      </c>
      <c r="M8" s="6">
        <f t="shared" si="4"/>
        <v>0.77615521231422502</v>
      </c>
      <c r="N8" s="6">
        <f t="shared" si="5"/>
        <v>1.0756939877926197</v>
      </c>
      <c r="O8" s="6">
        <f t="shared" si="6"/>
        <v>33.299561852879243</v>
      </c>
      <c r="P8" s="6">
        <f t="shared" si="7"/>
        <v>36.004709257739599</v>
      </c>
      <c r="Q8" s="6">
        <v>177</v>
      </c>
      <c r="R8" s="6">
        <f t="shared" si="8"/>
        <v>1.77E-2</v>
      </c>
      <c r="S8" s="6">
        <v>5.3</v>
      </c>
      <c r="T8" s="6">
        <v>50</v>
      </c>
      <c r="U8" s="6">
        <f>(I8/I10-1)*100</f>
        <v>-1.7384731670445963</v>
      </c>
      <c r="V8" s="6">
        <f>(J8/J10-1)*100</f>
        <v>-3.3742331288343475</v>
      </c>
      <c r="W8" s="6">
        <f>(K8/K10-1)*100</f>
        <v>1.4699524427150834</v>
      </c>
      <c r="X8" s="6">
        <f t="shared" si="9"/>
        <v>5.5315297194005701</v>
      </c>
      <c r="Y8" s="6">
        <f t="shared" si="10"/>
        <v>1.7700895102081827E-2</v>
      </c>
      <c r="Z8" s="6">
        <f t="shared" si="11"/>
        <v>2.4338730765362509E-4</v>
      </c>
      <c r="AA8" s="6">
        <f>I10*(100-Y8)/100</f>
        <v>3.5002179037777008</v>
      </c>
      <c r="AB8" s="6">
        <f>K10*(100-Z8)/100</f>
        <v>1.3862732768688237</v>
      </c>
      <c r="AC8" s="6">
        <f t="shared" si="12"/>
        <v>2.5249119074729949</v>
      </c>
      <c r="AD8" s="6">
        <f>AC8/AE10-1</f>
        <v>-1.7457550283861423E-4</v>
      </c>
      <c r="AE8" s="6">
        <f t="shared" si="13"/>
        <v>2.4455024686110742</v>
      </c>
      <c r="AF8" s="6">
        <f t="shared" si="16"/>
        <v>1.3504122023439891</v>
      </c>
      <c r="AG8" s="6">
        <f t="shared" si="14"/>
        <v>3.5819533301378232</v>
      </c>
      <c r="AH8" s="6">
        <f t="shared" si="15"/>
        <v>1.2583049384394869E-2</v>
      </c>
      <c r="AI8" s="6">
        <f>AE8/AE10-1</f>
        <v>-3.1619464999463665E-2</v>
      </c>
      <c r="AJ8" s="6">
        <f>AF8/AF10-1</f>
        <v>-4.7740098964609401E-2</v>
      </c>
      <c r="AK8" s="6">
        <f>AG8/AG10-1</f>
        <v>-2.4175615057232869E-2</v>
      </c>
      <c r="AL8" s="6">
        <f>AH8/AH10-1</f>
        <v>2.5050321026109934E-3</v>
      </c>
    </row>
    <row r="9" spans="1:38">
      <c r="A9" s="6" t="s">
        <v>83</v>
      </c>
      <c r="B9" s="6" t="s">
        <v>216</v>
      </c>
      <c r="C9" s="6">
        <v>13.06</v>
      </c>
      <c r="D9" s="6">
        <v>3.17</v>
      </c>
      <c r="E9" s="6">
        <v>2.2989999999999999</v>
      </c>
      <c r="F9" s="6">
        <v>6.92</v>
      </c>
      <c r="G9" s="6">
        <v>1.74</v>
      </c>
      <c r="H9" s="6">
        <v>3.15</v>
      </c>
      <c r="I9" s="6">
        <f t="shared" si="0"/>
        <v>3.4558532757944298</v>
      </c>
      <c r="J9" s="3">
        <f t="shared" si="1"/>
        <v>1.9116237929357587</v>
      </c>
      <c r="K9" s="6">
        <f t="shared" si="2"/>
        <v>1.377885871334485</v>
      </c>
      <c r="L9" s="6">
        <f t="shared" si="3"/>
        <v>4.9456601054970459</v>
      </c>
      <c r="M9" s="6">
        <f t="shared" si="4"/>
        <v>0.7221978980891719</v>
      </c>
      <c r="N9" s="6">
        <f t="shared" si="5"/>
        <v>1.1684262281195696</v>
      </c>
      <c r="O9" s="6">
        <f t="shared" si="6"/>
        <v>33.577604975409983</v>
      </c>
      <c r="P9" s="6">
        <f t="shared" si="7"/>
        <v>36.111547374823097</v>
      </c>
      <c r="Q9" s="6">
        <v>196</v>
      </c>
      <c r="R9" s="6">
        <f t="shared" si="8"/>
        <v>1.9599999999999999E-2</v>
      </c>
      <c r="S9" s="6">
        <v>5.8</v>
      </c>
      <c r="T9" s="6">
        <v>40</v>
      </c>
      <c r="U9" s="6">
        <f>(I9/I10-1)*100</f>
        <v>-1.2849584278155635</v>
      </c>
      <c r="V9" s="6">
        <f>(J9/J10-1)*100</f>
        <v>-2.7607361963190136</v>
      </c>
      <c r="W9" s="6">
        <f>(K9/K10-1)*100</f>
        <v>-0.60527453523563368</v>
      </c>
      <c r="X9" s="6">
        <f t="shared" si="9"/>
        <v>4.525797043145924</v>
      </c>
      <c r="Y9" s="6">
        <f t="shared" si="10"/>
        <v>1.4482550538066958E-2</v>
      </c>
      <c r="Z9" s="6">
        <f t="shared" si="11"/>
        <v>1.9913506989842065E-4</v>
      </c>
      <c r="AA9" s="6">
        <f>I10*(100-Y9)/100</f>
        <v>3.5003305727937599</v>
      </c>
      <c r="AB9" s="6">
        <f>K10*(100-Z9)/100</f>
        <v>1.3862738903272633</v>
      </c>
      <c r="AC9" s="6">
        <f t="shared" si="12"/>
        <v>2.5249920648562618</v>
      </c>
      <c r="AD9" s="6">
        <f>AC9/AE10-1</f>
        <v>-1.4283443911511373E-4</v>
      </c>
      <c r="AE9" s="6">
        <f t="shared" si="13"/>
        <v>2.508083831680072</v>
      </c>
      <c r="AF9" s="6">
        <f t="shared" si="16"/>
        <v>1.3873600366366683</v>
      </c>
      <c r="AG9" s="6">
        <f t="shared" si="14"/>
        <v>3.5893104127028788</v>
      </c>
      <c r="AH9" s="6">
        <f t="shared" si="15"/>
        <v>1.4224690453511482E-2</v>
      </c>
      <c r="AI9" s="6">
        <f>AE9/AE10-1</f>
        <v>-6.8382289845034805E-3</v>
      </c>
      <c r="AJ9" s="6">
        <f>AF9/AF10-1</f>
        <v>-2.1685875694153256E-2</v>
      </c>
      <c r="AK9" s="6">
        <f>AG9/AG10-1</f>
        <v>-2.2171339761791642E-2</v>
      </c>
      <c r="AL9" s="6">
        <f>AH9/AH10-1</f>
        <v>0.13329633573817712</v>
      </c>
    </row>
    <row r="10" spans="1:38" s="2" customFormat="1">
      <c r="A10" s="2" t="s">
        <v>82</v>
      </c>
      <c r="B10" s="2" t="s">
        <v>42</v>
      </c>
      <c r="C10" s="2">
        <v>13.23</v>
      </c>
      <c r="D10" s="2">
        <v>3.26</v>
      </c>
      <c r="E10" s="2">
        <v>2.3130000000000002</v>
      </c>
      <c r="F10" s="2">
        <v>7.12</v>
      </c>
      <c r="G10" s="2">
        <v>1.73</v>
      </c>
      <c r="H10" s="2">
        <v>3.19</v>
      </c>
      <c r="I10" s="2">
        <f t="shared" si="0"/>
        <v>3.5008375833660264</v>
      </c>
      <c r="J10" s="2">
        <f t="shared" si="1"/>
        <v>1.9658970236500231</v>
      </c>
      <c r="K10" s="2">
        <f t="shared" si="2"/>
        <v>1.3862766508902411</v>
      </c>
      <c r="L10" s="2">
        <f t="shared" si="3"/>
        <v>5.0885982588351109</v>
      </c>
      <c r="M10" s="2">
        <f t="shared" si="4"/>
        <v>0.7180473354564757</v>
      </c>
      <c r="N10" s="2">
        <f t="shared" si="5"/>
        <v>1.1832633865718816</v>
      </c>
      <c r="Q10" s="2">
        <v>174</v>
      </c>
      <c r="R10" s="2">
        <f t="shared" si="8"/>
        <v>1.7399999999999999E-2</v>
      </c>
      <c r="S10" s="2">
        <v>5.5</v>
      </c>
      <c r="T10" s="2">
        <v>60</v>
      </c>
      <c r="AE10" s="2">
        <f t="shared" si="13"/>
        <v>2.5253527722030471</v>
      </c>
      <c r="AF10" s="2">
        <f t="shared" si="16"/>
        <v>1.4181130601799867</v>
      </c>
      <c r="AG10" s="2">
        <f t="shared" si="14"/>
        <v>3.6706946305178749</v>
      </c>
      <c r="AH10" s="2">
        <f t="shared" si="15"/>
        <v>1.2551607205405964E-2</v>
      </c>
      <c r="AK10" s="2">
        <f>AVERAGE(AI3:AI9)</f>
        <v>0.1436146703063865</v>
      </c>
    </row>
    <row r="11" spans="1:38" s="3" customFormat="1">
      <c r="AC11" s="39"/>
      <c r="AD11" s="6"/>
      <c r="AF11" s="39"/>
      <c r="AG11" s="6"/>
      <c r="AH11" s="39" t="s">
        <v>97</v>
      </c>
      <c r="AI11" s="6">
        <f>_xlfn.VAR.P(AI3:AI9)</f>
        <v>0.12744308220425149</v>
      </c>
    </row>
    <row r="12" spans="1:38" s="3" customFormat="1">
      <c r="AH12" s="67" t="s">
        <v>98</v>
      </c>
      <c r="AI12" s="3">
        <f>AVERAGE(AI3:AI9)</f>
        <v>0.1436146703063865</v>
      </c>
    </row>
    <row r="13" spans="1:38">
      <c r="AG13" s="3"/>
      <c r="AH13" s="3"/>
    </row>
    <row r="14" spans="1:38">
      <c r="AG14" s="3"/>
      <c r="AH14" s="3"/>
    </row>
    <row r="15" spans="1:38">
      <c r="AG15" s="3"/>
      <c r="AH15" s="3"/>
    </row>
    <row r="16" spans="1:38">
      <c r="AG16" s="3"/>
      <c r="AH16" s="3"/>
    </row>
    <row r="17" spans="33:34">
      <c r="AG17" s="3"/>
      <c r="AH17" s="3"/>
    </row>
    <row r="18" spans="33:34">
      <c r="AG18" s="3"/>
      <c r="AH18" s="3"/>
    </row>
    <row r="19" spans="33:34">
      <c r="AG19" s="3"/>
      <c r="AH19" s="3"/>
    </row>
    <row r="20" spans="33:34">
      <c r="AG20" s="3"/>
      <c r="AH20" s="3"/>
    </row>
    <row r="21" spans="33:34">
      <c r="AG21" s="3"/>
      <c r="AH21" s="3"/>
    </row>
    <row r="22" spans="33:34">
      <c r="AG22" s="3"/>
      <c r="AH22" s="3"/>
    </row>
    <row r="23" spans="33:34">
      <c r="AG23" s="3"/>
      <c r="AH23" s="3"/>
    </row>
    <row r="24" spans="33:34">
      <c r="AG24" s="3"/>
      <c r="AH24" s="3"/>
    </row>
    <row r="25" spans="33:34">
      <c r="AG25" s="3"/>
      <c r="AH25" s="3"/>
    </row>
    <row r="26" spans="33:34">
      <c r="AG26" s="3"/>
      <c r="AH26" s="3"/>
    </row>
    <row r="27" spans="33:34">
      <c r="AG27" s="3"/>
      <c r="AH27" s="3"/>
    </row>
    <row r="28" spans="33:34">
      <c r="AG28" s="3"/>
      <c r="AH28" s="3"/>
    </row>
    <row r="29" spans="33:34">
      <c r="AG29" s="3"/>
      <c r="AH29" s="3"/>
    </row>
    <row r="30" spans="33:34">
      <c r="AG30" s="3"/>
      <c r="AH30" s="3"/>
    </row>
    <row r="31" spans="33:34">
      <c r="AG31" s="3"/>
      <c r="AH31" s="3"/>
    </row>
    <row r="32" spans="33:34">
      <c r="AG32" s="3"/>
      <c r="AH32" s="3"/>
    </row>
    <row r="33" spans="33:34">
      <c r="AG33" s="3"/>
      <c r="AH33" s="3"/>
    </row>
    <row r="34" spans="33:34">
      <c r="AG34" s="3"/>
      <c r="AH34" s="3"/>
    </row>
    <row r="35" spans="33:34">
      <c r="AG35" s="3"/>
      <c r="AH35" s="3"/>
    </row>
    <row r="36" spans="33:34">
      <c r="AG36" s="3"/>
      <c r="AH36" s="3"/>
    </row>
    <row r="37" spans="33:34">
      <c r="AG37" s="3"/>
      <c r="AH37" s="3"/>
    </row>
    <row r="38" spans="33:34">
      <c r="AG38" s="3"/>
      <c r="AH38" s="3"/>
    </row>
    <row r="39" spans="33:34">
      <c r="AG39" s="3"/>
      <c r="AH39" s="3"/>
    </row>
    <row r="40" spans="33:34">
      <c r="AG40" s="3"/>
      <c r="AH40" s="3"/>
    </row>
    <row r="41" spans="33:34">
      <c r="AG41" s="3"/>
      <c r="AH41" s="3"/>
    </row>
    <row r="42" spans="33:34">
      <c r="AG42" s="3"/>
      <c r="AH42" s="3"/>
    </row>
    <row r="43" spans="33:34">
      <c r="AG43" s="3"/>
      <c r="AH43" s="3"/>
    </row>
    <row r="44" spans="33:34">
      <c r="AG44" s="3"/>
      <c r="AH44" s="3"/>
    </row>
    <row r="45" spans="33:34">
      <c r="AG45" s="3"/>
      <c r="AH45" s="3"/>
    </row>
    <row r="46" spans="33:34">
      <c r="AG46" s="3"/>
      <c r="AH46" s="3"/>
    </row>
    <row r="47" spans="33:34">
      <c r="AG47" s="3"/>
      <c r="AH47" s="3"/>
    </row>
    <row r="48" spans="33:34">
      <c r="AG48" s="3"/>
      <c r="AH48" s="3"/>
    </row>
    <row r="49" spans="33:34">
      <c r="AG49" s="3"/>
      <c r="AH49" s="3"/>
    </row>
    <row r="50" spans="33:34">
      <c r="AG50" s="3"/>
      <c r="AH50" s="3"/>
    </row>
    <row r="51" spans="33:34">
      <c r="AG51" s="3"/>
      <c r="AH51" s="3"/>
    </row>
    <row r="52" spans="33:34">
      <c r="AG52" s="3"/>
      <c r="AH52" s="3"/>
    </row>
    <row r="53" spans="33:34">
      <c r="AG53" s="3"/>
      <c r="AH53" s="3"/>
    </row>
    <row r="54" spans="33:34">
      <c r="AG54" s="3"/>
      <c r="AH54" s="3"/>
    </row>
    <row r="55" spans="33:34">
      <c r="AG55" s="3"/>
      <c r="AH55" s="3"/>
    </row>
    <row r="56" spans="33:34">
      <c r="AG56" s="3"/>
      <c r="AH56" s="3"/>
    </row>
    <row r="57" spans="33:34">
      <c r="AG57" s="67"/>
      <c r="AH57" s="67"/>
    </row>
    <row r="58" spans="33:34">
      <c r="AG58" s="3"/>
      <c r="AH58" s="3"/>
    </row>
    <row r="59" spans="33:34">
      <c r="AG59" s="3"/>
      <c r="AH59" s="3"/>
    </row>
    <row r="60" spans="33:34">
      <c r="AG60" s="3"/>
      <c r="AH60" s="3"/>
    </row>
    <row r="61" spans="33:34">
      <c r="AG61" s="3"/>
      <c r="AH61" s="3"/>
    </row>
    <row r="62" spans="33:34">
      <c r="AG62" s="3"/>
      <c r="AH62" s="3"/>
    </row>
    <row r="63" spans="33:34">
      <c r="AG63" s="3"/>
      <c r="AH63" s="3"/>
    </row>
    <row r="64" spans="33:34">
      <c r="AG64" s="3"/>
      <c r="AH64" s="3"/>
    </row>
    <row r="65" spans="33:34">
      <c r="AG65" s="3"/>
      <c r="AH65" s="3"/>
    </row>
    <row r="66" spans="33:34">
      <c r="AG66" s="3"/>
      <c r="AH66" s="3"/>
    </row>
    <row r="67" spans="33:34">
      <c r="AG67" s="3"/>
      <c r="AH67" s="3"/>
    </row>
    <row r="68" spans="33:34">
      <c r="AG68" s="3"/>
      <c r="AH68" s="3"/>
    </row>
    <row r="69" spans="33:34">
      <c r="AG69" s="3"/>
      <c r="AH69" s="3"/>
    </row>
    <row r="70" spans="33:34">
      <c r="AG70" s="3"/>
      <c r="AH70" s="3"/>
    </row>
    <row r="71" spans="33:34">
      <c r="AG71" s="3"/>
      <c r="AH71" s="3"/>
    </row>
    <row r="72" spans="33:34">
      <c r="AG72" s="3"/>
      <c r="AH72" s="3"/>
    </row>
    <row r="73" spans="33:34">
      <c r="AG73" s="3"/>
      <c r="AH73" s="3"/>
    </row>
    <row r="74" spans="33:34">
      <c r="AG74" s="3"/>
      <c r="AH74" s="3"/>
    </row>
    <row r="75" spans="33:34">
      <c r="AG75" s="3"/>
      <c r="AH75" s="3"/>
    </row>
    <row r="76" spans="33:34">
      <c r="AG76" s="3"/>
      <c r="AH76" s="3"/>
    </row>
    <row r="77" spans="33:34">
      <c r="AG77" s="3"/>
      <c r="AH77" s="3"/>
    </row>
    <row r="78" spans="33:34">
      <c r="AG78" s="3"/>
      <c r="AH78" s="3"/>
    </row>
    <row r="79" spans="33:34">
      <c r="AG79" s="3"/>
      <c r="AH79" s="3"/>
    </row>
    <row r="80" spans="33:34">
      <c r="AG80" s="3"/>
      <c r="AH80" s="3"/>
    </row>
    <row r="81" spans="33:34">
      <c r="AG81" s="3"/>
      <c r="AH81" s="3"/>
    </row>
    <row r="82" spans="33:34">
      <c r="AG82" s="3"/>
      <c r="AH82" s="3"/>
    </row>
    <row r="83" spans="33:34">
      <c r="AG83" s="3"/>
      <c r="AH83" s="3"/>
    </row>
    <row r="84" spans="33:34">
      <c r="AG84" s="3"/>
      <c r="AH84" s="3"/>
    </row>
    <row r="85" spans="33:34">
      <c r="AG85" s="3"/>
      <c r="AH85" s="3"/>
    </row>
    <row r="86" spans="33:34">
      <c r="AG86" s="3"/>
      <c r="AH86" s="3"/>
    </row>
    <row r="87" spans="33:34">
      <c r="AG87" s="3"/>
      <c r="AH87" s="3"/>
    </row>
    <row r="88" spans="33:34">
      <c r="AG88" s="3"/>
      <c r="AH88" s="3"/>
    </row>
    <row r="89" spans="33:34">
      <c r="AG89" s="3"/>
      <c r="AH89" s="3"/>
    </row>
    <row r="90" spans="33:34">
      <c r="AG90" s="3"/>
      <c r="AH90" s="3"/>
    </row>
    <row r="91" spans="33:34">
      <c r="AG91" s="3"/>
      <c r="AH91" s="3"/>
    </row>
    <row r="92" spans="33:34">
      <c r="AG92" s="3"/>
      <c r="AH92" s="3"/>
    </row>
    <row r="93" spans="33:34">
      <c r="AG93" s="3"/>
      <c r="AH93" s="3"/>
    </row>
    <row r="94" spans="33:34">
      <c r="AG94" s="3"/>
      <c r="AH94" s="3"/>
    </row>
    <row r="95" spans="33:34">
      <c r="AG95" s="3"/>
      <c r="AH95" s="3"/>
    </row>
    <row r="96" spans="33:34">
      <c r="AG96" s="3"/>
      <c r="AH96" s="3"/>
    </row>
    <row r="97" spans="33:34">
      <c r="AG97" s="3"/>
      <c r="AH97" s="3"/>
    </row>
    <row r="98" spans="33:34">
      <c r="AG98" s="3"/>
      <c r="AH98" s="3"/>
    </row>
    <row r="99" spans="33:34">
      <c r="AG99" s="3"/>
      <c r="AH99" s="3"/>
    </row>
    <row r="100" spans="33:34">
      <c r="AG100" s="3"/>
      <c r="AH100" s="3"/>
    </row>
    <row r="101" spans="33:34">
      <c r="AG101" s="3"/>
      <c r="AH101" s="3"/>
    </row>
    <row r="102" spans="33:34">
      <c r="AG102" s="3"/>
      <c r="AH102" s="3"/>
    </row>
    <row r="103" spans="33:34">
      <c r="AG103" s="3"/>
      <c r="AH103" s="3"/>
    </row>
    <row r="104" spans="33:34">
      <c r="AG104" s="3"/>
      <c r="AH104" s="3"/>
    </row>
    <row r="105" spans="33:34">
      <c r="AG105" s="3"/>
      <c r="AH105" s="3"/>
    </row>
    <row r="106" spans="33:34">
      <c r="AG106" s="3"/>
      <c r="AH106" s="3"/>
    </row>
    <row r="107" spans="33:34">
      <c r="AG107" s="3"/>
      <c r="AH107" s="3"/>
    </row>
    <row r="108" spans="33:34">
      <c r="AG108" s="3"/>
      <c r="AH108" s="3"/>
    </row>
    <row r="109" spans="33:34">
      <c r="AG109" s="3"/>
      <c r="AH109" s="3"/>
    </row>
    <row r="110" spans="33:34">
      <c r="AG110" s="3"/>
      <c r="AH110" s="3"/>
    </row>
    <row r="111" spans="33:34">
      <c r="AG111" s="3"/>
      <c r="AH111" s="3"/>
    </row>
    <row r="112" spans="33:34">
      <c r="AG112" s="3"/>
      <c r="AH112" s="3"/>
    </row>
    <row r="113" spans="33:34">
      <c r="AG113" s="3"/>
      <c r="AH113" s="3"/>
    </row>
    <row r="114" spans="33:34">
      <c r="AG114" s="3"/>
      <c r="AH114" s="3"/>
    </row>
    <row r="115" spans="33:34">
      <c r="AG115" s="3"/>
      <c r="AH115" s="3"/>
    </row>
    <row r="116" spans="33:34">
      <c r="AG116" s="3"/>
      <c r="AH116" s="3"/>
    </row>
    <row r="117" spans="33:34">
      <c r="AG117" s="3"/>
      <c r="AH117" s="3"/>
    </row>
    <row r="118" spans="33:34">
      <c r="AG118" s="3"/>
      <c r="AH118" s="3"/>
    </row>
    <row r="119" spans="33:34">
      <c r="AG119" s="3"/>
      <c r="AH119" s="3"/>
    </row>
    <row r="120" spans="33:34">
      <c r="AG120" s="3"/>
      <c r="AH120" s="3"/>
    </row>
    <row r="121" spans="33:34">
      <c r="AG121" s="3"/>
      <c r="AH121" s="3"/>
    </row>
  </sheetData>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1"/>
  <sheetViews>
    <sheetView zoomScale="80" zoomScaleNormal="80" workbookViewId="0">
      <selection activeCell="I10" sqref="I10"/>
    </sheetView>
  </sheetViews>
  <sheetFormatPr defaultRowHeight="14.5"/>
  <cols>
    <col min="1" max="1" width="13.6328125" style="6" customWidth="1"/>
    <col min="2" max="2" width="11.1796875" style="6" customWidth="1"/>
    <col min="3" max="3" width="7.26953125" style="6" customWidth="1"/>
    <col min="4" max="15" width="8.7265625" style="6"/>
    <col min="16" max="20" width="8.7265625" style="6" customWidth="1"/>
    <col min="21" max="21" width="13.26953125" style="6" customWidth="1"/>
    <col min="22" max="23" width="12.54296875" style="6" customWidth="1"/>
    <col min="24" max="24" width="17.90625" style="6" customWidth="1"/>
    <col min="25" max="26" width="20" style="6" customWidth="1"/>
    <col min="27" max="28" width="11.90625" style="6" customWidth="1"/>
    <col min="29" max="29" width="13.81640625" style="6" customWidth="1"/>
    <col min="30" max="30" width="18.36328125" style="6" customWidth="1"/>
    <col min="31" max="35" width="8.7265625" style="6"/>
    <col min="36" max="36" width="11" style="6" customWidth="1"/>
    <col min="37" max="37" width="13.81640625" style="6" customWidth="1"/>
    <col min="38" max="38" width="17.08984375" style="6" customWidth="1"/>
    <col min="39" max="16384" width="8.7265625" style="6"/>
  </cols>
  <sheetData>
    <row r="1" spans="1:38">
      <c r="A1" s="81" t="s">
        <v>194</v>
      </c>
      <c r="B1" s="81"/>
      <c r="C1" s="81"/>
      <c r="D1" s="81"/>
      <c r="E1" s="81"/>
      <c r="F1" s="81"/>
      <c r="G1" s="81"/>
      <c r="H1" s="81"/>
      <c r="I1" s="81"/>
      <c r="J1" s="81"/>
      <c r="K1" s="81"/>
      <c r="L1" s="81"/>
      <c r="M1" s="81"/>
      <c r="N1" s="81"/>
      <c r="O1" s="81"/>
      <c r="P1" s="81"/>
      <c r="Q1" s="81"/>
      <c r="R1" s="81"/>
      <c r="S1" s="91"/>
      <c r="T1" s="91"/>
      <c r="U1" s="81"/>
      <c r="V1" s="81"/>
      <c r="W1" s="81"/>
    </row>
    <row r="2" spans="1:38">
      <c r="A2" s="1" t="s">
        <v>197</v>
      </c>
      <c r="B2" s="1" t="s">
        <v>196</v>
      </c>
      <c r="C2" s="1" t="s">
        <v>1</v>
      </c>
      <c r="D2" s="1" t="s">
        <v>2</v>
      </c>
      <c r="E2" s="1" t="s">
        <v>3</v>
      </c>
      <c r="F2" s="1" t="s">
        <v>48</v>
      </c>
      <c r="G2" s="1" t="s">
        <v>49</v>
      </c>
      <c r="H2" s="1" t="s">
        <v>50</v>
      </c>
      <c r="I2" s="1" t="s">
        <v>4</v>
      </c>
      <c r="J2" s="1" t="s">
        <v>5</v>
      </c>
      <c r="K2" s="1" t="s">
        <v>6</v>
      </c>
      <c r="L2" s="1" t="s">
        <v>45</v>
      </c>
      <c r="M2" s="1" t="s">
        <v>46</v>
      </c>
      <c r="N2" s="1" t="s">
        <v>47</v>
      </c>
      <c r="O2" s="1" t="s">
        <v>51</v>
      </c>
      <c r="P2" s="1" t="s">
        <v>52</v>
      </c>
      <c r="Q2" s="1" t="s">
        <v>110</v>
      </c>
      <c r="R2" s="1" t="s">
        <v>120</v>
      </c>
      <c r="S2" s="1" t="s">
        <v>109</v>
      </c>
      <c r="T2" s="1" t="s">
        <v>378</v>
      </c>
      <c r="U2" s="1" t="s">
        <v>7</v>
      </c>
      <c r="V2" s="1" t="s">
        <v>8</v>
      </c>
      <c r="W2" s="1" t="s">
        <v>9</v>
      </c>
      <c r="X2" s="1" t="s">
        <v>10</v>
      </c>
      <c r="Y2" s="1" t="s">
        <v>11</v>
      </c>
      <c r="Z2" s="1" t="s">
        <v>12</v>
      </c>
      <c r="AA2" s="1" t="s">
        <v>13</v>
      </c>
      <c r="AB2" s="1" t="s">
        <v>14</v>
      </c>
      <c r="AC2" s="1" t="s">
        <v>15</v>
      </c>
      <c r="AD2" s="1" t="s">
        <v>460</v>
      </c>
      <c r="AE2" s="1" t="s">
        <v>16</v>
      </c>
      <c r="AF2" s="1" t="s">
        <v>17</v>
      </c>
      <c r="AG2" s="1" t="s">
        <v>107</v>
      </c>
      <c r="AH2" s="1" t="s">
        <v>134</v>
      </c>
      <c r="AI2" s="1" t="s">
        <v>459</v>
      </c>
      <c r="AJ2" s="1" t="s">
        <v>461</v>
      </c>
      <c r="AK2" s="1" t="s">
        <v>462</v>
      </c>
      <c r="AL2" s="1" t="s">
        <v>465</v>
      </c>
    </row>
    <row r="3" spans="1:38">
      <c r="A3" s="6" t="s">
        <v>94</v>
      </c>
      <c r="B3" s="6" t="s">
        <v>240</v>
      </c>
      <c r="C3" s="6">
        <v>19.260000000000002</v>
      </c>
      <c r="D3" s="6">
        <v>1.1299999999999999</v>
      </c>
      <c r="E3" s="6">
        <v>1.5289999999999999</v>
      </c>
      <c r="F3" s="6">
        <v>1.45</v>
      </c>
      <c r="G3" s="6">
        <v>0.11</v>
      </c>
      <c r="H3" s="6">
        <v>0.06</v>
      </c>
      <c r="I3" s="6">
        <f>C3*26.98/101.96</f>
        <v>5.0964574342879567</v>
      </c>
      <c r="J3" s="3">
        <f>D3*24.305/40.3044</f>
        <v>0.68143056341243124</v>
      </c>
      <c r="K3" s="6">
        <f>E3*47.867/79.866</f>
        <v>0.91639299576791111</v>
      </c>
      <c r="L3" s="6">
        <f>F3*40.078/56.0774</f>
        <v>1.0363016117009705</v>
      </c>
      <c r="M3" s="6">
        <f>G3*39.0983/94.2</f>
        <v>4.5656188959660303E-2</v>
      </c>
      <c r="N3" s="6">
        <f>H3*22.989769/61.9789</f>
        <v>2.2255737678467991E-2</v>
      </c>
      <c r="O3" s="6">
        <f>100*(I3/(I3+L3+M3+N3))</f>
        <v>82.192031423475555</v>
      </c>
      <c r="P3" s="6">
        <f>100*(I3/(I3+L3+N3))</f>
        <v>82.801709068378386</v>
      </c>
      <c r="Q3" s="6">
        <v>150</v>
      </c>
      <c r="R3" s="6">
        <f>Q3/10000</f>
        <v>1.4999999999999999E-2</v>
      </c>
      <c r="S3" s="6">
        <v>2</v>
      </c>
      <c r="U3" s="6">
        <f>(I3/I7-1)*100</f>
        <v>32.9192546583851</v>
      </c>
      <c r="V3" s="6">
        <f>(J3/J7-1)*100</f>
        <v>-82.453416149068332</v>
      </c>
      <c r="W3" s="6">
        <f>(K3/K7-1)*100</f>
        <v>22.222222222222232</v>
      </c>
      <c r="X3" s="6">
        <f>V3/-0.61</f>
        <v>135.16953467060384</v>
      </c>
      <c r="Y3" s="6">
        <f>X3*0.0032</f>
        <v>0.43254251094593232</v>
      </c>
      <c r="Z3" s="6">
        <f>X3*0.000044</f>
        <v>5.9474595255065684E-3</v>
      </c>
      <c r="AA3" s="6">
        <f>I7*(100-Y3)/100</f>
        <v>3.8176659223482052</v>
      </c>
      <c r="AB3" s="6">
        <f>K7*(100-Z3)/100</f>
        <v>0.74973149481714008</v>
      </c>
      <c r="AC3" s="6">
        <f>AA3/AB3</f>
        <v>5.0920442168156965</v>
      </c>
      <c r="AD3" s="6">
        <f>AC3/AE7-1</f>
        <v>-4.2662042449751469E-3</v>
      </c>
      <c r="AE3" s="6">
        <f>I3/K3</f>
        <v>5.5614321124500421</v>
      </c>
      <c r="AF3" s="6">
        <f>J3/K3</f>
        <v>0.74360079852139416</v>
      </c>
      <c r="AG3" s="6">
        <f>L3/K3</f>
        <v>1.1308484640179723</v>
      </c>
      <c r="AH3" s="6">
        <f>R3/K3</f>
        <v>1.636852318740218E-2</v>
      </c>
      <c r="AI3" s="6">
        <f>AE3/AE7-1</f>
        <v>8.7521174477696251E-2</v>
      </c>
      <c r="AJ3" s="6">
        <f>AF3/AF7-1</f>
        <v>-0.85643704121964992</v>
      </c>
      <c r="AK3" s="6">
        <f>AG3/AG7-1</f>
        <v>-0.88828967642526968</v>
      </c>
      <c r="AL3" s="6">
        <f>AH3/AH7-1</f>
        <v>0.26522961574507975</v>
      </c>
    </row>
    <row r="4" spans="1:38">
      <c r="A4" s="6" t="s">
        <v>89</v>
      </c>
      <c r="B4" s="6" t="s">
        <v>216</v>
      </c>
      <c r="C4" s="6">
        <v>17.16</v>
      </c>
      <c r="D4" s="6">
        <v>2.54</v>
      </c>
      <c r="E4" s="6">
        <v>1.492</v>
      </c>
      <c r="F4" s="6">
        <v>4.1399999999999997</v>
      </c>
      <c r="G4" s="6">
        <v>0.2</v>
      </c>
      <c r="H4" s="6">
        <v>0.83</v>
      </c>
      <c r="I4" s="3">
        <f>C4*26.98/101.96</f>
        <v>4.5407689289917617</v>
      </c>
      <c r="J4" s="3">
        <f>D4*24.305/40.3044</f>
        <v>1.5317111779359078</v>
      </c>
      <c r="K4" s="6">
        <f>E4*47.867/79.866</f>
        <v>0.89421736408484209</v>
      </c>
      <c r="L4" s="6">
        <f>F4*40.078/56.0774</f>
        <v>2.9588197740979436</v>
      </c>
      <c r="M4" s="6">
        <f>G4*39.0983/94.2</f>
        <v>8.3011252653927822E-2</v>
      </c>
      <c r="N4" s="6">
        <f>H4*22.989769/61.9789</f>
        <v>0.30787103788547387</v>
      </c>
      <c r="O4" s="6">
        <f>100*(I4/(I4+L4+M4+N4))</f>
        <v>57.547501697402495</v>
      </c>
      <c r="P4" s="6">
        <f>100*(I4/(I4+L4+N4))</f>
        <v>58.159363988274684</v>
      </c>
      <c r="Q4" s="6">
        <v>119</v>
      </c>
      <c r="R4" s="6">
        <f>Q4/10000</f>
        <v>1.1900000000000001E-2</v>
      </c>
      <c r="S4" s="6">
        <v>0.7</v>
      </c>
      <c r="T4" s="6">
        <v>10</v>
      </c>
      <c r="U4" s="6">
        <f>(I4/I7-1)*100</f>
        <v>18.426501035196672</v>
      </c>
      <c r="V4" s="6">
        <f>(J4/J7-1)*100</f>
        <v>-60.559006211180119</v>
      </c>
      <c r="W4" s="6">
        <f>(K4/K7-1)*100</f>
        <v>19.264588329336551</v>
      </c>
      <c r="X4" s="6">
        <f>V4/-0.61</f>
        <v>99.277059362590364</v>
      </c>
      <c r="Y4" s="6">
        <f>X4*0.0032</f>
        <v>0.3176865899602892</v>
      </c>
      <c r="Z4" s="6">
        <f>X4*0.000044</f>
        <v>4.3681906119539763E-3</v>
      </c>
      <c r="AA4" s="6">
        <f>I7*(100-Y4)/100</f>
        <v>3.8220697862871331</v>
      </c>
      <c r="AB4" s="6">
        <f>K7*(100-Z4)/100</f>
        <v>0.74974333579781016</v>
      </c>
      <c r="AC4" s="6">
        <f>AA4/AB4</f>
        <v>5.0978376249520467</v>
      </c>
      <c r="AD4" s="6">
        <f>AC4/AE7-1</f>
        <v>-3.1333208629109599E-3</v>
      </c>
      <c r="AE4" s="6">
        <f>I4/K4</f>
        <v>5.0779252465521791</v>
      </c>
      <c r="AF4" s="6">
        <f>J4/K4</f>
        <v>1.712906994937957</v>
      </c>
      <c r="AG4" s="6">
        <f>L4/K4</f>
        <v>3.3088373061577174</v>
      </c>
      <c r="AH4" s="6">
        <f>R4/K4</f>
        <v>1.330772637386512E-2</v>
      </c>
      <c r="AI4" s="6">
        <f>AE4/AE7-1</f>
        <v>-7.027126038666065E-3</v>
      </c>
      <c r="AJ4" s="6">
        <f>AF4/AF7-1</f>
        <v>-0.66929836977336687</v>
      </c>
      <c r="AK4" s="6">
        <f>AG4/AG7-1</f>
        <v>-0.67313809242513745</v>
      </c>
      <c r="AL4" s="6">
        <f>AH4/AH7-1</f>
        <v>2.8640723031425397E-2</v>
      </c>
    </row>
    <row r="5" spans="1:38">
      <c r="A5" s="6" t="s">
        <v>90</v>
      </c>
      <c r="B5" s="6" t="s">
        <v>216</v>
      </c>
      <c r="C5" s="6">
        <v>17.52</v>
      </c>
      <c r="D5" s="6">
        <v>3.32</v>
      </c>
      <c r="E5" s="6">
        <v>1.4910000000000001</v>
      </c>
      <c r="F5" s="6">
        <v>4.8499999999999996</v>
      </c>
      <c r="G5" s="6">
        <v>0.2</v>
      </c>
      <c r="H5" s="6">
        <v>0.99</v>
      </c>
      <c r="I5" s="3">
        <f>C5*26.98/101.96</f>
        <v>4.6360298156139663</v>
      </c>
      <c r="J5" s="3">
        <f>D5*24.305/40.3044</f>
        <v>2.002079177459533</v>
      </c>
      <c r="K5" s="6">
        <f>E5*47.867/79.866</f>
        <v>0.89361802268800239</v>
      </c>
      <c r="L5" s="6">
        <f>F5*40.078/56.0774</f>
        <v>3.4662502184480735</v>
      </c>
      <c r="M5" s="6">
        <f>G5*39.0983/94.2</f>
        <v>8.3011252653927822E-2</v>
      </c>
      <c r="N5" s="6">
        <f>H5*22.989769/61.9789</f>
        <v>0.36721967169472186</v>
      </c>
      <c r="O5" s="6">
        <f>100*(I5/(I5+L5+M5+N5))</f>
        <v>54.206651568856671</v>
      </c>
      <c r="P5" s="6">
        <f>100*(I5/(I5+L5+N5))</f>
        <v>54.737941751893949</v>
      </c>
      <c r="Q5" s="6">
        <v>102</v>
      </c>
      <c r="R5" s="6">
        <f>Q5/10000</f>
        <v>1.0200000000000001E-2</v>
      </c>
      <c r="S5" s="6">
        <v>0.9</v>
      </c>
      <c r="U5" s="6">
        <f>(I5/I7-1)*100</f>
        <v>20.91097308488612</v>
      </c>
      <c r="V5" s="6">
        <f>(J5/J7-1)*100</f>
        <v>-48.447204968944099</v>
      </c>
      <c r="W5" s="6">
        <f>(K5/K7-1)*100</f>
        <v>19.184652278177474</v>
      </c>
      <c r="X5" s="6">
        <f>V5/-0.61</f>
        <v>79.421647490072289</v>
      </c>
      <c r="Y5" s="6">
        <f>X5*0.0032</f>
        <v>0.25414927196823134</v>
      </c>
      <c r="Z5" s="6">
        <f>X5*0.000044</f>
        <v>3.4945524895631805E-3</v>
      </c>
      <c r="AA5" s="6">
        <f>I7*(100-Y5)/100</f>
        <v>3.8245059663384553</v>
      </c>
      <c r="AB5" s="6">
        <f>K7*(100-Z5)/100</f>
        <v>0.74974988612754279</v>
      </c>
      <c r="AC5" s="6">
        <f>AA5/AB5</f>
        <v>5.101042410412389</v>
      </c>
      <c r="AD5" s="6">
        <f>AC5/AE7-1</f>
        <v>-2.5066347904553199E-3</v>
      </c>
      <c r="AE5" s="6">
        <f>I5/K5</f>
        <v>5.1879323132592958</v>
      </c>
      <c r="AF5" s="6">
        <f>J5/K5</f>
        <v>2.2404194260062931</v>
      </c>
      <c r="AG5" s="6">
        <f>L5/K5</f>
        <v>3.8788947071832718</v>
      </c>
      <c r="AH5" s="6">
        <f>R5/K5</f>
        <v>1.1414272923142718E-2</v>
      </c>
      <c r="AI5" s="6">
        <f>AE5/AE7-1</f>
        <v>1.4484422060311974E-2</v>
      </c>
      <c r="AJ5" s="6">
        <f>AF5/AF7-1</f>
        <v>-0.5674544159366135</v>
      </c>
      <c r="AK5" s="6">
        <f>AG5/AG7-1</f>
        <v>-0.6168252452568519</v>
      </c>
      <c r="AL5" s="6">
        <f>AH5/AH7-1</f>
        <v>-0.11771660893194225</v>
      </c>
    </row>
    <row r="6" spans="1:38">
      <c r="A6" s="6" t="s">
        <v>91</v>
      </c>
      <c r="B6" s="6" t="s">
        <v>216</v>
      </c>
      <c r="C6" s="6">
        <v>14.29</v>
      </c>
      <c r="D6" s="6">
        <v>4.62</v>
      </c>
      <c r="E6" s="6">
        <v>1.252</v>
      </c>
      <c r="F6" s="6">
        <v>10.66</v>
      </c>
      <c r="G6" s="6">
        <v>0.21</v>
      </c>
      <c r="H6" s="6">
        <v>2.19</v>
      </c>
      <c r="I6" s="6">
        <f>C6*26.98/101.96</f>
        <v>3.7813279717536288</v>
      </c>
      <c r="J6" s="3">
        <f>D6*24.305/40.3044</f>
        <v>2.7860258433322418</v>
      </c>
      <c r="K6" s="6">
        <f>E6*47.867/79.866</f>
        <v>0.75037542884331254</v>
      </c>
      <c r="L6" s="6">
        <f>F6*40.078/56.0774</f>
        <v>7.6186035729188593</v>
      </c>
      <c r="M6" s="6">
        <f>G6*39.0983/94.2</f>
        <v>8.7161815286624186E-2</v>
      </c>
      <c r="N6" s="6">
        <f>H6*22.989769/61.9789</f>
        <v>0.81233442526408173</v>
      </c>
      <c r="O6" s="6">
        <f>100*(I6/(I6+L6+M6+N6))</f>
        <v>30.743934090141988</v>
      </c>
      <c r="P6" s="6">
        <f>100*(I6/(I6+L6+N6))</f>
        <v>30.963360780565029</v>
      </c>
      <c r="Q6" s="6">
        <v>86</v>
      </c>
      <c r="R6" s="6">
        <f>Q6/10000</f>
        <v>8.6E-3</v>
      </c>
      <c r="S6" s="6">
        <v>0.6</v>
      </c>
      <c r="U6" s="6">
        <f>(I6/I7-1)*100</f>
        <v>-1.3802622498274797</v>
      </c>
      <c r="V6" s="6">
        <f>(J6/J7-1)*100</f>
        <v>-28.260869565217384</v>
      </c>
      <c r="W6" s="6">
        <f>(K6/K7-1)*100</f>
        <v>7.9936051159079646E-2</v>
      </c>
      <c r="X6" s="6">
        <f>V6/-0.61</f>
        <v>46.329294369208824</v>
      </c>
      <c r="Y6" s="6">
        <f>X6*0.0032</f>
        <v>0.14825374198146823</v>
      </c>
      <c r="Z6" s="6">
        <f>X6*0.000044</f>
        <v>2.0384889522451883E-3</v>
      </c>
      <c r="AA6" s="6">
        <f>I7*(100-Y6)/100</f>
        <v>3.8285662664239921</v>
      </c>
      <c r="AB6" s="6">
        <f>K7*(100-Z6)/100</f>
        <v>0.74976080334376349</v>
      </c>
      <c r="AC6" s="6">
        <f>AA6/AB6</f>
        <v>5.1063835950738596</v>
      </c>
      <c r="AD6" s="6">
        <f>AC6/AE7-1</f>
        <v>-1.4621823367174658E-3</v>
      </c>
      <c r="AE6" s="6">
        <f>I6/K6</f>
        <v>5.0392481235459217</v>
      </c>
      <c r="AF6" s="6">
        <f>J6/K6</f>
        <v>3.7128425801826164</v>
      </c>
      <c r="AG6" s="6">
        <f>L6/K6</f>
        <v>10.153055763916432</v>
      </c>
      <c r="AH6" s="6">
        <f>R6/K6</f>
        <v>1.1460929648584993E-2</v>
      </c>
      <c r="AI6" s="6">
        <f>AE6/AE7-1</f>
        <v>-1.4590320084138853E-2</v>
      </c>
      <c r="AJ6" s="6">
        <f>AF6/AF7-1</f>
        <v>-0.2831816919016531</v>
      </c>
      <c r="AK6" s="6">
        <f>AG6/AG7-1</f>
        <v>2.9647479287375766E-3</v>
      </c>
      <c r="AL6" s="6">
        <f>AH6/AH7-1</f>
        <v>-0.11411020717367693</v>
      </c>
    </row>
    <row r="7" spans="1:38" s="2" customFormat="1">
      <c r="A7" s="2" t="s">
        <v>92</v>
      </c>
      <c r="B7" s="2" t="s">
        <v>42</v>
      </c>
      <c r="C7" s="2">
        <v>14.49</v>
      </c>
      <c r="D7" s="2">
        <v>6.44</v>
      </c>
      <c r="E7" s="2">
        <v>1.2509999999999999</v>
      </c>
      <c r="F7" s="2">
        <v>10.62</v>
      </c>
      <c r="G7" s="2">
        <v>0.03</v>
      </c>
      <c r="H7" s="2">
        <v>2.58</v>
      </c>
      <c r="I7" s="2">
        <f>C7*26.98/101.96</f>
        <v>3.8342506865437431</v>
      </c>
      <c r="J7" s="2">
        <f>D7*24.305/40.3044</f>
        <v>3.8835511755540337</v>
      </c>
      <c r="K7" s="2">
        <f>E7*47.867/79.866</f>
        <v>0.74977608744647273</v>
      </c>
      <c r="L7" s="2">
        <f>F7*40.078/56.0774</f>
        <v>7.5900159422512461</v>
      </c>
      <c r="M7" s="2">
        <f>G7*39.0983/94.2</f>
        <v>1.2451687898089172E-2</v>
      </c>
      <c r="N7" s="2">
        <f>H7*22.989769/61.9789</f>
        <v>0.95699672017412374</v>
      </c>
      <c r="Q7" s="2">
        <v>97</v>
      </c>
      <c r="R7" s="2">
        <f>Q7/10000</f>
        <v>9.7000000000000003E-3</v>
      </c>
      <c r="S7" s="2">
        <v>0.7</v>
      </c>
      <c r="AE7" s="2">
        <f>I7/K7</f>
        <v>5.1138609922892133</v>
      </c>
      <c r="AF7" s="2">
        <f>J7/K7</f>
        <v>5.1796146083830452</v>
      </c>
      <c r="AG7" s="2">
        <f>L7/K7</f>
        <v>10.123043491691918</v>
      </c>
      <c r="AH7" s="2">
        <f>R7/K7</f>
        <v>1.2937195734043056E-2</v>
      </c>
      <c r="AK7" s="2">
        <f>AVERAGE(AI3:AI6)</f>
        <v>2.0097037603800827E-2</v>
      </c>
    </row>
    <row r="8" spans="1:38" s="3" customFormat="1">
      <c r="AC8" s="39"/>
      <c r="AD8" s="6"/>
      <c r="AF8" s="39"/>
      <c r="AG8" s="6"/>
      <c r="AH8" s="39" t="s">
        <v>97</v>
      </c>
      <c r="AI8" s="6">
        <f>_xlfn.VAR.P(AI3:AI6)</f>
        <v>1.6291121807757969E-3</v>
      </c>
    </row>
    <row r="9" spans="1:38" s="3" customFormat="1">
      <c r="AH9" s="67" t="s">
        <v>98</v>
      </c>
      <c r="AI9" s="3">
        <f>AVERAGE(AI3:AI6)</f>
        <v>2.0097037603800827E-2</v>
      </c>
    </row>
    <row r="10" spans="1:38">
      <c r="AG10" s="3"/>
      <c r="AH10" s="3"/>
    </row>
    <row r="11" spans="1:38">
      <c r="AG11" s="3"/>
      <c r="AH11" s="3"/>
    </row>
    <row r="15" spans="1:38">
      <c r="AF15" s="69"/>
      <c r="AG15" s="69"/>
      <c r="AH15" s="69"/>
      <c r="AI15" s="69"/>
    </row>
    <row r="16" spans="1:38">
      <c r="AF16" s="69"/>
      <c r="AG16" s="69"/>
      <c r="AH16" s="69"/>
      <c r="AI16" s="69"/>
    </row>
    <row r="17" spans="32:35">
      <c r="AF17" s="69"/>
      <c r="AG17" s="69"/>
      <c r="AH17" s="69"/>
      <c r="AI17" s="69"/>
    </row>
    <row r="18" spans="32:35">
      <c r="AF18" s="69"/>
      <c r="AG18" s="69"/>
      <c r="AH18" s="69"/>
      <c r="AI18" s="69"/>
    </row>
    <row r="19" spans="32:35">
      <c r="AF19" s="69"/>
      <c r="AG19" s="69"/>
      <c r="AH19" s="69"/>
      <c r="AI19" s="69"/>
    </row>
    <row r="20" spans="32:35">
      <c r="AF20" s="69"/>
      <c r="AG20" s="69"/>
      <c r="AH20" s="69"/>
      <c r="AI20" s="69"/>
    </row>
    <row r="21" spans="32:35">
      <c r="AF21" s="69"/>
      <c r="AG21" s="69"/>
      <c r="AH21" s="69"/>
      <c r="AI21" s="69"/>
    </row>
    <row r="22" spans="32:35">
      <c r="AF22" s="69"/>
      <c r="AG22" s="69"/>
      <c r="AH22" s="69"/>
      <c r="AI22" s="69"/>
    </row>
    <row r="23" spans="32:35">
      <c r="AF23" s="69"/>
      <c r="AG23" s="69"/>
      <c r="AH23" s="69"/>
      <c r="AI23" s="69"/>
    </row>
    <row r="24" spans="32:35">
      <c r="AF24" s="69"/>
      <c r="AG24" s="69"/>
      <c r="AH24" s="69"/>
      <c r="AI24" s="69"/>
    </row>
    <row r="25" spans="32:35">
      <c r="AF25" s="69"/>
      <c r="AG25" s="69"/>
      <c r="AH25" s="69"/>
      <c r="AI25" s="69"/>
    </row>
    <row r="26" spans="32:35">
      <c r="AF26" s="69"/>
      <c r="AG26" s="69"/>
      <c r="AH26" s="69"/>
      <c r="AI26" s="69"/>
    </row>
    <row r="27" spans="32:35">
      <c r="AF27" s="69"/>
      <c r="AG27" s="69"/>
      <c r="AH27" s="69"/>
      <c r="AI27" s="69"/>
    </row>
    <row r="28" spans="32:35">
      <c r="AF28" s="69"/>
      <c r="AG28" s="69"/>
      <c r="AH28" s="69"/>
      <c r="AI28" s="69"/>
    </row>
    <row r="29" spans="32:35">
      <c r="AF29" s="69"/>
      <c r="AG29" s="69"/>
      <c r="AH29" s="69"/>
      <c r="AI29" s="69"/>
    </row>
    <row r="30" spans="32:35">
      <c r="AF30" s="69"/>
      <c r="AG30" s="69"/>
      <c r="AH30" s="69"/>
      <c r="AI30" s="69"/>
    </row>
    <row r="31" spans="32:35">
      <c r="AF31" s="69"/>
      <c r="AG31" s="69"/>
      <c r="AH31" s="69"/>
      <c r="AI31" s="69"/>
    </row>
    <row r="32" spans="32:35">
      <c r="AF32" s="69"/>
      <c r="AG32" s="69"/>
      <c r="AH32" s="69"/>
      <c r="AI32" s="69"/>
    </row>
    <row r="33" spans="32:35">
      <c r="AF33" s="69"/>
      <c r="AG33" s="69"/>
      <c r="AH33" s="69"/>
      <c r="AI33" s="69"/>
    </row>
    <row r="34" spans="32:35">
      <c r="AF34" s="69"/>
      <c r="AG34" s="69"/>
      <c r="AH34" s="69"/>
      <c r="AI34" s="69"/>
    </row>
    <row r="35" spans="32:35">
      <c r="AF35" s="69"/>
      <c r="AG35" s="69"/>
      <c r="AH35" s="69"/>
      <c r="AI35" s="69"/>
    </row>
    <row r="36" spans="32:35">
      <c r="AF36" s="69"/>
      <c r="AG36" s="69"/>
      <c r="AH36" s="69"/>
      <c r="AI36" s="69"/>
    </row>
    <row r="37" spans="32:35">
      <c r="AF37" s="69"/>
      <c r="AG37" s="69"/>
      <c r="AH37" s="69"/>
      <c r="AI37" s="69"/>
    </row>
    <row r="38" spans="32:35">
      <c r="AF38" s="69"/>
      <c r="AG38" s="69"/>
      <c r="AH38" s="69"/>
      <c r="AI38" s="69"/>
    </row>
    <row r="39" spans="32:35">
      <c r="AF39" s="69"/>
      <c r="AG39" s="69"/>
      <c r="AH39" s="69"/>
      <c r="AI39" s="69"/>
    </row>
    <row r="40" spans="32:35">
      <c r="AF40" s="69"/>
      <c r="AG40" s="69"/>
      <c r="AH40" s="69"/>
      <c r="AI40" s="69"/>
    </row>
    <row r="41" spans="32:35">
      <c r="AF41" s="69"/>
      <c r="AG41" s="69"/>
      <c r="AH41" s="69"/>
      <c r="AI41" s="69"/>
    </row>
    <row r="42" spans="32:35">
      <c r="AF42" s="69"/>
      <c r="AG42" s="69"/>
      <c r="AH42" s="69"/>
      <c r="AI42" s="69"/>
    </row>
    <row r="43" spans="32:35">
      <c r="AF43" s="69"/>
      <c r="AG43" s="69"/>
      <c r="AH43" s="69"/>
      <c r="AI43" s="69"/>
    </row>
    <row r="44" spans="32:35">
      <c r="AF44" s="69"/>
      <c r="AG44" s="69"/>
      <c r="AH44" s="69"/>
      <c r="AI44" s="69"/>
    </row>
    <row r="45" spans="32:35">
      <c r="AF45" s="69"/>
      <c r="AG45" s="69"/>
      <c r="AH45" s="69"/>
      <c r="AI45" s="69"/>
    </row>
    <row r="46" spans="32:35">
      <c r="AF46" s="69"/>
      <c r="AG46" s="69"/>
      <c r="AH46" s="69"/>
      <c r="AI46" s="69"/>
    </row>
    <row r="47" spans="32:35">
      <c r="AF47" s="69"/>
      <c r="AG47" s="69"/>
      <c r="AH47" s="69"/>
      <c r="AI47" s="69"/>
    </row>
    <row r="48" spans="32:35">
      <c r="AF48" s="69"/>
      <c r="AG48" s="69"/>
      <c r="AH48" s="69"/>
      <c r="AI48" s="69"/>
    </row>
    <row r="49" spans="32:35">
      <c r="AF49" s="69"/>
      <c r="AG49" s="69"/>
      <c r="AH49" s="69"/>
      <c r="AI49" s="69"/>
    </row>
    <row r="50" spans="32:35">
      <c r="AF50" s="69"/>
      <c r="AG50" s="69"/>
      <c r="AH50" s="69"/>
      <c r="AI50" s="69"/>
    </row>
    <row r="51" spans="32:35">
      <c r="AF51" s="69"/>
      <c r="AG51" s="69"/>
      <c r="AH51" s="69"/>
      <c r="AI51" s="69"/>
    </row>
    <row r="52" spans="32:35">
      <c r="AF52" s="69"/>
      <c r="AG52" s="69"/>
      <c r="AH52" s="69"/>
      <c r="AI52" s="69"/>
    </row>
    <row r="53" spans="32:35">
      <c r="AF53" s="69"/>
      <c r="AG53" s="69"/>
      <c r="AH53" s="69"/>
      <c r="AI53" s="69"/>
    </row>
    <row r="54" spans="32:35">
      <c r="AF54" s="69"/>
      <c r="AG54" s="70"/>
      <c r="AH54" s="70"/>
      <c r="AI54" s="69"/>
    </row>
    <row r="55" spans="32:35">
      <c r="AF55" s="69"/>
      <c r="AG55" s="69"/>
      <c r="AH55" s="69"/>
      <c r="AI55" s="69"/>
    </row>
    <row r="56" spans="32:35">
      <c r="AF56" s="69"/>
      <c r="AG56" s="69"/>
      <c r="AH56" s="69"/>
      <c r="AI56" s="69"/>
    </row>
    <row r="57" spans="32:35">
      <c r="AF57" s="69"/>
      <c r="AG57" s="69"/>
      <c r="AH57" s="69"/>
      <c r="AI57" s="69"/>
    </row>
    <row r="58" spans="32:35">
      <c r="AF58" s="69"/>
      <c r="AG58" s="69"/>
      <c r="AH58" s="69"/>
      <c r="AI58" s="69"/>
    </row>
    <row r="59" spans="32:35">
      <c r="AF59" s="69"/>
      <c r="AG59" s="69"/>
      <c r="AH59" s="69"/>
      <c r="AI59" s="69"/>
    </row>
    <row r="60" spans="32:35">
      <c r="AF60" s="69"/>
      <c r="AG60" s="69"/>
      <c r="AH60" s="69"/>
      <c r="AI60" s="69"/>
    </row>
    <row r="61" spans="32:35">
      <c r="AF61" s="71"/>
      <c r="AG61" s="71"/>
      <c r="AH61" s="71"/>
      <c r="AI61" s="71"/>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2"/>
  <sheetViews>
    <sheetView topLeftCell="A10" zoomScale="70" zoomScaleNormal="70" workbookViewId="0">
      <selection activeCell="M23" sqref="M23"/>
    </sheetView>
  </sheetViews>
  <sheetFormatPr defaultRowHeight="14.5"/>
  <cols>
    <col min="17" max="18" width="8.7265625" style="6"/>
    <col min="33" max="34" width="8.7265625" style="6"/>
    <col min="49" max="50" width="8.7265625" style="6"/>
    <col min="57" max="58" width="8.7265625" style="6"/>
    <col min="63" max="64" width="8.7265625" style="6"/>
    <col min="69" max="69" width="15" customWidth="1"/>
    <col min="70" max="70" width="22.6328125" customWidth="1"/>
  </cols>
  <sheetData>
    <row r="1" spans="1:70" s="1" customFormat="1">
      <c r="A1" s="104" t="s">
        <v>59</v>
      </c>
      <c r="B1" s="104"/>
      <c r="C1" s="104" t="s">
        <v>102</v>
      </c>
      <c r="D1" s="104"/>
      <c r="E1" s="104" t="s">
        <v>60</v>
      </c>
      <c r="F1" s="104"/>
      <c r="G1" s="104" t="s">
        <v>61</v>
      </c>
      <c r="H1" s="104"/>
      <c r="I1" s="104" t="s">
        <v>62</v>
      </c>
      <c r="J1" s="104"/>
      <c r="K1" s="104" t="s">
        <v>63</v>
      </c>
      <c r="L1" s="104"/>
      <c r="M1" s="104" t="s">
        <v>64</v>
      </c>
      <c r="N1" s="104"/>
      <c r="O1" s="104" t="s">
        <v>157</v>
      </c>
      <c r="P1" s="104"/>
      <c r="Q1" s="104" t="s">
        <v>65</v>
      </c>
      <c r="R1" s="104"/>
      <c r="S1" s="104" t="s">
        <v>66</v>
      </c>
      <c r="T1" s="104"/>
      <c r="U1" s="104" t="s">
        <v>161</v>
      </c>
      <c r="V1" s="104"/>
      <c r="W1" s="103" t="s">
        <v>68</v>
      </c>
      <c r="X1" s="103"/>
      <c r="Y1" s="103" t="s">
        <v>69</v>
      </c>
      <c r="Z1" s="103"/>
      <c r="AA1" s="103" t="s">
        <v>146</v>
      </c>
      <c r="AB1" s="103"/>
      <c r="AC1" s="103" t="s">
        <v>70</v>
      </c>
      <c r="AD1" s="103"/>
      <c r="AE1" s="103" t="s">
        <v>100</v>
      </c>
      <c r="AF1" s="103"/>
      <c r="AG1" s="103" t="s">
        <v>67</v>
      </c>
      <c r="AH1" s="103"/>
      <c r="AI1" s="103" t="s">
        <v>155</v>
      </c>
      <c r="AJ1" s="103"/>
      <c r="AK1" s="103" t="s">
        <v>101</v>
      </c>
      <c r="AL1" s="103"/>
      <c r="AM1" s="103" t="s">
        <v>71</v>
      </c>
      <c r="AN1" s="103"/>
      <c r="AO1" s="103" t="s">
        <v>103</v>
      </c>
      <c r="AP1" s="103"/>
      <c r="AQ1" s="103" t="s">
        <v>104</v>
      </c>
      <c r="AR1" s="103"/>
      <c r="AS1" s="103" t="s">
        <v>105</v>
      </c>
      <c r="AT1" s="103"/>
      <c r="AU1" s="103" t="s">
        <v>72</v>
      </c>
      <c r="AV1" s="103"/>
      <c r="AW1" s="103" t="s">
        <v>561</v>
      </c>
      <c r="AX1" s="103"/>
      <c r="AY1" s="103" t="s">
        <v>73</v>
      </c>
      <c r="AZ1" s="103"/>
      <c r="BA1" s="106" t="s">
        <v>74</v>
      </c>
      <c r="BB1" s="106"/>
      <c r="BC1" s="106" t="s">
        <v>80</v>
      </c>
      <c r="BD1" s="106"/>
      <c r="BE1" s="106" t="s">
        <v>458</v>
      </c>
      <c r="BF1" s="106"/>
      <c r="BG1" s="106" t="s">
        <v>147</v>
      </c>
      <c r="BH1" s="106"/>
      <c r="BI1" s="106" t="s">
        <v>95</v>
      </c>
      <c r="BJ1" s="106"/>
      <c r="BK1" s="106" t="s">
        <v>81</v>
      </c>
      <c r="BL1" s="106"/>
      <c r="BM1" s="106" t="s">
        <v>150</v>
      </c>
      <c r="BN1" s="106"/>
      <c r="BO1" s="105"/>
      <c r="BP1" s="105"/>
      <c r="BQ1" s="64"/>
      <c r="BR1" s="64"/>
    </row>
    <row r="2" spans="1:70" s="68" customFormat="1">
      <c r="A2" s="72" t="s">
        <v>97</v>
      </c>
      <c r="B2" s="72">
        <v>3.6325858821807319E-2</v>
      </c>
      <c r="C2" s="72" t="s">
        <v>97</v>
      </c>
      <c r="D2" s="72">
        <v>2.4818517333488943E-2</v>
      </c>
      <c r="E2" s="72" t="s">
        <v>97</v>
      </c>
      <c r="F2" s="72">
        <v>1.5536340728576563E-2</v>
      </c>
      <c r="G2" s="72" t="s">
        <v>97</v>
      </c>
      <c r="H2" s="72">
        <v>1.1040964014084073E-3</v>
      </c>
      <c r="I2" s="72" t="s">
        <v>97</v>
      </c>
      <c r="J2" s="72">
        <v>0.28065523549030641</v>
      </c>
      <c r="K2" s="72" t="s">
        <v>97</v>
      </c>
      <c r="L2" s="72">
        <v>8.3783061344797384E-3</v>
      </c>
      <c r="M2" s="72" t="s">
        <v>97</v>
      </c>
      <c r="N2" s="72">
        <v>0.22831080468332879</v>
      </c>
      <c r="O2" s="72" t="s">
        <v>97</v>
      </c>
      <c r="P2" s="72">
        <v>2.2584066911749082E-2</v>
      </c>
      <c r="Q2" s="72" t="s">
        <v>97</v>
      </c>
      <c r="R2" s="72">
        <v>3.7074037118180095E-2</v>
      </c>
      <c r="S2" s="72" t="s">
        <v>97</v>
      </c>
      <c r="T2" s="72">
        <v>2.6415990111699488E-3</v>
      </c>
      <c r="U2" s="72" t="s">
        <v>97</v>
      </c>
      <c r="V2" s="72">
        <v>7.2277925203511279E-3</v>
      </c>
      <c r="W2" s="73" t="s">
        <v>97</v>
      </c>
      <c r="X2" s="73">
        <v>1.6276411235429607E-2</v>
      </c>
      <c r="Y2" s="73" t="s">
        <v>97</v>
      </c>
      <c r="Z2" s="73">
        <v>3.2696051874069455E-3</v>
      </c>
      <c r="AA2" s="73" t="s">
        <v>97</v>
      </c>
      <c r="AB2" s="73">
        <v>1.9575079274827818E-3</v>
      </c>
      <c r="AC2" s="73" t="s">
        <v>97</v>
      </c>
      <c r="AD2" s="73">
        <v>2.3386135245223687E-2</v>
      </c>
      <c r="AE2" s="73" t="s">
        <v>97</v>
      </c>
      <c r="AF2" s="73">
        <v>2.7713060194664303E-2</v>
      </c>
      <c r="AG2" s="73" t="s">
        <v>97</v>
      </c>
      <c r="AH2" s="73">
        <v>1.3677514853644818E-2</v>
      </c>
      <c r="AI2" s="73" t="s">
        <v>97</v>
      </c>
      <c r="AJ2" s="73">
        <v>2.4774397475886972E-3</v>
      </c>
      <c r="AK2" s="73" t="s">
        <v>97</v>
      </c>
      <c r="AL2" s="73">
        <v>2.0617765641332147E-2</v>
      </c>
      <c r="AM2" s="73" t="s">
        <v>97</v>
      </c>
      <c r="AN2" s="73">
        <v>5.9857354363788882E-2</v>
      </c>
      <c r="AO2" s="73" t="s">
        <v>97</v>
      </c>
      <c r="AP2" s="73">
        <v>0.17279327683074236</v>
      </c>
      <c r="AQ2" s="73" t="s">
        <v>97</v>
      </c>
      <c r="AR2" s="73">
        <v>1.4783464487391695E-3</v>
      </c>
      <c r="AS2" s="73" t="s">
        <v>97</v>
      </c>
      <c r="AT2" s="73">
        <v>3.2194988394834118E-2</v>
      </c>
      <c r="AU2" s="73" t="s">
        <v>97</v>
      </c>
      <c r="AV2" s="73">
        <v>3.726759555294018E-2</v>
      </c>
      <c r="AW2" s="73" t="s">
        <v>97</v>
      </c>
      <c r="AX2" s="73">
        <v>5.4713786E-2</v>
      </c>
      <c r="AY2" s="73" t="s">
        <v>97</v>
      </c>
      <c r="AZ2" s="73">
        <v>0.22808679473339943</v>
      </c>
      <c r="BA2" s="74" t="s">
        <v>97</v>
      </c>
      <c r="BB2" s="74">
        <v>2.1407321809651849E-2</v>
      </c>
      <c r="BC2" s="74" t="s">
        <v>97</v>
      </c>
      <c r="BD2" s="74">
        <v>0.14433370237382895</v>
      </c>
      <c r="BE2" s="74" t="s">
        <v>97</v>
      </c>
      <c r="BF2" s="74">
        <v>0.22289266870052776</v>
      </c>
      <c r="BG2" s="74" t="s">
        <v>97</v>
      </c>
      <c r="BH2" s="74">
        <v>0.20222174439214785</v>
      </c>
      <c r="BI2" s="74" t="s">
        <v>97</v>
      </c>
      <c r="BJ2" s="74">
        <v>3.1189714025916603E-2</v>
      </c>
      <c r="BK2" s="74" t="s">
        <v>97</v>
      </c>
      <c r="BL2" s="74">
        <v>0.12744308220425149</v>
      </c>
      <c r="BM2" s="74" t="s">
        <v>97</v>
      </c>
      <c r="BN2" s="74">
        <v>1.6291121807757969E-3</v>
      </c>
      <c r="BO2" s="80"/>
      <c r="BP2" s="80"/>
    </row>
    <row r="3" spans="1:70" s="68" customFormat="1">
      <c r="A3" s="72" t="s">
        <v>98</v>
      </c>
      <c r="B3" s="72">
        <v>-0.14646031082475128</v>
      </c>
      <c r="C3" s="72" t="s">
        <v>98</v>
      </c>
      <c r="D3" s="72">
        <v>-0.5659700514480267</v>
      </c>
      <c r="E3" s="72" t="s">
        <v>98</v>
      </c>
      <c r="F3" s="72">
        <v>-0.17203153243522992</v>
      </c>
      <c r="G3" s="72" t="s">
        <v>98</v>
      </c>
      <c r="H3" s="72">
        <v>7.6777778147786302E-2</v>
      </c>
      <c r="I3" s="72" t="s">
        <v>98</v>
      </c>
      <c r="J3" s="72">
        <v>0.89433757490419508</v>
      </c>
      <c r="K3" s="72" t="s">
        <v>98</v>
      </c>
      <c r="L3" s="72">
        <v>-0.35762647416533166</v>
      </c>
      <c r="M3" s="72" t="s">
        <v>98</v>
      </c>
      <c r="N3" s="72">
        <v>1.3831823928632025</v>
      </c>
      <c r="O3" s="72" t="s">
        <v>98</v>
      </c>
      <c r="P3" s="72">
        <v>7.0754974018034655E-3</v>
      </c>
      <c r="Q3" s="72" t="s">
        <v>98</v>
      </c>
      <c r="R3" s="72">
        <v>-0.21407510450419368</v>
      </c>
      <c r="S3" s="72" t="s">
        <v>98</v>
      </c>
      <c r="T3" s="72">
        <v>-1.8798600203557798E-2</v>
      </c>
      <c r="U3" s="72" t="s">
        <v>98</v>
      </c>
      <c r="V3" s="72">
        <v>5.8409480329939562E-2</v>
      </c>
      <c r="W3" s="73" t="s">
        <v>98</v>
      </c>
      <c r="X3" s="73">
        <v>0.19439893230603378</v>
      </c>
      <c r="Y3" s="73" t="s">
        <v>98</v>
      </c>
      <c r="Z3" s="73">
        <v>0.13219702444629061</v>
      </c>
      <c r="AA3" s="73" t="s">
        <v>98</v>
      </c>
      <c r="AB3" s="73">
        <v>4.6301061157898449E-2</v>
      </c>
      <c r="AC3" s="73" t="s">
        <v>98</v>
      </c>
      <c r="AD3" s="73">
        <v>-0.1348340212298593</v>
      </c>
      <c r="AE3" s="73" t="s">
        <v>98</v>
      </c>
      <c r="AF3" s="73">
        <v>-0.13092850882691559</v>
      </c>
      <c r="AG3" s="73" t="s">
        <v>98</v>
      </c>
      <c r="AH3" s="73">
        <v>8.0963259767321744E-2</v>
      </c>
      <c r="AI3" s="73" t="s">
        <v>98</v>
      </c>
      <c r="AJ3" s="73">
        <v>-6.0248166814755505E-2</v>
      </c>
      <c r="AK3" s="73" t="s">
        <v>98</v>
      </c>
      <c r="AL3" s="73">
        <v>-0.36793829476756301</v>
      </c>
      <c r="AM3" s="73" t="s">
        <v>98</v>
      </c>
      <c r="AN3" s="73">
        <v>0.12193464939028266</v>
      </c>
      <c r="AO3" s="73" t="s">
        <v>98</v>
      </c>
      <c r="AP3" s="73">
        <v>-0.29786486012401081</v>
      </c>
      <c r="AQ3" s="73" t="s">
        <v>98</v>
      </c>
      <c r="AR3" s="73">
        <v>-0.76226444264595006</v>
      </c>
      <c r="AS3" s="73" t="s">
        <v>98</v>
      </c>
      <c r="AT3" s="73">
        <v>0.1991022069532333</v>
      </c>
      <c r="AU3" s="73" t="s">
        <v>98</v>
      </c>
      <c r="AV3" s="73">
        <v>0.11597241946537699</v>
      </c>
      <c r="AW3" s="73" t="s">
        <v>98</v>
      </c>
      <c r="AX3" s="73">
        <v>0.42183085100000001</v>
      </c>
      <c r="AY3" s="73" t="s">
        <v>98</v>
      </c>
      <c r="AZ3" s="73">
        <v>0.46168466741774966</v>
      </c>
      <c r="BA3" s="74" t="s">
        <v>98</v>
      </c>
      <c r="BB3" s="74">
        <v>-0.39894898939344675</v>
      </c>
      <c r="BC3" s="74" t="s">
        <v>98</v>
      </c>
      <c r="BD3" s="74">
        <v>-5.8950896203372738E-3</v>
      </c>
      <c r="BE3" s="74" t="s">
        <v>98</v>
      </c>
      <c r="BF3" s="74">
        <v>0.13865979329358685</v>
      </c>
      <c r="BG3" s="74" t="s">
        <v>98</v>
      </c>
      <c r="BH3" s="74">
        <v>0.52659964379900215</v>
      </c>
      <c r="BI3" s="74" t="s">
        <v>98</v>
      </c>
      <c r="BJ3" s="74">
        <v>8.0559701147476195E-2</v>
      </c>
      <c r="BK3" s="74" t="s">
        <v>98</v>
      </c>
      <c r="BL3" s="74">
        <v>0.1436146703063865</v>
      </c>
      <c r="BM3" s="74" t="s">
        <v>98</v>
      </c>
      <c r="BN3" s="74">
        <v>2.0097037603800827E-2</v>
      </c>
      <c r="BO3" s="80"/>
      <c r="BP3" s="80"/>
    </row>
    <row r="4" spans="1:70">
      <c r="A4" s="1"/>
      <c r="B4" s="6"/>
      <c r="I4" s="6"/>
      <c r="J4" s="6"/>
      <c r="BK4"/>
      <c r="BL4"/>
    </row>
    <row r="5" spans="1:70" s="6" customFormat="1">
      <c r="A5" s="101" t="s">
        <v>151</v>
      </c>
      <c r="B5" s="101"/>
      <c r="C5" s="101"/>
      <c r="D5" s="78"/>
      <c r="E5" t="s">
        <v>524</v>
      </c>
      <c r="F5"/>
      <c r="G5"/>
      <c r="H5"/>
      <c r="I5"/>
      <c r="J5"/>
      <c r="K5"/>
      <c r="L5" s="78"/>
      <c r="M5" s="78"/>
      <c r="N5" s="78"/>
    </row>
    <row r="6" spans="1:70">
      <c r="A6" s="1"/>
      <c r="B6" s="6"/>
      <c r="D6" s="78"/>
      <c r="L6" s="78"/>
      <c r="M6" s="78"/>
      <c r="N6" s="78"/>
      <c r="BK6"/>
      <c r="BL6"/>
    </row>
    <row r="7" spans="1:70" ht="15" thickBot="1">
      <c r="A7" s="72">
        <v>3.6325858821807319E-2</v>
      </c>
      <c r="B7" s="73">
        <v>1.6276411235429607E-2</v>
      </c>
      <c r="C7" s="74">
        <v>2.1407321809651849E-2</v>
      </c>
      <c r="D7" s="78"/>
      <c r="E7" t="s">
        <v>525</v>
      </c>
      <c r="L7" s="78"/>
      <c r="M7" s="78"/>
      <c r="N7" s="78"/>
      <c r="BK7"/>
      <c r="BL7"/>
    </row>
    <row r="8" spans="1:70">
      <c r="A8" s="72">
        <v>2.4818517333488943E-2</v>
      </c>
      <c r="B8" s="73">
        <v>3.2696051874069455E-3</v>
      </c>
      <c r="C8" s="74">
        <v>0.14433370237382895</v>
      </c>
      <c r="D8" s="78"/>
      <c r="E8" s="77" t="s">
        <v>526</v>
      </c>
      <c r="F8" s="77" t="s">
        <v>527</v>
      </c>
      <c r="G8" s="77" t="s">
        <v>528</v>
      </c>
      <c r="H8" s="77" t="s">
        <v>529</v>
      </c>
      <c r="I8" s="77" t="s">
        <v>530</v>
      </c>
      <c r="L8" s="78"/>
      <c r="M8" s="78"/>
      <c r="N8" s="78"/>
      <c r="BK8"/>
      <c r="BL8"/>
    </row>
    <row r="9" spans="1:70">
      <c r="A9" s="72">
        <v>1.5536340728576563E-2</v>
      </c>
      <c r="B9" s="73">
        <v>1.9575079274827818E-3</v>
      </c>
      <c r="C9" s="74">
        <v>0.22289266870052776</v>
      </c>
      <c r="D9" s="78"/>
      <c r="E9" s="75" t="s">
        <v>531</v>
      </c>
      <c r="F9" s="75">
        <v>11</v>
      </c>
      <c r="G9" s="75">
        <v>0.66465665515484651</v>
      </c>
      <c r="H9" s="75">
        <v>6.0423332286804229E-2</v>
      </c>
      <c r="I9" s="75">
        <v>9.4924477896334569E-3</v>
      </c>
      <c r="L9" s="78"/>
      <c r="M9" s="78"/>
      <c r="N9" s="78"/>
      <c r="BK9"/>
      <c r="BL9"/>
    </row>
    <row r="10" spans="1:70">
      <c r="A10" s="72">
        <v>1.1040964014084073E-3</v>
      </c>
      <c r="B10" s="73">
        <v>2.3386135245223687E-2</v>
      </c>
      <c r="C10" s="74">
        <v>0.20222174439214785</v>
      </c>
      <c r="D10" s="78"/>
      <c r="E10" s="75" t="s">
        <v>532</v>
      </c>
      <c r="F10" s="75">
        <v>15</v>
      </c>
      <c r="G10" s="75">
        <v>0.69576758235721714</v>
      </c>
      <c r="H10" s="75">
        <v>4.6384505490481141E-2</v>
      </c>
      <c r="I10" s="75">
        <v>4.3446441460937733E-3</v>
      </c>
      <c r="L10" s="78"/>
      <c r="M10" s="78"/>
      <c r="N10" s="78"/>
      <c r="BK10"/>
      <c r="BL10"/>
    </row>
    <row r="11" spans="1:70" ht="15" thickBot="1">
      <c r="A11" s="72">
        <v>0.28065523549030641</v>
      </c>
      <c r="B11" s="73">
        <v>2.7713060194664303E-2</v>
      </c>
      <c r="C11" s="74">
        <v>3.1189714025916603E-2</v>
      </c>
      <c r="D11" s="78"/>
      <c r="E11" s="76" t="s">
        <v>533</v>
      </c>
      <c r="F11" s="76">
        <v>7</v>
      </c>
      <c r="G11" s="76">
        <v>0.75111734568710031</v>
      </c>
      <c r="H11" s="76">
        <v>0.10730247795530004</v>
      </c>
      <c r="I11" s="76">
        <v>8.0809509625412463E-3</v>
      </c>
      <c r="L11" s="78"/>
      <c r="M11" s="78"/>
      <c r="N11" s="78"/>
      <c r="BK11"/>
      <c r="BL11"/>
    </row>
    <row r="12" spans="1:70">
      <c r="A12" s="72">
        <v>8.3783061344797384E-3</v>
      </c>
      <c r="B12" s="73">
        <v>1.3677514853644818E-2</v>
      </c>
      <c r="C12" s="74">
        <v>0.12744308220425149</v>
      </c>
      <c r="D12" s="78"/>
      <c r="L12" s="78"/>
      <c r="M12" s="78"/>
      <c r="N12" s="78"/>
    </row>
    <row r="13" spans="1:70">
      <c r="A13" s="72">
        <v>0.22831080468332879</v>
      </c>
      <c r="B13" s="73">
        <v>2.4774397475886972E-3</v>
      </c>
      <c r="C13" s="74">
        <v>1.6291121807757969E-3</v>
      </c>
      <c r="D13" s="78"/>
      <c r="L13" s="78"/>
      <c r="M13" s="78"/>
      <c r="N13" s="78"/>
    </row>
    <row r="14" spans="1:70" ht="15" thickBot="1">
      <c r="A14" s="72">
        <v>2.2584066911749082E-2</v>
      </c>
      <c r="B14" s="73">
        <v>2.0617765641332147E-2</v>
      </c>
      <c r="D14" s="78"/>
      <c r="E14" t="s">
        <v>534</v>
      </c>
      <c r="L14" s="78"/>
      <c r="M14" s="78"/>
      <c r="N14" s="78"/>
    </row>
    <row r="15" spans="1:70">
      <c r="A15" s="72">
        <v>3.7074037118180095E-2</v>
      </c>
      <c r="B15" s="73">
        <v>5.9857354363788882E-2</v>
      </c>
      <c r="D15" s="78"/>
      <c r="E15" s="77" t="s">
        <v>535</v>
      </c>
      <c r="F15" s="77" t="s">
        <v>536</v>
      </c>
      <c r="G15" s="77" t="s">
        <v>537</v>
      </c>
      <c r="H15" s="77" t="s">
        <v>538</v>
      </c>
      <c r="I15" s="77" t="s">
        <v>539</v>
      </c>
      <c r="J15" s="77" t="s">
        <v>540</v>
      </c>
      <c r="K15" s="77" t="s">
        <v>541</v>
      </c>
      <c r="L15" s="78"/>
      <c r="M15" s="78"/>
      <c r="N15" s="78"/>
    </row>
    <row r="16" spans="1:70">
      <c r="A16" s="72">
        <v>2.6415990111699488E-3</v>
      </c>
      <c r="B16" s="73">
        <v>0.17279327683074236</v>
      </c>
      <c r="D16" s="78"/>
      <c r="E16" s="75" t="s">
        <v>542</v>
      </c>
      <c r="F16" s="75">
        <v>1.7921028584885396E-2</v>
      </c>
      <c r="G16" s="75">
        <v>2</v>
      </c>
      <c r="H16" s="75">
        <v>8.9605142924426978E-3</v>
      </c>
      <c r="I16" s="75">
        <v>1.3162051718484131</v>
      </c>
      <c r="J16" s="75">
        <v>0.28319235080170313</v>
      </c>
      <c r="K16" s="75">
        <v>3.3158295010135221</v>
      </c>
      <c r="L16" s="78"/>
      <c r="M16" s="78"/>
      <c r="N16" s="78"/>
    </row>
    <row r="17" spans="1:14">
      <c r="A17" s="72">
        <v>7.2277925203511279E-3</v>
      </c>
      <c r="B17" s="73">
        <v>1.4783464487391695E-3</v>
      </c>
      <c r="D17" s="78"/>
      <c r="E17" s="75" t="s">
        <v>543</v>
      </c>
      <c r="F17" s="75">
        <v>0.20423520171689488</v>
      </c>
      <c r="G17" s="75">
        <v>30</v>
      </c>
      <c r="H17" s="75">
        <v>6.8078400572298293E-3</v>
      </c>
      <c r="I17" s="75"/>
      <c r="J17" s="75"/>
      <c r="K17" s="75"/>
      <c r="L17" s="78"/>
      <c r="M17" s="78"/>
      <c r="N17" s="78"/>
    </row>
    <row r="18" spans="1:14">
      <c r="A18" s="80"/>
      <c r="B18" s="73">
        <v>3.2194988394834118E-2</v>
      </c>
      <c r="D18" s="78"/>
      <c r="E18" s="75"/>
      <c r="F18" s="75"/>
      <c r="G18" s="75"/>
      <c r="H18" s="75"/>
      <c r="I18" s="75"/>
      <c r="J18" s="75"/>
      <c r="K18" s="75"/>
      <c r="L18" s="78"/>
      <c r="M18" s="78"/>
      <c r="N18" s="78"/>
    </row>
    <row r="19" spans="1:14" ht="15" thickBot="1">
      <c r="B19" s="73">
        <v>3.726759555294018E-2</v>
      </c>
      <c r="D19" s="78"/>
      <c r="E19" s="76" t="s">
        <v>139</v>
      </c>
      <c r="F19" s="76">
        <v>0.22215623030178028</v>
      </c>
      <c r="G19" s="76">
        <v>32</v>
      </c>
      <c r="H19" s="76"/>
      <c r="I19" s="76"/>
      <c r="J19" s="76"/>
      <c r="K19" s="76"/>
      <c r="L19" s="78"/>
      <c r="M19" s="78"/>
      <c r="N19" s="78"/>
    </row>
    <row r="20" spans="1:14" s="6" customFormat="1">
      <c r="A20" s="80"/>
      <c r="B20" s="73">
        <v>5.4713786E-2</v>
      </c>
      <c r="D20" s="78"/>
      <c r="E20" s="75"/>
      <c r="F20" s="75"/>
      <c r="G20" s="75"/>
      <c r="H20" s="75"/>
      <c r="I20" s="75"/>
      <c r="J20" s="75"/>
      <c r="K20" s="75"/>
      <c r="L20" s="78"/>
      <c r="M20" s="78"/>
      <c r="N20" s="78"/>
    </row>
    <row r="21" spans="1:14" s="6" customFormat="1">
      <c r="A21" s="80"/>
      <c r="B21" s="73">
        <v>0.22808679473339943</v>
      </c>
      <c r="D21" s="78"/>
      <c r="E21" s="75"/>
      <c r="F21" s="75"/>
      <c r="G21" s="75"/>
      <c r="H21" s="75"/>
      <c r="I21" s="75"/>
      <c r="J21" s="75"/>
      <c r="K21" s="75"/>
      <c r="L21" s="78"/>
      <c r="M21" s="78"/>
      <c r="N21" s="78"/>
    </row>
    <row r="22" spans="1:14">
      <c r="D22" s="78"/>
      <c r="E22" s="75"/>
      <c r="F22" s="75"/>
      <c r="G22" s="75"/>
      <c r="H22" s="75"/>
      <c r="I22" s="75"/>
      <c r="J22" s="75"/>
      <c r="K22" s="75"/>
      <c r="L22" s="78"/>
      <c r="M22" s="78"/>
      <c r="N22" s="78"/>
    </row>
    <row r="23" spans="1:14">
      <c r="A23" s="101" t="s">
        <v>152</v>
      </c>
      <c r="B23" s="101"/>
      <c r="C23" s="101"/>
      <c r="D23" s="78"/>
      <c r="E23" t="s">
        <v>524</v>
      </c>
      <c r="L23" s="78"/>
      <c r="M23" s="78"/>
      <c r="N23" s="78"/>
    </row>
    <row r="24" spans="1:14">
      <c r="C24" s="6"/>
      <c r="D24" s="78"/>
      <c r="L24" s="78"/>
      <c r="M24" s="78"/>
      <c r="N24" s="78"/>
    </row>
    <row r="25" spans="1:14" ht="15" thickBot="1">
      <c r="A25" s="72">
        <v>-0.14646031082475128</v>
      </c>
      <c r="B25" s="73">
        <v>0.19439893230603378</v>
      </c>
      <c r="C25" s="74">
        <v>-0.39894898939344675</v>
      </c>
      <c r="D25" s="78"/>
      <c r="E25" t="s">
        <v>525</v>
      </c>
      <c r="L25" s="78"/>
      <c r="M25" s="78"/>
      <c r="N25" s="78"/>
    </row>
    <row r="26" spans="1:14">
      <c r="A26" s="72">
        <v>-0.5659700514480267</v>
      </c>
      <c r="B26" s="73">
        <v>0.13219702444629061</v>
      </c>
      <c r="C26" s="74">
        <v>-5.8950896203372738E-3</v>
      </c>
      <c r="D26" s="78"/>
      <c r="E26" s="77" t="s">
        <v>526</v>
      </c>
      <c r="F26" s="77" t="s">
        <v>527</v>
      </c>
      <c r="G26" s="77" t="s">
        <v>528</v>
      </c>
      <c r="H26" s="77" t="s">
        <v>529</v>
      </c>
      <c r="I26" s="77" t="s">
        <v>530</v>
      </c>
      <c r="L26" s="78"/>
      <c r="M26" s="78"/>
      <c r="N26" s="78"/>
    </row>
    <row r="27" spans="1:14">
      <c r="A27" s="72">
        <v>-0.17203153243522992</v>
      </c>
      <c r="B27" s="73">
        <v>4.6301061157898449E-2</v>
      </c>
      <c r="C27" s="74">
        <v>0.13865979329358685</v>
      </c>
      <c r="D27" s="78"/>
      <c r="E27" s="75" t="s">
        <v>531</v>
      </c>
      <c r="F27" s="75">
        <v>11</v>
      </c>
      <c r="G27" s="75">
        <v>0.94482065006583593</v>
      </c>
      <c r="H27" s="75">
        <v>8.5892786369621443E-2</v>
      </c>
      <c r="I27" s="75">
        <v>0.31866823115287868</v>
      </c>
      <c r="L27" s="78"/>
      <c r="M27" s="78"/>
      <c r="N27" s="78"/>
    </row>
    <row r="28" spans="1:14">
      <c r="A28" s="72">
        <v>7.6777778147786302E-2</v>
      </c>
      <c r="B28" s="73">
        <v>-0.1348340212298593</v>
      </c>
      <c r="C28" s="74">
        <v>0.52659964379900215</v>
      </c>
      <c r="D28" s="78"/>
      <c r="E28" s="75" t="s">
        <v>532</v>
      </c>
      <c r="F28" s="75">
        <v>15</v>
      </c>
      <c r="G28" s="75">
        <v>2.0306777495132988E-2</v>
      </c>
      <c r="H28" s="75">
        <v>1.3537851663421993E-3</v>
      </c>
      <c r="I28" s="75">
        <v>9.7649511922676804E-2</v>
      </c>
      <c r="L28" s="78"/>
      <c r="M28" s="78"/>
      <c r="N28" s="78"/>
    </row>
    <row r="29" spans="1:14" ht="15" thickBot="1">
      <c r="A29" s="72">
        <v>0.89433757490419508</v>
      </c>
      <c r="B29" s="73">
        <v>-0.13092850882691559</v>
      </c>
      <c r="C29" s="74">
        <v>8.0559701147476195E-2</v>
      </c>
      <c r="D29" s="78"/>
      <c r="E29" s="76" t="s">
        <v>533</v>
      </c>
      <c r="F29" s="76">
        <v>7</v>
      </c>
      <c r="G29" s="76">
        <v>0.50468676713646854</v>
      </c>
      <c r="H29" s="76">
        <v>7.2098109590924081E-2</v>
      </c>
      <c r="I29" s="76">
        <v>7.4476789899279583E-2</v>
      </c>
      <c r="L29" s="78"/>
      <c r="M29" s="78"/>
      <c r="N29" s="78"/>
    </row>
    <row r="30" spans="1:14">
      <c r="A30" s="72">
        <v>-0.35762647416533166</v>
      </c>
      <c r="B30" s="73">
        <v>8.0963259767321744E-2</v>
      </c>
      <c r="C30" s="74">
        <v>0.1436146703063865</v>
      </c>
      <c r="D30" s="78"/>
      <c r="L30" s="78"/>
      <c r="M30" s="78"/>
      <c r="N30" s="78"/>
    </row>
    <row r="31" spans="1:14">
      <c r="A31" s="72">
        <v>1.3831823928632025</v>
      </c>
      <c r="B31" s="73">
        <v>-6.0248166814755505E-2</v>
      </c>
      <c r="C31" s="74">
        <v>2.0097037603800827E-2</v>
      </c>
      <c r="D31" s="78"/>
      <c r="L31" s="78"/>
      <c r="M31" s="78"/>
      <c r="N31" s="78"/>
    </row>
    <row r="32" spans="1:14" ht="15" thickBot="1">
      <c r="A32" s="72">
        <v>7.0754974018034655E-3</v>
      </c>
      <c r="B32" s="73">
        <v>-0.36793829476756301</v>
      </c>
      <c r="D32" s="78"/>
      <c r="E32" t="s">
        <v>534</v>
      </c>
      <c r="L32" s="78"/>
      <c r="M32" s="78"/>
      <c r="N32" s="78"/>
    </row>
    <row r="33" spans="1:14">
      <c r="A33" s="72">
        <v>-0.21407510450419368</v>
      </c>
      <c r="B33" s="73">
        <v>0.12193464939028266</v>
      </c>
      <c r="D33" s="78"/>
      <c r="E33" s="77" t="s">
        <v>535</v>
      </c>
      <c r="F33" s="77" t="s">
        <v>536</v>
      </c>
      <c r="G33" s="77" t="s">
        <v>537</v>
      </c>
      <c r="H33" s="77" t="s">
        <v>538</v>
      </c>
      <c r="I33" s="77" t="s">
        <v>539</v>
      </c>
      <c r="J33" s="77" t="s">
        <v>540</v>
      </c>
      <c r="K33" s="77" t="s">
        <v>541</v>
      </c>
      <c r="L33" s="78"/>
      <c r="M33" s="78"/>
      <c r="N33" s="78"/>
    </row>
    <row r="34" spans="1:14">
      <c r="A34" s="72">
        <v>-1.8798600203557798E-2</v>
      </c>
      <c r="B34" s="73">
        <v>-0.29786486012401081</v>
      </c>
      <c r="D34" s="78"/>
      <c r="E34" s="75" t="s">
        <v>542</v>
      </c>
      <c r="F34" s="75">
        <v>5.2102465449285873E-2</v>
      </c>
      <c r="G34" s="75">
        <v>2</v>
      </c>
      <c r="H34" s="75">
        <v>2.6051232724642936E-2</v>
      </c>
      <c r="I34" s="75">
        <v>0.1562875097674204</v>
      </c>
      <c r="J34" s="75">
        <v>0.85600511400267676</v>
      </c>
      <c r="K34" s="75">
        <v>3.3158295010135221</v>
      </c>
      <c r="L34" s="78"/>
      <c r="M34" s="78"/>
      <c r="N34" s="78"/>
    </row>
    <row r="35" spans="1:14">
      <c r="A35" s="72">
        <v>5.8409480329939562E-2</v>
      </c>
      <c r="B35" s="73">
        <v>-0.76226444264595006</v>
      </c>
      <c r="D35" s="78"/>
      <c r="E35" s="75" t="s">
        <v>543</v>
      </c>
      <c r="F35" s="75">
        <v>5.0006362178419383</v>
      </c>
      <c r="G35" s="75">
        <v>30</v>
      </c>
      <c r="H35" s="75">
        <v>0.16668787392806461</v>
      </c>
      <c r="I35" s="75"/>
      <c r="J35" s="75"/>
      <c r="K35" s="75"/>
      <c r="L35" s="78"/>
      <c r="M35" s="78"/>
      <c r="N35" s="78"/>
    </row>
    <row r="36" spans="1:14">
      <c r="A36" s="80"/>
      <c r="B36" s="73">
        <v>0.1991022069532333</v>
      </c>
      <c r="D36" s="78"/>
      <c r="E36" s="75"/>
      <c r="F36" s="75"/>
      <c r="G36" s="75"/>
      <c r="H36" s="75"/>
      <c r="I36" s="75"/>
      <c r="J36" s="75"/>
      <c r="K36" s="75"/>
      <c r="L36" s="78"/>
      <c r="M36" s="78"/>
      <c r="N36" s="78"/>
    </row>
    <row r="37" spans="1:14" ht="15" thickBot="1">
      <c r="B37" s="73">
        <v>0.11597241946537699</v>
      </c>
      <c r="D37" s="78"/>
      <c r="E37" s="76" t="s">
        <v>139</v>
      </c>
      <c r="F37" s="76">
        <v>5.0527386832912242</v>
      </c>
      <c r="G37" s="76">
        <v>32</v>
      </c>
      <c r="H37" s="76"/>
      <c r="I37" s="76"/>
      <c r="J37" s="76"/>
      <c r="K37" s="76"/>
      <c r="L37" s="78"/>
      <c r="M37" s="78"/>
      <c r="N37" s="78"/>
    </row>
    <row r="38" spans="1:14">
      <c r="B38" s="73">
        <v>0.42183085100000001</v>
      </c>
      <c r="D38" s="78"/>
      <c r="E38" s="78"/>
      <c r="F38" s="78"/>
      <c r="G38" s="78"/>
      <c r="H38" s="78"/>
      <c r="I38" s="78"/>
      <c r="J38" s="78"/>
      <c r="K38" s="78"/>
      <c r="L38" s="78"/>
      <c r="M38" s="78"/>
      <c r="N38" s="78"/>
    </row>
    <row r="39" spans="1:14">
      <c r="B39" s="73">
        <v>0.46168466741774966</v>
      </c>
      <c r="D39" s="78"/>
      <c r="E39" s="78"/>
      <c r="F39" s="78"/>
      <c r="G39" s="78"/>
      <c r="H39" s="78"/>
      <c r="I39" s="78"/>
      <c r="J39" s="78"/>
      <c r="K39" s="78"/>
      <c r="L39" s="78"/>
      <c r="M39" s="78"/>
      <c r="N39" s="78"/>
    </row>
    <row r="40" spans="1:14">
      <c r="D40" s="78"/>
      <c r="E40" s="78"/>
      <c r="F40" s="78"/>
      <c r="G40" s="78"/>
      <c r="H40" s="78"/>
      <c r="I40" s="78"/>
      <c r="J40" s="78"/>
      <c r="K40" s="78"/>
      <c r="L40" s="78"/>
      <c r="M40" s="78"/>
      <c r="N40" s="78"/>
    </row>
    <row r="41" spans="1:14">
      <c r="D41" s="78"/>
      <c r="E41" s="78"/>
      <c r="F41" s="78"/>
      <c r="G41" s="78"/>
      <c r="H41" s="78"/>
      <c r="I41" s="78"/>
      <c r="J41" s="78"/>
      <c r="K41" s="78"/>
      <c r="L41" s="78"/>
      <c r="M41" s="78"/>
      <c r="N41" s="78"/>
    </row>
    <row r="42" spans="1:14">
      <c r="D42" s="78"/>
      <c r="E42" s="78"/>
      <c r="F42" s="78"/>
      <c r="G42" s="78"/>
      <c r="H42" s="78"/>
      <c r="I42" s="78"/>
      <c r="J42" s="78"/>
      <c r="K42" s="78"/>
      <c r="L42" s="78"/>
      <c r="M42" s="78"/>
      <c r="N42" s="78"/>
    </row>
  </sheetData>
  <mergeCells count="36">
    <mergeCell ref="BO1:BP1"/>
    <mergeCell ref="AY1:AZ1"/>
    <mergeCell ref="BA1:BB1"/>
    <mergeCell ref="BC1:BD1"/>
    <mergeCell ref="BG1:BH1"/>
    <mergeCell ref="BI1:BJ1"/>
    <mergeCell ref="BM1:BN1"/>
    <mergeCell ref="BK1:BL1"/>
    <mergeCell ref="BE1:BF1"/>
    <mergeCell ref="AO1:AP1"/>
    <mergeCell ref="AQ1:AR1"/>
    <mergeCell ref="AA1:AB1"/>
    <mergeCell ref="AC1:AD1"/>
    <mergeCell ref="AE1:AF1"/>
    <mergeCell ref="AG1:AH1"/>
    <mergeCell ref="A5:C5"/>
    <mergeCell ref="U1:V1"/>
    <mergeCell ref="W1:X1"/>
    <mergeCell ref="Y1:Z1"/>
    <mergeCell ref="AM1:AN1"/>
    <mergeCell ref="AW1:AX1"/>
    <mergeCell ref="A23:C23"/>
    <mergeCell ref="A1:B1"/>
    <mergeCell ref="C1:D1"/>
    <mergeCell ref="E1:F1"/>
    <mergeCell ref="S1:T1"/>
    <mergeCell ref="Q1:R1"/>
    <mergeCell ref="G1:H1"/>
    <mergeCell ref="I1:J1"/>
    <mergeCell ref="K1:L1"/>
    <mergeCell ref="M1:N1"/>
    <mergeCell ref="O1:P1"/>
    <mergeCell ref="AU1:AV1"/>
    <mergeCell ref="AI1:AJ1"/>
    <mergeCell ref="AK1:AL1"/>
    <mergeCell ref="AS1:AT1"/>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3"/>
  <sheetViews>
    <sheetView zoomScale="80" zoomScaleNormal="80" workbookViewId="0">
      <selection activeCell="F1" sqref="F1:U1"/>
    </sheetView>
  </sheetViews>
  <sheetFormatPr defaultRowHeight="14.5"/>
  <cols>
    <col min="1" max="1" width="19.1796875" style="6" customWidth="1"/>
    <col min="2" max="2" width="11.1796875" style="6" customWidth="1"/>
    <col min="3" max="3" width="7.26953125" style="6" customWidth="1"/>
    <col min="4" max="16" width="8.7265625" style="6"/>
    <col min="17" max="17" width="13.26953125" style="6" customWidth="1"/>
    <col min="18" max="19" width="12.54296875" style="6" customWidth="1"/>
    <col min="20" max="20" width="17.90625" style="6" customWidth="1"/>
    <col min="21" max="22" width="20" style="6" customWidth="1"/>
    <col min="23" max="24" width="11.90625" style="6" customWidth="1"/>
    <col min="25" max="25" width="13.81640625" style="6" customWidth="1"/>
    <col min="26" max="26" width="18.36328125" style="6" customWidth="1"/>
    <col min="27" max="30" width="8.7265625" style="6"/>
    <col min="31" max="31" width="11" style="6" customWidth="1"/>
    <col min="32" max="32" width="12.1796875" style="6" customWidth="1"/>
    <col min="33" max="33" width="27.08984375" style="6" customWidth="1"/>
    <col min="34" max="16384" width="8.7265625" style="6"/>
  </cols>
  <sheetData>
    <row r="1" spans="1:33">
      <c r="F1" s="107" t="s">
        <v>195</v>
      </c>
      <c r="G1" s="107"/>
      <c r="H1" s="107"/>
      <c r="I1" s="107"/>
      <c r="J1" s="107"/>
      <c r="K1" s="107"/>
      <c r="L1" s="107"/>
      <c r="M1" s="107"/>
      <c r="N1" s="107"/>
      <c r="O1" s="107"/>
      <c r="P1" s="107"/>
      <c r="Q1" s="107"/>
      <c r="R1" s="107"/>
      <c r="S1" s="107"/>
      <c r="T1" s="107"/>
      <c r="U1" s="107"/>
    </row>
    <row r="2" spans="1:33">
      <c r="A2" s="1" t="s">
        <v>58</v>
      </c>
      <c r="B2" s="1" t="s">
        <v>18</v>
      </c>
      <c r="C2" s="1" t="s">
        <v>1</v>
      </c>
      <c r="D2" s="1" t="s">
        <v>2</v>
      </c>
      <c r="E2" s="1" t="s">
        <v>3</v>
      </c>
      <c r="F2" s="1" t="s">
        <v>48</v>
      </c>
      <c r="G2" s="1" t="s">
        <v>49</v>
      </c>
      <c r="H2" s="1" t="s">
        <v>50</v>
      </c>
      <c r="I2" s="1" t="s">
        <v>4</v>
      </c>
      <c r="J2" s="1" t="s">
        <v>5</v>
      </c>
      <c r="K2" s="1" t="s">
        <v>6</v>
      </c>
      <c r="L2" s="1" t="s">
        <v>45</v>
      </c>
      <c r="M2" s="1" t="s">
        <v>46</v>
      </c>
      <c r="N2" s="1" t="s">
        <v>47</v>
      </c>
      <c r="O2" s="1" t="s">
        <v>51</v>
      </c>
      <c r="P2" s="1" t="s">
        <v>52</v>
      </c>
      <c r="Q2" s="1" t="s">
        <v>7</v>
      </c>
      <c r="R2" s="1" t="s">
        <v>8</v>
      </c>
      <c r="S2" s="1" t="s">
        <v>9</v>
      </c>
      <c r="T2" s="1" t="s">
        <v>10</v>
      </c>
      <c r="U2" s="1" t="s">
        <v>11</v>
      </c>
      <c r="V2" s="1" t="s">
        <v>12</v>
      </c>
      <c r="W2" s="1" t="s">
        <v>13</v>
      </c>
      <c r="X2" s="1" t="s">
        <v>14</v>
      </c>
      <c r="Y2" s="1" t="s">
        <v>15</v>
      </c>
      <c r="Z2" s="1" t="s">
        <v>460</v>
      </c>
      <c r="AA2" s="1" t="s">
        <v>16</v>
      </c>
      <c r="AB2" s="1" t="s">
        <v>17</v>
      </c>
      <c r="AC2" s="1" t="s">
        <v>107</v>
      </c>
      <c r="AD2" s="1" t="s">
        <v>459</v>
      </c>
      <c r="AE2" s="1" t="s">
        <v>461</v>
      </c>
      <c r="AF2" s="1" t="s">
        <v>462</v>
      </c>
      <c r="AG2" s="1"/>
    </row>
    <row r="3" spans="1:33">
      <c r="A3" s="6">
        <v>640</v>
      </c>
      <c r="B3" s="6">
        <v>0</v>
      </c>
      <c r="C3" s="34">
        <v>9.0377358490566024</v>
      </c>
      <c r="D3" s="34">
        <v>5.2333333333333334</v>
      </c>
      <c r="E3" s="34">
        <v>1.4847869999999999</v>
      </c>
      <c r="F3" s="34">
        <v>5.3566433566433576</v>
      </c>
      <c r="G3" s="34">
        <v>0.27710843373493982</v>
      </c>
      <c r="H3" s="34">
        <v>0.56756756756756754</v>
      </c>
      <c r="I3" s="3">
        <f t="shared" ref="I3:I9" si="0">C3*26.98/101.96</f>
        <v>2.3915075834400468</v>
      </c>
      <c r="J3" s="3">
        <f t="shared" ref="J3:J9" si="1">D3*24.305/40.3044</f>
        <v>3.1558878600516733</v>
      </c>
      <c r="K3" s="6">
        <f t="shared" ref="K3:K9" si="2">E3*47.867/79.866</f>
        <v>0.88989431458943713</v>
      </c>
      <c r="L3" s="6">
        <f t="shared" ref="L3:L9" si="3">F3*40.078/56.0774</f>
        <v>3.8283435474460745</v>
      </c>
      <c r="M3" s="6">
        <f t="shared" ref="M3:M9" si="4">G3*39.0983/94.2</f>
        <v>0.1150155910265265</v>
      </c>
      <c r="N3" s="6">
        <f t="shared" ref="N3:N9" si="5">H3*22.989769/61.9789</f>
        <v>0.21052724830983235</v>
      </c>
      <c r="O3" s="6">
        <f t="shared" ref="O3:O8" si="6">100*(I3/(I3+L3+M3+N3))</f>
        <v>36.537259549538746</v>
      </c>
      <c r="P3" s="6">
        <f t="shared" ref="P3:P8" si="7">100*(I3/(I3+L3+N3))</f>
        <v>37.190775447635133</v>
      </c>
      <c r="Q3" s="6">
        <f>(I3/I9-1)*100</f>
        <v>-21.274077969890225</v>
      </c>
      <c r="R3" s="6">
        <f>(J3/J9-1)*100</f>
        <v>-52.250608272506092</v>
      </c>
      <c r="S3" s="6">
        <f>(K3/K9-1)*100</f>
        <v>-20.599625668449217</v>
      </c>
      <c r="T3" s="6">
        <f t="shared" ref="T3:T8" si="8">R3/-0.13</f>
        <v>401.92775594235457</v>
      </c>
      <c r="U3" s="6">
        <f t="shared" ref="U3:U8" si="9">T3*0.0018</f>
        <v>0.72346996069623815</v>
      </c>
      <c r="V3" s="6">
        <f t="shared" ref="V3:V8" si="10">T3*0.00015</f>
        <v>6.0289163391353179E-2</v>
      </c>
      <c r="W3" s="6">
        <f>I9*(100-U3)/100</f>
        <v>3.0157865201731635</v>
      </c>
      <c r="X3" s="6">
        <f>K9*(100-V3)/100</f>
        <v>1.1200927101910474</v>
      </c>
      <c r="Y3" s="6">
        <f t="shared" ref="Y3:Y8" si="11">W3/X3</f>
        <v>2.6924436635774365</v>
      </c>
      <c r="Z3" s="6">
        <f>Y3/AA9-1</f>
        <v>-6.6358086465660993E-3</v>
      </c>
      <c r="AA3" s="3">
        <f t="shared" ref="AA3:AA9" si="12">I3/K3</f>
        <v>2.6874062955929729</v>
      </c>
      <c r="AB3" s="3">
        <f t="shared" ref="AB3:AB9" si="13">J3/K3</f>
        <v>3.546362538014054</v>
      </c>
      <c r="AC3" s="3">
        <f>L3/K3</f>
        <v>4.3020204587016879</v>
      </c>
      <c r="AD3" s="6">
        <f>AA3/AA9-1</f>
        <v>-8.4943214326006489E-3</v>
      </c>
      <c r="AE3" s="6">
        <f>AB3/AB9-1</f>
        <v>-0.39862510561842446</v>
      </c>
      <c r="AF3" s="6">
        <f>AC3/AC9-1</f>
        <v>-0.33204253399875394</v>
      </c>
      <c r="AG3" s="3"/>
    </row>
    <row r="4" spans="1:33">
      <c r="A4" s="6">
        <v>640</v>
      </c>
      <c r="B4" s="6">
        <v>8</v>
      </c>
      <c r="C4" s="34">
        <v>12.905660377358489</v>
      </c>
      <c r="D4" s="34">
        <v>5.9666666666666668</v>
      </c>
      <c r="E4" s="34">
        <v>2.152107</v>
      </c>
      <c r="F4" s="34">
        <v>6.7132867132867142</v>
      </c>
      <c r="G4" s="34">
        <v>0.35</v>
      </c>
      <c r="H4" s="34">
        <v>0.6216216216216216</v>
      </c>
      <c r="I4" s="3">
        <f t="shared" si="0"/>
        <v>3.4150129166450771</v>
      </c>
      <c r="J4" s="3">
        <f t="shared" si="1"/>
        <v>3.5981141843901243</v>
      </c>
      <c r="K4" s="6">
        <f t="shared" si="2"/>
        <v>1.2898468155285101</v>
      </c>
      <c r="L4" s="6">
        <f t="shared" si="3"/>
        <v>4.7979240281308506</v>
      </c>
      <c r="M4" s="6">
        <f t="shared" si="4"/>
        <v>0.14526969214437366</v>
      </c>
      <c r="N4" s="6">
        <f t="shared" si="5"/>
        <v>0.2305774624345783</v>
      </c>
      <c r="O4" s="6">
        <f t="shared" si="6"/>
        <v>39.76130820312023</v>
      </c>
      <c r="P4" s="6">
        <f t="shared" si="7"/>
        <v>40.445396927714832</v>
      </c>
      <c r="Q4" s="6">
        <f>(I4/I9-1)*100</f>
        <v>12.418644402077405</v>
      </c>
      <c r="R4" s="6">
        <f>(J4/J9-1)*100</f>
        <v>-45.559610705596107</v>
      </c>
      <c r="S4" s="6">
        <f>(K4/K9-1)*100</f>
        <v>15.085935828876984</v>
      </c>
      <c r="T4" s="6">
        <f t="shared" si="8"/>
        <v>350.45854388920083</v>
      </c>
      <c r="U4" s="6">
        <f t="shared" si="9"/>
        <v>0.63082537900056146</v>
      </c>
      <c r="V4" s="6">
        <f t="shared" si="10"/>
        <v>5.2568781583380117E-2</v>
      </c>
      <c r="W4" s="6">
        <f>I9*(100-U4)/100</f>
        <v>3.0186008437653995</v>
      </c>
      <c r="X4" s="6">
        <f>K9*(100-V4)/100</f>
        <v>1.120179237791644</v>
      </c>
      <c r="Y4" s="6">
        <f t="shared" si="11"/>
        <v>2.694748074171025</v>
      </c>
      <c r="Z4" s="6">
        <f>Y4/AA9-1</f>
        <v>-5.7856073974879019E-3</v>
      </c>
      <c r="AA4" s="3">
        <f t="shared" si="12"/>
        <v>2.6476112322266641</v>
      </c>
      <c r="AB4" s="3">
        <f t="shared" si="13"/>
        <v>2.7895670563917392</v>
      </c>
      <c r="AC4" s="3">
        <f t="shared" ref="AC4:AC43" si="14">L4/K4</f>
        <v>3.7197626651230817</v>
      </c>
      <c r="AD4" s="6">
        <f>AA4/AA9-1</f>
        <v>-2.3176519420805675E-2</v>
      </c>
      <c r="AE4" s="6">
        <f>AB4/AB9-1</f>
        <v>-0.52695879907209409</v>
      </c>
      <c r="AF4" s="6">
        <f>AC4/AC9-1</f>
        <v>-0.42244736681900885</v>
      </c>
    </row>
    <row r="5" spans="1:33">
      <c r="A5" s="6">
        <v>640</v>
      </c>
      <c r="B5" s="6">
        <v>28</v>
      </c>
      <c r="C5" s="34">
        <v>13.490566037735848</v>
      </c>
      <c r="D5" s="34">
        <v>3.833333333333333</v>
      </c>
      <c r="E5" s="34">
        <v>2.235522</v>
      </c>
      <c r="F5" s="34">
        <v>6.5594405594405609</v>
      </c>
      <c r="G5" s="34">
        <v>0.27710843373493982</v>
      </c>
      <c r="H5" s="34">
        <v>0.6216216216216216</v>
      </c>
      <c r="I5" s="3">
        <f t="shared" si="0"/>
        <v>3.5697868938614472</v>
      </c>
      <c r="J5" s="3">
        <f t="shared" si="1"/>
        <v>2.3116376044964482</v>
      </c>
      <c r="K5" s="6">
        <f t="shared" si="2"/>
        <v>1.3398408781458944</v>
      </c>
      <c r="L5" s="6">
        <f t="shared" si="3"/>
        <v>4.6879716024861855</v>
      </c>
      <c r="M5" s="6">
        <f t="shared" si="4"/>
        <v>0.1150155910265265</v>
      </c>
      <c r="N5" s="6">
        <f t="shared" si="5"/>
        <v>0.2305774624345783</v>
      </c>
      <c r="O5" s="6">
        <f t="shared" si="6"/>
        <v>41.492979488218261</v>
      </c>
      <c r="P5" s="6">
        <f t="shared" si="7"/>
        <v>42.055202706345177</v>
      </c>
      <c r="Q5" s="6">
        <f>(I5/I9-1)*100</f>
        <v>17.51364144369203</v>
      </c>
      <c r="R5" s="6">
        <f>(J5/J9-1)*100</f>
        <v>-65.024330900243314</v>
      </c>
      <c r="S5" s="6">
        <f>(K5/K9-1)*100</f>
        <v>19.54663101604277</v>
      </c>
      <c r="T5" s="6">
        <f t="shared" si="8"/>
        <v>500.18716077110241</v>
      </c>
      <c r="U5" s="6">
        <f t="shared" si="9"/>
        <v>0.90033688938798428</v>
      </c>
      <c r="V5" s="6">
        <f t="shared" si="10"/>
        <v>7.5028074115665352E-2</v>
      </c>
      <c r="W5" s="6">
        <f>I9*(100-U5)/100</f>
        <v>3.0104137205879864</v>
      </c>
      <c r="X5" s="6">
        <f>K9*(100-V5)/100</f>
        <v>1.1199275211353632</v>
      </c>
      <c r="Y5" s="6">
        <f t="shared" si="11"/>
        <v>2.6880433454622858</v>
      </c>
      <c r="Z5" s="6">
        <f>Y5/AA9-1</f>
        <v>-8.2592849351457165E-3</v>
      </c>
      <c r="AA5" s="3">
        <f t="shared" si="12"/>
        <v>2.6643364537447227</v>
      </c>
      <c r="AB5" s="3">
        <f t="shared" si="13"/>
        <v>1.7253075661457282</v>
      </c>
      <c r="AC5" s="3">
        <f t="shared" si="14"/>
        <v>3.4989017568813985</v>
      </c>
      <c r="AD5" s="6">
        <f>AA5/AA9-1</f>
        <v>-1.700582906496062E-2</v>
      </c>
      <c r="AE5" s="6">
        <f>AB5/AB9-1</f>
        <v>-0.70743074227609926</v>
      </c>
      <c r="AF5" s="6">
        <f>AC5/AC9-1</f>
        <v>-0.45673955441413017</v>
      </c>
    </row>
    <row r="6" spans="1:33">
      <c r="A6" s="6">
        <v>640</v>
      </c>
      <c r="B6" s="6">
        <v>43</v>
      </c>
      <c r="C6" s="34">
        <v>15.169811320754715</v>
      </c>
      <c r="D6" s="34">
        <v>3.8666666666666667</v>
      </c>
      <c r="E6" s="34">
        <v>2.5024499999999996</v>
      </c>
      <c r="F6" s="34">
        <v>6.7272727272727275</v>
      </c>
      <c r="G6" s="34">
        <v>0.31325301204819284</v>
      </c>
      <c r="H6" s="34">
        <v>0.71621621621621623</v>
      </c>
      <c r="I6" s="3">
        <f t="shared" si="0"/>
        <v>4.0141379897407043</v>
      </c>
      <c r="J6" s="3">
        <f t="shared" si="1"/>
        <v>2.3317388010572873</v>
      </c>
      <c r="K6" s="6">
        <f t="shared" si="2"/>
        <v>1.4998218785215232</v>
      </c>
      <c r="L6" s="6">
        <f t="shared" si="3"/>
        <v>4.8079197031894561</v>
      </c>
      <c r="M6" s="6">
        <f t="shared" si="4"/>
        <v>0.13001762463868213</v>
      </c>
      <c r="N6" s="6">
        <f t="shared" si="5"/>
        <v>0.26566533715288371</v>
      </c>
      <c r="O6" s="6">
        <f t="shared" si="6"/>
        <v>43.547959745260229</v>
      </c>
      <c r="P6" s="6">
        <f t="shared" si="7"/>
        <v>44.170998350771953</v>
      </c>
      <c r="Q6" s="6">
        <f>(I6/I9-1)*100</f>
        <v>32.141213595424325</v>
      </c>
      <c r="R6" s="6">
        <f>(J6/J9-1)*100</f>
        <v>-64.72019464720195</v>
      </c>
      <c r="S6" s="6">
        <f>(K6/K9-1)*100</f>
        <v>33.820855614973212</v>
      </c>
      <c r="T6" s="6">
        <f t="shared" si="8"/>
        <v>497.84765113232265</v>
      </c>
      <c r="U6" s="6">
        <f t="shared" si="9"/>
        <v>0.89612577203818078</v>
      </c>
      <c r="V6" s="6">
        <f t="shared" si="10"/>
        <v>7.4677147669848398E-2</v>
      </c>
      <c r="W6" s="6">
        <f>I9*(100-U6)/100</f>
        <v>3.0105416443876338</v>
      </c>
      <c r="X6" s="6">
        <f>K9*(100-V6)/100</f>
        <v>1.1199314542081176</v>
      </c>
      <c r="Y6" s="6">
        <f t="shared" si="11"/>
        <v>2.6881481300266996</v>
      </c>
      <c r="Z6" s="6">
        <f>Y6/AA9-1</f>
        <v>-8.2206251720824408E-3</v>
      </c>
      <c r="AA6" s="3">
        <f t="shared" si="12"/>
        <v>2.6764098105421121</v>
      </c>
      <c r="AB6" s="3">
        <f t="shared" si="13"/>
        <v>1.5546771482996644</v>
      </c>
      <c r="AC6" s="3">
        <f t="shared" si="14"/>
        <v>3.2056604667808624</v>
      </c>
      <c r="AD6" s="6">
        <f>AA6/AA9-1</f>
        <v>-1.2551421912751271E-2</v>
      </c>
      <c r="AE6" s="6">
        <f>AB6/AB9-1</f>
        <v>-0.73636541785157594</v>
      </c>
      <c r="AF6" s="6">
        <f>AC6/AC9-1</f>
        <v>-0.50226995366323168</v>
      </c>
    </row>
    <row r="7" spans="1:33">
      <c r="A7" s="6">
        <v>640</v>
      </c>
      <c r="B7" s="6">
        <v>61</v>
      </c>
      <c r="C7" s="34">
        <v>15.339622641509434</v>
      </c>
      <c r="D7" s="34">
        <v>4</v>
      </c>
      <c r="E7" s="34">
        <v>2.5858650000000001</v>
      </c>
      <c r="F7" s="34">
        <v>5.4265734265734267</v>
      </c>
      <c r="G7" s="34">
        <v>0.33734939759036153</v>
      </c>
      <c r="H7" s="34">
        <v>0.93243243243243235</v>
      </c>
      <c r="I7" s="3">
        <f t="shared" si="0"/>
        <v>4.0590723702228777</v>
      </c>
      <c r="J7" s="3">
        <f t="shared" si="1"/>
        <v>2.4121435873006418</v>
      </c>
      <c r="K7" s="6">
        <f t="shared" si="2"/>
        <v>1.5498159411389076</v>
      </c>
      <c r="L7" s="6">
        <f t="shared" si="3"/>
        <v>3.8783219227391039</v>
      </c>
      <c r="M7" s="6">
        <f t="shared" si="4"/>
        <v>0.14001898038011923</v>
      </c>
      <c r="N7" s="6">
        <f t="shared" si="5"/>
        <v>0.34586619365186744</v>
      </c>
      <c r="O7" s="6">
        <f t="shared" si="6"/>
        <v>48.188741524344159</v>
      </c>
      <c r="P7" s="6">
        <f t="shared" si="7"/>
        <v>49.003316710642338</v>
      </c>
      <c r="Q7" s="6">
        <f>(I7/I9-1)*100</f>
        <v>33.620406284925373</v>
      </c>
      <c r="R7" s="6">
        <f>(J7/J9-1)*100</f>
        <v>-63.503649635036496</v>
      </c>
      <c r="S7" s="6">
        <f>(K7/K9-1)*100</f>
        <v>38.281550802139023</v>
      </c>
      <c r="T7" s="6">
        <f t="shared" si="8"/>
        <v>488.48961257720379</v>
      </c>
      <c r="U7" s="6">
        <f t="shared" si="9"/>
        <v>0.87928130263896676</v>
      </c>
      <c r="V7" s="6">
        <f t="shared" si="10"/>
        <v>7.3273441886580568E-2</v>
      </c>
      <c r="W7" s="6">
        <f>I9*(100-U7)/100</f>
        <v>3.0110533395862218</v>
      </c>
      <c r="X7" s="6">
        <f>K9*(100-V7)/100</f>
        <v>1.1199471864991351</v>
      </c>
      <c r="Y7" s="6">
        <f t="shared" si="11"/>
        <v>2.6885672609246267</v>
      </c>
      <c r="Z7" s="6">
        <f>Y7/AA9-1</f>
        <v>-8.0659888351656273E-3</v>
      </c>
      <c r="AA7" s="3">
        <f t="shared" si="12"/>
        <v>2.6190673759878877</v>
      </c>
      <c r="AB7" s="3">
        <f t="shared" si="13"/>
        <v>1.5564064888428226</v>
      </c>
      <c r="AC7" s="3">
        <f t="shared" si="14"/>
        <v>2.5024403348755437</v>
      </c>
      <c r="AD7" s="6">
        <f>AA7/AA9-1</f>
        <v>-3.3707638438934429E-2</v>
      </c>
      <c r="AE7" s="6">
        <f>AB7/AB9-1</f>
        <v>-0.73607216470124404</v>
      </c>
      <c r="AF7" s="6">
        <f>AC7/AC9-1</f>
        <v>-0.6114561237100139</v>
      </c>
    </row>
    <row r="8" spans="1:33">
      <c r="A8" s="6">
        <v>640</v>
      </c>
      <c r="B8" s="6">
        <v>74</v>
      </c>
      <c r="C8" s="34">
        <v>10.735849056603774</v>
      </c>
      <c r="D8" s="34">
        <v>5.7166666666666668</v>
      </c>
      <c r="E8" s="34">
        <v>1.6849829999999999</v>
      </c>
      <c r="F8" s="34">
        <v>13.314685314685315</v>
      </c>
      <c r="G8" s="34">
        <v>0.36144578313253012</v>
      </c>
      <c r="H8" s="34">
        <v>0.91891891891891897</v>
      </c>
      <c r="I8" s="3">
        <f t="shared" si="0"/>
        <v>2.8408513882617679</v>
      </c>
      <c r="J8" s="3">
        <f t="shared" si="1"/>
        <v>3.4473552101838338</v>
      </c>
      <c r="K8" s="6">
        <f t="shared" si="2"/>
        <v>1.009880064871159</v>
      </c>
      <c r="L8" s="6">
        <f t="shared" si="3"/>
        <v>9.5158826557928542</v>
      </c>
      <c r="M8" s="6">
        <f t="shared" si="4"/>
        <v>0.15002033612155627</v>
      </c>
      <c r="N8" s="6">
        <f t="shared" si="5"/>
        <v>0.34085364012068098</v>
      </c>
      <c r="O8" s="6">
        <f t="shared" si="6"/>
        <v>22.111908954365237</v>
      </c>
      <c r="P8" s="6">
        <f t="shared" si="7"/>
        <v>22.373158263772041</v>
      </c>
      <c r="Q8" s="6">
        <f>(I8/I9-1)*100</f>
        <v>-6.4821510748800275</v>
      </c>
      <c r="R8" s="6">
        <f>(J8/J9-1)*100</f>
        <v>-47.840632603406327</v>
      </c>
      <c r="S8" s="6">
        <f>(K8/K9-1)*100</f>
        <v>-9.8939572192513587</v>
      </c>
      <c r="T8" s="6">
        <f t="shared" si="8"/>
        <v>368.00486618004868</v>
      </c>
      <c r="U8" s="6">
        <f t="shared" si="9"/>
        <v>0.66240875912408759</v>
      </c>
      <c r="V8" s="6">
        <f t="shared" si="10"/>
        <v>5.5200729927007294E-2</v>
      </c>
      <c r="W8" s="6">
        <f>I9*(100-U8)/100</f>
        <v>3.0176414152680464</v>
      </c>
      <c r="X8" s="6">
        <f>K9*(100-V8)/100</f>
        <v>1.1201497397459861</v>
      </c>
      <c r="Y8" s="6">
        <f t="shared" si="11"/>
        <v>2.6939625196470165</v>
      </c>
      <c r="Z8" s="6">
        <f>Y8/AA9-1</f>
        <v>-6.0754339758716247E-3</v>
      </c>
      <c r="AA8" s="3">
        <f t="shared" si="12"/>
        <v>2.8130581908498264</v>
      </c>
      <c r="AB8" s="3">
        <f t="shared" si="13"/>
        <v>3.413628340731381</v>
      </c>
      <c r="AC8" s="3">
        <f t="shared" si="14"/>
        <v>9.4227849294231731</v>
      </c>
      <c r="AD8" s="6">
        <f>AA8/AA9-1</f>
        <v>3.7864343378980037E-2</v>
      </c>
      <c r="AE8" s="6">
        <f>AB8/AB9-1</f>
        <v>-0.42113352460155273</v>
      </c>
      <c r="AF8" s="6">
        <f>AC8/AC9-1</f>
        <v>0.46303803167679791</v>
      </c>
    </row>
    <row r="9" spans="1:33" s="2" customFormat="1">
      <c r="A9" s="2">
        <v>640</v>
      </c>
      <c r="B9" s="2">
        <v>99</v>
      </c>
      <c r="C9" s="31">
        <v>11.48</v>
      </c>
      <c r="D9" s="31">
        <v>10.96</v>
      </c>
      <c r="E9" s="31">
        <v>1.87</v>
      </c>
      <c r="F9" s="31">
        <v>10.1</v>
      </c>
      <c r="G9" s="31">
        <v>0.26</v>
      </c>
      <c r="H9" s="31">
        <v>1.91</v>
      </c>
      <c r="I9" s="2">
        <f t="shared" si="0"/>
        <v>3.0377638289525311</v>
      </c>
      <c r="J9" s="2">
        <f t="shared" si="1"/>
        <v>6.6092734292037596</v>
      </c>
      <c r="K9" s="2">
        <f t="shared" si="2"/>
        <v>1.1207684120902512</v>
      </c>
      <c r="L9" s="2">
        <f t="shared" si="3"/>
        <v>7.2183767435722777</v>
      </c>
      <c r="M9" s="2">
        <f t="shared" si="4"/>
        <v>0.10791462845010616</v>
      </c>
      <c r="N9" s="2">
        <f t="shared" si="5"/>
        <v>0.70847431609789768</v>
      </c>
      <c r="AA9" s="2">
        <f t="shared" si="12"/>
        <v>2.7104295554574493</v>
      </c>
      <c r="AB9" s="2">
        <f t="shared" si="13"/>
        <v>5.8970911009861151</v>
      </c>
      <c r="AC9" s="2">
        <f t="shared" si="14"/>
        <v>6.4405604812772053</v>
      </c>
    </row>
    <row r="10" spans="1:33">
      <c r="A10" s="6">
        <v>990</v>
      </c>
      <c r="B10" s="6">
        <v>0</v>
      </c>
      <c r="C10" s="34">
        <v>11.735849056603772</v>
      </c>
      <c r="D10" s="34">
        <v>7.2333333333333334</v>
      </c>
      <c r="E10" s="34">
        <v>1.9352279999999997</v>
      </c>
      <c r="F10" s="34">
        <v>2.6153846153846159</v>
      </c>
      <c r="G10" s="34">
        <v>0.33734939759036153</v>
      </c>
      <c r="H10" s="34">
        <v>0.28378378378378377</v>
      </c>
      <c r="I10" s="3">
        <f t="shared" ref="I10:I19" si="15">C10*26.98/101.96</f>
        <v>3.105464962212336</v>
      </c>
      <c r="J10" s="3">
        <f t="shared" ref="J10:J19" si="16">D10*24.305/40.3044</f>
        <v>4.3619596537019945</v>
      </c>
      <c r="K10" s="6">
        <f t="shared" ref="K10:K19" si="17">E10*47.867/79.866</f>
        <v>1.1598622527233113</v>
      </c>
      <c r="L10" s="6">
        <f t="shared" ref="L10:L19" si="18">F10*40.078/56.0774</f>
        <v>1.8691912359593108</v>
      </c>
      <c r="M10" s="6">
        <f t="shared" ref="M10:M19" si="19">G10*39.0983/94.2</f>
        <v>0.14001898038011923</v>
      </c>
      <c r="N10" s="6">
        <f t="shared" ref="N10:N19" si="20">H10*22.989769/61.9789</f>
        <v>0.10526362415491618</v>
      </c>
      <c r="O10" s="6">
        <f t="shared" ref="O10:O18" si="21">100*(I10/(I10+L10+M10+N10))</f>
        <v>59.492363408591444</v>
      </c>
      <c r="P10" s="6">
        <f t="shared" ref="P10:P18" si="22">100*(I10/(I10+L10+N10))</f>
        <v>61.132164892910815</v>
      </c>
      <c r="Q10" s="6">
        <f>(I10/I14-1)*100</f>
        <v>55.236098632325017</v>
      </c>
      <c r="R10" s="6">
        <f>(J10/J14-1)*100</f>
        <v>-70.762597682565342</v>
      </c>
      <c r="S10" s="6">
        <f>(K10/K14-1)*100</f>
        <v>54.818239999999996</v>
      </c>
      <c r="T10" s="6">
        <f>R10/-0.13</f>
        <v>544.32767448127186</v>
      </c>
      <c r="U10" s="6">
        <f>T10*0.0018</f>
        <v>0.97978981406628929</v>
      </c>
      <c r="V10" s="6">
        <f>T10*0.00015</f>
        <v>8.1649151172190765E-2</v>
      </c>
      <c r="W10" s="6">
        <f>I14*(100-U10)/100</f>
        <v>1.9808781333241148</v>
      </c>
      <c r="X10" s="6">
        <f>K14*(100-V10)/100</f>
        <v>0.74856504959570414</v>
      </c>
      <c r="Y10" s="6">
        <f>W10/X10</f>
        <v>2.6462337967742098</v>
      </c>
      <c r="Z10" s="6">
        <f>Y10/AA14-1</f>
        <v>-8.9887458636398465E-3</v>
      </c>
      <c r="AA10" s="3">
        <f t="shared" ref="AA10:AA19" si="23">I10/K10</f>
        <v>2.6774429074839063</v>
      </c>
      <c r="AB10" s="3">
        <f t="shared" ref="AB10:AB19" si="24">J10/K10</f>
        <v>3.7607566273152551</v>
      </c>
      <c r="AC10" s="3">
        <f t="shared" si="14"/>
        <v>1.6115631244749302</v>
      </c>
      <c r="AD10" s="6">
        <f>AA10/AA14-1</f>
        <v>2.6990271451543535E-3</v>
      </c>
      <c r="AE10" s="6">
        <f>AB10/AB14-1</f>
        <v>-0.81115014408228225</v>
      </c>
      <c r="AF10" s="6">
        <f>AC10/AC14-1</f>
        <v>-0.71171913088982641</v>
      </c>
    </row>
    <row r="11" spans="1:33">
      <c r="A11" s="6">
        <v>990</v>
      </c>
      <c r="B11" s="6">
        <v>5</v>
      </c>
      <c r="C11" s="34">
        <v>14.377358490566037</v>
      </c>
      <c r="D11" s="34">
        <v>8.2166666666666668</v>
      </c>
      <c r="E11" s="34">
        <v>2.3523029999999996</v>
      </c>
      <c r="F11" s="34">
        <v>2.7412587412587417</v>
      </c>
      <c r="G11" s="34">
        <v>0.27710843373493982</v>
      </c>
      <c r="H11" s="34">
        <v>0.33783783783783783</v>
      </c>
      <c r="I11" s="3">
        <f t="shared" si="15"/>
        <v>3.8044442141572348</v>
      </c>
      <c r="J11" s="3">
        <f t="shared" si="16"/>
        <v>4.9549449522467359</v>
      </c>
      <c r="K11" s="6">
        <f t="shared" si="17"/>
        <v>1.4098325658102318</v>
      </c>
      <c r="L11" s="6">
        <f t="shared" si="18"/>
        <v>1.9591523114867639</v>
      </c>
      <c r="M11" s="6">
        <f t="shared" si="19"/>
        <v>0.1150155910265265</v>
      </c>
      <c r="N11" s="6">
        <f t="shared" si="20"/>
        <v>0.12531383827966211</v>
      </c>
      <c r="O11" s="6">
        <f t="shared" si="21"/>
        <v>63.365941597272723</v>
      </c>
      <c r="P11" s="6">
        <f t="shared" si="22"/>
        <v>64.60353408440082</v>
      </c>
      <c r="Q11" s="6">
        <f>(I11/I14-1)*100</f>
        <v>90.176699610661842</v>
      </c>
      <c r="R11" s="6">
        <f>(J11/J14-1)*100</f>
        <v>-66.787927782268923</v>
      </c>
      <c r="S11" s="6">
        <f>(K11/K14-1)*100</f>
        <v>88.184239999999974</v>
      </c>
      <c r="T11" s="6">
        <f>R11/-0.13</f>
        <v>513.75329063283789</v>
      </c>
      <c r="U11" s="6">
        <f>T11*0.0018</f>
        <v>0.92475592313910815</v>
      </c>
      <c r="V11" s="6">
        <f>T11*0.00015</f>
        <v>7.7062993594925674E-2</v>
      </c>
      <c r="W11" s="6">
        <f>I14*(100-U11)/100</f>
        <v>1.9819790745453536</v>
      </c>
      <c r="X11" s="6">
        <f>K14*(100-V11)/100</f>
        <v>0.74859940802181013</v>
      </c>
      <c r="Y11" s="6">
        <f>W11/X11</f>
        <v>2.6475830107624256</v>
      </c>
      <c r="Z11" s="6">
        <f>Y11/AA14-1</f>
        <v>-8.4834669090024795E-3</v>
      </c>
      <c r="AA11" s="3">
        <f t="shared" si="23"/>
        <v>2.6985078273963818</v>
      </c>
      <c r="AB11" s="3">
        <f t="shared" si="24"/>
        <v>3.514562702273178</v>
      </c>
      <c r="AC11" s="3">
        <f t="shared" si="14"/>
        <v>1.3896347403216904</v>
      </c>
      <c r="AD11" s="6">
        <f>AA11/AA14-1</f>
        <v>1.0587813361320197E-2</v>
      </c>
      <c r="AE11" s="6">
        <f>AB11/AB14-1</f>
        <v>-0.82351299865636429</v>
      </c>
      <c r="AF11" s="6">
        <f>AC11/AC14-1</f>
        <v>-0.75141829407634897</v>
      </c>
    </row>
    <row r="12" spans="1:33">
      <c r="A12" s="6">
        <v>990</v>
      </c>
      <c r="B12" s="6">
        <v>15</v>
      </c>
      <c r="C12" s="34">
        <v>15.20754716981132</v>
      </c>
      <c r="D12" s="34">
        <v>8.5666666666666664</v>
      </c>
      <c r="E12" s="34">
        <v>2.3856689999999996</v>
      </c>
      <c r="F12" s="34">
        <v>2.55944055944056</v>
      </c>
      <c r="G12" s="34">
        <v>0.26506024096385544</v>
      </c>
      <c r="H12" s="34">
        <v>0.45945945945945948</v>
      </c>
      <c r="I12" s="3">
        <f t="shared" si="15"/>
        <v>4.0241234076256323</v>
      </c>
      <c r="J12" s="3">
        <f t="shared" si="16"/>
        <v>5.166007516135541</v>
      </c>
      <c r="K12" s="6">
        <f t="shared" si="17"/>
        <v>1.4298301908571853</v>
      </c>
      <c r="L12" s="6">
        <f t="shared" si="18"/>
        <v>1.8292085357248871</v>
      </c>
      <c r="M12" s="6">
        <f t="shared" si="19"/>
        <v>0.11001491315580796</v>
      </c>
      <c r="N12" s="6">
        <f t="shared" si="20"/>
        <v>0.17042682006034049</v>
      </c>
      <c r="O12" s="6">
        <f t="shared" si="21"/>
        <v>65.605997544371476</v>
      </c>
      <c r="P12" s="6">
        <f t="shared" si="22"/>
        <v>66.804192625852025</v>
      </c>
      <c r="Q12" s="6">
        <f>(I12/I14-1)*100</f>
        <v>101.1580313467106</v>
      </c>
      <c r="R12" s="6">
        <f>(J12/J14-1)*100</f>
        <v>-65.3732147669092</v>
      </c>
      <c r="S12" s="6">
        <f>(K12/K14-1)*100</f>
        <v>90.853519999999975</v>
      </c>
      <c r="T12" s="6">
        <f>R12/-0.13</f>
        <v>502.87088282237846</v>
      </c>
      <c r="U12" s="6">
        <f>T12*0.0018</f>
        <v>0.90516758908028117</v>
      </c>
      <c r="V12" s="6">
        <f>T12*0.00015</f>
        <v>7.5430632423356764E-2</v>
      </c>
      <c r="W12" s="6">
        <f>I14*(100-U12)/100</f>
        <v>1.9823709349800318</v>
      </c>
      <c r="X12" s="6">
        <f>K14*(100-V12)/100</f>
        <v>0.74861163729211899</v>
      </c>
      <c r="Y12" s="6">
        <f>W12/X12</f>
        <v>2.6480632095844405</v>
      </c>
      <c r="Z12" s="6">
        <f>Y12/AA14-1</f>
        <v>-8.3036330494924426E-3</v>
      </c>
      <c r="AA12" s="3">
        <f t="shared" si="23"/>
        <v>2.8144065171915025</v>
      </c>
      <c r="AB12" s="3">
        <f t="shared" si="24"/>
        <v>3.6130217064716699</v>
      </c>
      <c r="AC12" s="3">
        <f t="shared" si="14"/>
        <v>1.279318724294298</v>
      </c>
      <c r="AD12" s="6">
        <f>AA12/AA14-1</f>
        <v>5.3991728036824504E-2</v>
      </c>
      <c r="AE12" s="6">
        <f>AB12/AB14-1</f>
        <v>-0.81856878912638964</v>
      </c>
      <c r="AF12" s="6">
        <f>AC12/AC14-1</f>
        <v>-0.77115192814514177</v>
      </c>
    </row>
    <row r="13" spans="1:33">
      <c r="A13" s="6">
        <v>990</v>
      </c>
      <c r="B13" s="6">
        <v>31</v>
      </c>
      <c r="C13" s="34">
        <v>12.830188679245282</v>
      </c>
      <c r="D13" s="34">
        <v>12.666666666666666</v>
      </c>
      <c r="E13" s="34">
        <v>1.7350319999999999</v>
      </c>
      <c r="F13" s="34">
        <v>3.1328671328671334</v>
      </c>
      <c r="G13" s="34">
        <v>0.15662650602409642</v>
      </c>
      <c r="H13" s="34">
        <v>0.5</v>
      </c>
      <c r="I13" s="3">
        <f t="shared" si="15"/>
        <v>3.3950420808752226</v>
      </c>
      <c r="J13" s="3">
        <f t="shared" si="16"/>
        <v>7.6384546931186987</v>
      </c>
      <c r="K13" s="6">
        <f t="shared" si="17"/>
        <v>1.0398765024415895</v>
      </c>
      <c r="L13" s="6">
        <f t="shared" si="18"/>
        <v>2.2390312131277303</v>
      </c>
      <c r="M13" s="6">
        <f t="shared" si="19"/>
        <v>6.5008812319341067E-2</v>
      </c>
      <c r="N13" s="6">
        <f t="shared" si="20"/>
        <v>0.18546448065389995</v>
      </c>
      <c r="O13" s="6">
        <f t="shared" si="21"/>
        <v>57.694200066139388</v>
      </c>
      <c r="P13" s="6">
        <f t="shared" si="22"/>
        <v>58.338689640611705</v>
      </c>
      <c r="Q13" s="6">
        <f>(I13/I14-1)*100</f>
        <v>69.711490466207408</v>
      </c>
      <c r="R13" s="6">
        <f>(J13/J14-1)*100</f>
        <v>-48.800862301266513</v>
      </c>
      <c r="S13" s="6">
        <f>(K13/K14-1)*100</f>
        <v>38.80256</v>
      </c>
      <c r="T13" s="6">
        <f>R13/-0.13</f>
        <v>375.39124847128085</v>
      </c>
      <c r="U13" s="6">
        <f>T13*0.0018</f>
        <v>0.67570424724830547</v>
      </c>
      <c r="V13" s="6">
        <f>T13*0.00015</f>
        <v>5.6308687270692125E-2</v>
      </c>
      <c r="W13" s="6">
        <f>I14*(100-U13)/100</f>
        <v>1.9869613000719755</v>
      </c>
      <c r="X13" s="6">
        <f>K14*(100-V13)/100</f>
        <v>0.74875489445859533</v>
      </c>
      <c r="Y13" s="6">
        <f>W13/X13</f>
        <v>2.6536872276590513</v>
      </c>
      <c r="Z13" s="6">
        <f>Y13/AA14-1</f>
        <v>-6.1974452998689866E-3</v>
      </c>
      <c r="AA13" s="3">
        <f t="shared" si="23"/>
        <v>3.2648512327221515</v>
      </c>
      <c r="AB13" s="3">
        <f t="shared" si="24"/>
        <v>7.3455402398110783</v>
      </c>
      <c r="AC13" s="3">
        <f t="shared" si="14"/>
        <v>2.1531703119270147</v>
      </c>
      <c r="AD13" s="6">
        <f>AA13/AA14-1</f>
        <v>0.2226827118045045</v>
      </c>
      <c r="AE13" s="6">
        <f>AB13/AB14-1</f>
        <v>-0.63113693509158986</v>
      </c>
      <c r="AF13" s="6">
        <f>AC13/AC14-1</f>
        <v>-0.61483493917324405</v>
      </c>
    </row>
    <row r="14" spans="1:33" s="2" customFormat="1">
      <c r="A14" s="2">
        <v>990</v>
      </c>
      <c r="B14" s="2">
        <v>70</v>
      </c>
      <c r="C14" s="31">
        <v>7.56</v>
      </c>
      <c r="D14" s="31">
        <v>24.74</v>
      </c>
      <c r="E14" s="31">
        <v>1.25</v>
      </c>
      <c r="F14" s="31">
        <v>5.86</v>
      </c>
      <c r="G14" s="31">
        <v>0.12</v>
      </c>
      <c r="H14" s="31">
        <v>1.25</v>
      </c>
      <c r="I14" s="2">
        <f t="shared" si="15"/>
        <v>2.0004786190663006</v>
      </c>
      <c r="J14" s="2">
        <f t="shared" si="16"/>
        <v>14.919108087454472</v>
      </c>
      <c r="K14" s="2">
        <f t="shared" si="17"/>
        <v>0.74917674604963302</v>
      </c>
      <c r="L14" s="2">
        <f t="shared" si="18"/>
        <v>4.188087892805302</v>
      </c>
      <c r="M14" s="2">
        <f t="shared" si="19"/>
        <v>4.9806751592356688E-2</v>
      </c>
      <c r="N14" s="2">
        <f t="shared" si="20"/>
        <v>0.46366120163474983</v>
      </c>
      <c r="AA14" s="2">
        <f t="shared" si="23"/>
        <v>2.6702358683911536</v>
      </c>
      <c r="AB14" s="2">
        <f t="shared" si="24"/>
        <v>19.914003158963613</v>
      </c>
      <c r="AC14" s="2">
        <f t="shared" si="14"/>
        <v>5.5902534547272786</v>
      </c>
    </row>
    <row r="15" spans="1:33">
      <c r="A15" s="6">
        <v>1220</v>
      </c>
      <c r="B15" s="6">
        <v>0</v>
      </c>
      <c r="C15" s="34">
        <v>14.301886792452828</v>
      </c>
      <c r="D15" s="34">
        <v>2.9833333333333334</v>
      </c>
      <c r="E15" s="34">
        <v>2.285571</v>
      </c>
      <c r="F15" s="34">
        <v>2.285571</v>
      </c>
      <c r="G15" s="34">
        <v>0.53012048192771088</v>
      </c>
      <c r="H15" s="34">
        <v>0.22972972972972974</v>
      </c>
      <c r="I15" s="3">
        <f t="shared" si="15"/>
        <v>3.7844733783873807</v>
      </c>
      <c r="J15" s="3">
        <f t="shared" si="16"/>
        <v>1.7990570921950622</v>
      </c>
      <c r="K15" s="6">
        <f t="shared" si="17"/>
        <v>1.3698373157163248</v>
      </c>
      <c r="L15" s="6">
        <f t="shared" si="18"/>
        <v>1.6334764903151717</v>
      </c>
      <c r="M15" s="6">
        <f t="shared" si="19"/>
        <v>0.22002982631161591</v>
      </c>
      <c r="N15" s="6">
        <f t="shared" si="20"/>
        <v>8.5213410030170245E-2</v>
      </c>
      <c r="O15" s="6">
        <f t="shared" si="21"/>
        <v>66.125208584204529</v>
      </c>
      <c r="P15" s="6">
        <f t="shared" si="22"/>
        <v>68.76905493632519</v>
      </c>
      <c r="Q15" s="6">
        <f>(I15/I19-1)*100</f>
        <v>23.292127521145069</v>
      </c>
      <c r="R15" s="6">
        <f>(J15/J19-1)*100</f>
        <v>-70.837406321277285</v>
      </c>
      <c r="S15" s="6">
        <f>(K15/K19-1)*100</f>
        <v>5.8134722222222157</v>
      </c>
      <c r="T15" s="6">
        <f>R15/-0.13</f>
        <v>544.90312554828677</v>
      </c>
      <c r="U15" s="6">
        <f>T15*0.0018</f>
        <v>0.98082562598691614</v>
      </c>
      <c r="V15" s="6">
        <f>T15*0.00015</f>
        <v>8.1735468832243002E-2</v>
      </c>
      <c r="W15" s="6">
        <f>I19*(100-U15)/100</f>
        <v>3.0394108440060936</v>
      </c>
      <c r="X15" s="6">
        <f>K19*(100-V15)/100</f>
        <v>1.2935192882524427</v>
      </c>
      <c r="Y15" s="6">
        <f>W15/X15</f>
        <v>2.3497220888854065</v>
      </c>
      <c r="Z15" s="6">
        <f>Y15/AA19-1</f>
        <v>-8.9982563385515579E-3</v>
      </c>
      <c r="AA15" s="3">
        <f t="shared" si="23"/>
        <v>2.7627173934945537</v>
      </c>
      <c r="AB15" s="3">
        <f t="shared" si="24"/>
        <v>1.313336314870563</v>
      </c>
      <c r="AC15" s="3">
        <f t="shared" si="14"/>
        <v>1.1924602079196411</v>
      </c>
      <c r="AD15" s="6">
        <f>AA15/AA19-1</f>
        <v>0.16518364752472525</v>
      </c>
      <c r="AE15" s="6">
        <f>AB15/AB19-1</f>
        <v>-0.72439621282366184</v>
      </c>
      <c r="AF15" s="6">
        <f>AC15/AC19-1</f>
        <v>0</v>
      </c>
    </row>
    <row r="16" spans="1:33">
      <c r="A16" s="6">
        <v>1220</v>
      </c>
      <c r="B16" s="6">
        <v>10</v>
      </c>
      <c r="C16" s="34">
        <v>15.679245283018867</v>
      </c>
      <c r="D16" s="34">
        <v>3.25</v>
      </c>
      <c r="E16" s="34">
        <v>2.4690839999999996</v>
      </c>
      <c r="F16" s="34">
        <v>2.4690839999999996</v>
      </c>
      <c r="G16" s="34">
        <v>0.43373493975903615</v>
      </c>
      <c r="H16" s="34">
        <v>0.21621621621621623</v>
      </c>
      <c r="I16" s="3">
        <f t="shared" si="15"/>
        <v>4.1489411311872217</v>
      </c>
      <c r="J16" s="3">
        <f t="shared" si="16"/>
        <v>1.9598666646817715</v>
      </c>
      <c r="K16" s="6">
        <f t="shared" si="17"/>
        <v>1.4798242534745696</v>
      </c>
      <c r="L16" s="6">
        <f t="shared" si="18"/>
        <v>1.7646315369828129</v>
      </c>
      <c r="M16" s="6">
        <f t="shared" si="19"/>
        <v>0.18002440334586756</v>
      </c>
      <c r="N16" s="6">
        <f t="shared" si="20"/>
        <v>8.0200856498983772E-2</v>
      </c>
      <c r="O16" s="6">
        <f t="shared" si="21"/>
        <v>67.202412187165095</v>
      </c>
      <c r="P16" s="6">
        <f t="shared" si="22"/>
        <v>69.220852508209006</v>
      </c>
      <c r="Q16" s="6">
        <f>(I16/I19-1)*100</f>
        <v>35.165907612231621</v>
      </c>
      <c r="R16" s="6">
        <f>(J16/J19-1)*100</f>
        <v>-68.230694037145653</v>
      </c>
      <c r="S16" s="6">
        <f>(K16/K19-1)*100</f>
        <v>14.30944444444442</v>
      </c>
      <c r="T16" s="6">
        <f>R16/-0.13</f>
        <v>524.85149259342813</v>
      </c>
      <c r="U16" s="6">
        <f>T16*0.0018</f>
        <v>0.94473268666817056</v>
      </c>
      <c r="V16" s="6">
        <f>T16*0.00015</f>
        <v>7.8727723889014209E-2</v>
      </c>
      <c r="W16" s="6">
        <f>I19*(100-U16)/100</f>
        <v>3.0405187230795252</v>
      </c>
      <c r="X16" s="6">
        <f>K19*(100-V16)/100</f>
        <v>1.2935582258392442</v>
      </c>
      <c r="Y16" s="6">
        <f>W16/X16</f>
        <v>2.3505078181593837</v>
      </c>
      <c r="Z16" s="6">
        <f>Y16/AA19-1</f>
        <v>-8.6668728595263866E-3</v>
      </c>
      <c r="AA16" s="3">
        <f t="shared" si="23"/>
        <v>2.8036715315657719</v>
      </c>
      <c r="AB16" s="3">
        <f t="shared" si="24"/>
        <v>1.324391501274615</v>
      </c>
      <c r="AC16" s="3">
        <f t="shared" si="14"/>
        <v>1.1924602079196411</v>
      </c>
      <c r="AD16" s="6">
        <f>AA16/AA19-1</f>
        <v>0.18245616772220141</v>
      </c>
      <c r="AE16" s="6">
        <f>AB16/AB19-1</f>
        <v>-0.7220762805973171</v>
      </c>
      <c r="AF16" s="6">
        <f>AC16/AC19-1</f>
        <v>0</v>
      </c>
    </row>
    <row r="17" spans="1:32">
      <c r="A17" s="6">
        <v>1220</v>
      </c>
      <c r="B17" s="6">
        <v>22</v>
      </c>
      <c r="C17" s="34">
        <v>20.056603773584904</v>
      </c>
      <c r="D17" s="34">
        <v>3</v>
      </c>
      <c r="E17" s="34">
        <v>2.4357179999999996</v>
      </c>
      <c r="F17" s="34">
        <v>2.4357179999999996</v>
      </c>
      <c r="G17" s="34">
        <v>0.24096385542168677</v>
      </c>
      <c r="H17" s="34">
        <v>6.7567567567567571E-2</v>
      </c>
      <c r="I17" s="3">
        <f t="shared" si="15"/>
        <v>5.3072496058387681</v>
      </c>
      <c r="J17" s="3">
        <f t="shared" si="16"/>
        <v>1.8091076904754813</v>
      </c>
      <c r="K17" s="6">
        <f t="shared" si="17"/>
        <v>1.459826628427616</v>
      </c>
      <c r="L17" s="6">
        <f t="shared" si="18"/>
        <v>1.7407851648614237</v>
      </c>
      <c r="M17" s="6">
        <f t="shared" si="19"/>
        <v>0.10001355741437087</v>
      </c>
      <c r="N17" s="6">
        <f t="shared" si="20"/>
        <v>2.5062767655932426E-2</v>
      </c>
      <c r="O17" s="6">
        <f t="shared" si="21"/>
        <v>73.988113873882398</v>
      </c>
      <c r="P17" s="6">
        <f t="shared" si="22"/>
        <v>75.034305367040616</v>
      </c>
      <c r="Q17" s="6">
        <f>(I17/I19-1)*100</f>
        <v>72.90175666883539</v>
      </c>
      <c r="R17" s="6">
        <f>(J17/J19-1)*100</f>
        <v>-70.674486803519059</v>
      </c>
      <c r="S17" s="6">
        <f>(K17/K19-1)*100</f>
        <v>12.764722222222202</v>
      </c>
      <c r="T17" s="6">
        <f>R17/-0.13</f>
        <v>543.64989848860807</v>
      </c>
      <c r="U17" s="6">
        <f>T17*0.0018</f>
        <v>0.97856981727949455</v>
      </c>
      <c r="V17" s="6">
        <f>T17*0.00015</f>
        <v>8.1547484773291198E-2</v>
      </c>
      <c r="W17" s="6">
        <f>I19*(100-U17)/100</f>
        <v>3.0394800864481835</v>
      </c>
      <c r="X17" s="6">
        <f>K19*(100-V17)/100</f>
        <v>1.2935217218516177</v>
      </c>
      <c r="Y17" s="6">
        <f>W17/X17</f>
        <v>2.3497711983508909</v>
      </c>
      <c r="Z17" s="6">
        <f>Y17/AA19-1</f>
        <v>-8.9775442866218969E-3</v>
      </c>
      <c r="AA17" s="3">
        <f t="shared" si="23"/>
        <v>3.6355341809014843</v>
      </c>
      <c r="AB17" s="3">
        <f t="shared" si="24"/>
        <v>1.2392620159450558</v>
      </c>
      <c r="AC17" s="3">
        <f t="shared" si="14"/>
        <v>1.1924602079196411</v>
      </c>
      <c r="AD17" s="6">
        <f>AA17/AA19-1</f>
        <v>0.53329652449374088</v>
      </c>
      <c r="AE17" s="6">
        <f>AB17/AB19-1</f>
        <v>-0.73994071356208391</v>
      </c>
      <c r="AF17" s="6">
        <f>AC17/AC19-1</f>
        <v>0</v>
      </c>
    </row>
    <row r="18" spans="1:32">
      <c r="A18" s="6">
        <v>1220</v>
      </c>
      <c r="B18" s="6">
        <v>52</v>
      </c>
      <c r="C18" s="34">
        <v>21.075471698113205</v>
      </c>
      <c r="D18" s="34">
        <v>3.7333333333333338</v>
      </c>
      <c r="E18" s="34">
        <v>1.9018619999999997</v>
      </c>
      <c r="F18" s="34">
        <v>1.9018619999999997</v>
      </c>
      <c r="G18" s="34">
        <v>9.6385542168674704E-2</v>
      </c>
      <c r="H18" s="34">
        <v>8.1081081081081072E-2</v>
      </c>
      <c r="I18" s="3">
        <f t="shared" si="15"/>
        <v>5.5768558887317994</v>
      </c>
      <c r="J18" s="3">
        <f t="shared" si="16"/>
        <v>2.2513340148139327</v>
      </c>
      <c r="K18" s="6">
        <f t="shared" si="17"/>
        <v>1.1398646276763578</v>
      </c>
      <c r="L18" s="6">
        <f t="shared" si="18"/>
        <v>1.3592432109191936</v>
      </c>
      <c r="M18" s="6">
        <f t="shared" si="19"/>
        <v>4.0005422965748341E-2</v>
      </c>
      <c r="N18" s="6">
        <f t="shared" si="20"/>
        <v>3.0075321187118906E-2</v>
      </c>
      <c r="O18" s="6">
        <f t="shared" si="21"/>
        <v>79.599096983841648</v>
      </c>
      <c r="P18" s="6">
        <f t="shared" si="22"/>
        <v>80.05621955214896</v>
      </c>
      <c r="Q18" s="6">
        <f>(I18/I19-1)*100</f>
        <v>81.685100845803476</v>
      </c>
      <c r="R18" s="6">
        <f>(J18/J19-1)*100</f>
        <v>-63.506028022157054</v>
      </c>
      <c r="S18" s="6">
        <f>(K18/K19-1)*100</f>
        <v>-11.950833333333344</v>
      </c>
      <c r="T18" s="6">
        <f>R18/-0.13</f>
        <v>488.50790786274655</v>
      </c>
      <c r="U18" s="6">
        <f>T18*0.0018</f>
        <v>0.87931423415294374</v>
      </c>
      <c r="V18" s="6">
        <f>T18*0.00015</f>
        <v>7.3276186179411978E-2</v>
      </c>
      <c r="W18" s="6">
        <f>I19*(100-U18)/100</f>
        <v>3.0425267539001202</v>
      </c>
      <c r="X18" s="6">
        <f>K19*(100-V18)/100</f>
        <v>1.2936288002153211</v>
      </c>
      <c r="Y18" s="6">
        <f>W18/X18</f>
        <v>2.3519318319085811</v>
      </c>
      <c r="Z18" s="6">
        <f>Y18/AA19-1</f>
        <v>-8.0662911502562551E-3</v>
      </c>
      <c r="AA18" s="3">
        <f t="shared" si="23"/>
        <v>4.8925598297583441</v>
      </c>
      <c r="AB18" s="3">
        <f t="shared" si="24"/>
        <v>1.9750889361338748</v>
      </c>
      <c r="AC18" s="3">
        <f t="shared" si="14"/>
        <v>1.1924602079196409</v>
      </c>
      <c r="AD18" s="6">
        <f>AA18/AA19-1</f>
        <v>1.0634505438719293</v>
      </c>
      <c r="AE18" s="6">
        <f>AB18/AB19-1</f>
        <v>-0.58552734387594485</v>
      </c>
      <c r="AF18" s="6">
        <f>AC18/AC19-1</f>
        <v>0</v>
      </c>
    </row>
    <row r="19" spans="1:32" s="2" customFormat="1">
      <c r="A19" s="2">
        <v>1220</v>
      </c>
      <c r="B19" s="2">
        <v>90</v>
      </c>
      <c r="C19" s="31">
        <v>11.6</v>
      </c>
      <c r="D19" s="31">
        <v>10.23</v>
      </c>
      <c r="E19" s="31">
        <v>2.16</v>
      </c>
      <c r="F19" s="31">
        <v>2.16</v>
      </c>
      <c r="G19" s="31">
        <v>0.24</v>
      </c>
      <c r="H19" s="31">
        <v>1.92</v>
      </c>
      <c r="I19" s="2">
        <f t="shared" si="15"/>
        <v>3.0695174578265991</v>
      </c>
      <c r="J19" s="2">
        <f t="shared" si="16"/>
        <v>6.1690572245213922</v>
      </c>
      <c r="K19" s="2">
        <f t="shared" si="17"/>
        <v>1.2945774171737661</v>
      </c>
      <c r="L19" s="2">
        <f t="shared" si="18"/>
        <v>1.543732056051101</v>
      </c>
      <c r="M19" s="2">
        <f t="shared" si="19"/>
        <v>9.9613503184713376E-2</v>
      </c>
      <c r="N19" s="2">
        <f t="shared" si="20"/>
        <v>0.71218360571097572</v>
      </c>
      <c r="AA19" s="2">
        <f t="shared" si="23"/>
        <v>2.3710574718101927</v>
      </c>
      <c r="AB19" s="2">
        <f t="shared" si="24"/>
        <v>4.765305761311101</v>
      </c>
      <c r="AC19" s="2">
        <f t="shared" si="14"/>
        <v>1.1924602079196411</v>
      </c>
    </row>
    <row r="20" spans="1:32">
      <c r="A20" s="6">
        <v>1650</v>
      </c>
      <c r="B20" s="6">
        <v>0</v>
      </c>
      <c r="C20" s="34">
        <v>15.075471698113207</v>
      </c>
      <c r="D20" s="34">
        <v>2.6833333333333336</v>
      </c>
      <c r="E20" s="34">
        <v>2.5191330000000001</v>
      </c>
      <c r="F20" s="34">
        <v>0.81118881118881125</v>
      </c>
      <c r="G20" s="34">
        <v>0.20481927710843376</v>
      </c>
      <c r="H20" s="34">
        <v>5.4054054054054057E-2</v>
      </c>
      <c r="I20" s="3">
        <f t="shared" ref="I20:I25" si="25">C20*26.98/101.96</f>
        <v>3.9891744450283873</v>
      </c>
      <c r="J20" s="3">
        <f t="shared" ref="J20:J25" si="26">D20*24.305/40.3044</f>
        <v>1.6181463231475142</v>
      </c>
      <c r="K20" s="6">
        <f t="shared" ref="K20:K25" si="27">E20*47.867/79.866</f>
        <v>1.5098206910450005</v>
      </c>
      <c r="L20" s="6">
        <f t="shared" ref="L20:L25" si="28">F20*40.078/56.0774</f>
        <v>0.57974915339914446</v>
      </c>
      <c r="M20" s="6">
        <f t="shared" ref="M20:M25" si="29">G20*39.0983/94.2</f>
        <v>8.5011523802215244E-2</v>
      </c>
      <c r="N20" s="6">
        <f t="shared" ref="N20:N25" si="30">H20*22.989769/61.9789</f>
        <v>2.0050214124745943E-2</v>
      </c>
      <c r="O20" s="6">
        <f>100*(I20/(I20+L20+M20+N20))</f>
        <v>85.348458712533557</v>
      </c>
      <c r="P20" s="6">
        <f>100*(I20/(I20+L20+N20))</f>
        <v>86.929553490079826</v>
      </c>
      <c r="Q20" s="6">
        <f>(I20/I25-1)*100</f>
        <v>24.900345469040673</v>
      </c>
      <c r="R20" s="6">
        <f>(J20/J25-1)*100</f>
        <v>-82.865048957002983</v>
      </c>
      <c r="S20" s="6">
        <f>(K20/K25-1)*100</f>
        <v>34.712994652406422</v>
      </c>
      <c r="T20" s="6">
        <f>R20/-0.13</f>
        <v>637.42345351540757</v>
      </c>
      <c r="U20" s="6">
        <f>T20*0.0018</f>
        <v>1.1473622163277335</v>
      </c>
      <c r="V20" s="6">
        <f>T20*0.00015</f>
        <v>9.5613518027311134E-2</v>
      </c>
      <c r="W20" s="6">
        <f>I25*(100-U20)/100</f>
        <v>3.1572403982502921</v>
      </c>
      <c r="X20" s="6">
        <f>K25*(100-V20)/100</f>
        <v>1.119696805982513</v>
      </c>
      <c r="Y20" s="6">
        <f>W20/X20</f>
        <v>2.8197279668757051</v>
      </c>
      <c r="Z20" s="6">
        <f>Y20/AA25-1</f>
        <v>-1.0527552746547375E-2</v>
      </c>
      <c r="AA20" s="3">
        <f t="shared" ref="AA20:AA25" si="31">I20/K20</f>
        <v>2.6421511300572638</v>
      </c>
      <c r="AB20" s="3">
        <f t="shared" ref="AB20:AB25" si="32">J20/K20</f>
        <v>1.0717473490362208</v>
      </c>
      <c r="AC20" s="3">
        <f t="shared" si="14"/>
        <v>0.38398543405699354</v>
      </c>
      <c r="AD20" s="6">
        <f>AA20/AA25-1</f>
        <v>-7.2841148017567914E-2</v>
      </c>
      <c r="AE20" s="6">
        <f>AB20/AB25-1</f>
        <v>-0.87280402245373934</v>
      </c>
      <c r="AF20" s="6">
        <f>AC20/AC25-1</f>
        <v>-0.93621178242222902</v>
      </c>
    </row>
    <row r="21" spans="1:32">
      <c r="A21" s="6">
        <v>1650</v>
      </c>
      <c r="B21" s="6">
        <v>10</v>
      </c>
      <c r="C21" s="34">
        <v>16</v>
      </c>
      <c r="D21" s="34">
        <v>3.5333333333333337</v>
      </c>
      <c r="E21" s="34">
        <v>2.7193289999999997</v>
      </c>
      <c r="F21" s="34">
        <v>0.97902097902097907</v>
      </c>
      <c r="G21" s="34">
        <v>0.24096385542168677</v>
      </c>
      <c r="H21" s="34">
        <v>5.4054054054054057E-2</v>
      </c>
      <c r="I21" s="3">
        <f t="shared" si="25"/>
        <v>4.2338171832091023</v>
      </c>
      <c r="J21" s="3">
        <f t="shared" si="26"/>
        <v>2.1307268354489004</v>
      </c>
      <c r="K21" s="6">
        <f t="shared" si="27"/>
        <v>1.6298064413267219</v>
      </c>
      <c r="L21" s="6">
        <f t="shared" si="28"/>
        <v>0.69969725410241568</v>
      </c>
      <c r="M21" s="6">
        <f t="shared" si="29"/>
        <v>0.10001355741437087</v>
      </c>
      <c r="N21" s="6">
        <f t="shared" si="30"/>
        <v>2.0050214124745943E-2</v>
      </c>
      <c r="O21" s="6">
        <f>100*(I21/(I21+L21+M21+N21))</f>
        <v>83.778602175269867</v>
      </c>
      <c r="P21" s="6">
        <f>100*(I21/(I21+L21+N21))</f>
        <v>85.470110539115012</v>
      </c>
      <c r="Q21" s="6">
        <f>(I21/I25-1)*100</f>
        <v>32.560066280033162</v>
      </c>
      <c r="R21" s="6">
        <f>(J21/J25-1)*100</f>
        <v>-77.437207322264797</v>
      </c>
      <c r="S21" s="6">
        <f>(K21/K25-1)*100</f>
        <v>45.418663101604231</v>
      </c>
      <c r="T21" s="6">
        <f>R21/-0.13</f>
        <v>595.67082555588308</v>
      </c>
      <c r="U21" s="6">
        <f>T21*0.0018</f>
        <v>1.0722074860005895</v>
      </c>
      <c r="V21" s="6">
        <f>T21*0.00015</f>
        <v>8.935062383338245E-2</v>
      </c>
      <c r="W21" s="6">
        <f>I25*(100-U21)/100</f>
        <v>3.1596407545384846</v>
      </c>
      <c r="X21" s="6">
        <f>K25*(100-V21)/100</f>
        <v>1.1197669985223211</v>
      </c>
      <c r="Y21" s="6">
        <f>W21/X21</f>
        <v>2.8216948335752381</v>
      </c>
      <c r="Z21" s="6">
        <f>Y21/AA25-1</f>
        <v>-9.8373583627379135E-3</v>
      </c>
      <c r="AA21" s="3">
        <f t="shared" si="31"/>
        <v>2.5977423305325882</v>
      </c>
      <c r="AB21" s="3">
        <f t="shared" si="32"/>
        <v>1.3073496222744163</v>
      </c>
      <c r="AC21" s="3">
        <f t="shared" si="14"/>
        <v>0.42931309900385262</v>
      </c>
      <c r="AD21" s="6">
        <f>AA21/AA25-1</f>
        <v>-8.8424666733366686E-2</v>
      </c>
      <c r="AE21" s="6">
        <f>AB21/AB25-1</f>
        <v>-0.84484252436036666</v>
      </c>
      <c r="AF21" s="6">
        <f>AC21/AC25-1</f>
        <v>-0.92868188493790571</v>
      </c>
    </row>
    <row r="22" spans="1:32">
      <c r="A22" s="6">
        <v>1650</v>
      </c>
      <c r="B22" s="6">
        <v>17</v>
      </c>
      <c r="C22" s="34">
        <v>17.981132075471695</v>
      </c>
      <c r="D22" s="34">
        <v>0.8</v>
      </c>
      <c r="E22" s="34">
        <v>3.1364039999999997</v>
      </c>
      <c r="F22" s="34">
        <v>0.48951048951048953</v>
      </c>
      <c r="G22" s="34">
        <v>0.30120481927710846</v>
      </c>
      <c r="H22" s="34">
        <v>2.7027027027027029E-2</v>
      </c>
      <c r="I22" s="3">
        <f t="shared" si="25"/>
        <v>4.758051622167776</v>
      </c>
      <c r="J22" s="3">
        <f t="shared" si="26"/>
        <v>0.4824287174601285</v>
      </c>
      <c r="K22" s="6">
        <f t="shared" si="27"/>
        <v>1.8797767544136426</v>
      </c>
      <c r="L22" s="6">
        <f t="shared" si="28"/>
        <v>0.34984862705120784</v>
      </c>
      <c r="M22" s="6">
        <f t="shared" si="29"/>
        <v>0.1250169467679636</v>
      </c>
      <c r="N22" s="6">
        <f t="shared" si="30"/>
        <v>1.0025107062372971E-2</v>
      </c>
      <c r="O22" s="6">
        <f>100*(I22/(I22+L22+M22+N22))</f>
        <v>90.751554130215581</v>
      </c>
      <c r="P22" s="6">
        <f>100*(I22/(I22+L22+N22))</f>
        <v>92.968366885775339</v>
      </c>
      <c r="Q22" s="6">
        <f>(I22/I25-1)*100</f>
        <v>48.973753732159885</v>
      </c>
      <c r="R22" s="6">
        <f>(J22/J25-1)*100</f>
        <v>-94.891443167305241</v>
      </c>
      <c r="S22" s="6">
        <f>(K22/K25-1)*100</f>
        <v>67.722139037433109</v>
      </c>
      <c r="T22" s="6">
        <f>R22/-0.13</f>
        <v>729.93417821004027</v>
      </c>
      <c r="U22" s="6">
        <f>T22*0.0018</f>
        <v>1.3138815207780725</v>
      </c>
      <c r="V22" s="6">
        <f>T22*0.00015</f>
        <v>0.10949012673150603</v>
      </c>
      <c r="W22" s="6">
        <f>I25*(100-U22)/100</f>
        <v>3.1519219617686103</v>
      </c>
      <c r="X22" s="6">
        <f>K25*(100-V22)/100</f>
        <v>1.119541281335487</v>
      </c>
      <c r="Y22" s="6">
        <f>W22/X22</f>
        <v>2.8153691286923528</v>
      </c>
      <c r="Z22" s="6">
        <f>Y22/AA25-1</f>
        <v>-1.2057115291278397E-2</v>
      </c>
      <c r="AA22" s="3">
        <f t="shared" si="31"/>
        <v>2.5311790940046772</v>
      </c>
      <c r="AB22" s="3">
        <f t="shared" si="32"/>
        <v>0.25664149550067827</v>
      </c>
      <c r="AC22" s="3">
        <f t="shared" si="14"/>
        <v>0.18611179557879781</v>
      </c>
      <c r="AD22" s="6">
        <f>AA22/AA25-1</f>
        <v>-0.1117824123450325</v>
      </c>
      <c r="AE22" s="6">
        <f>AB22/AB25-1</f>
        <v>-0.96954154733529474</v>
      </c>
      <c r="AF22" s="6">
        <f>AC22/AC25-1</f>
        <v>-0.96908283841723042</v>
      </c>
    </row>
    <row r="23" spans="1:32">
      <c r="A23" s="6">
        <v>1650</v>
      </c>
      <c r="B23" s="6">
        <v>35</v>
      </c>
      <c r="C23" s="34">
        <v>24.716981132075468</v>
      </c>
      <c r="D23" s="34">
        <v>3.1666666666666665</v>
      </c>
      <c r="E23" s="34">
        <v>2.285571</v>
      </c>
      <c r="F23" s="34">
        <v>0.71328671328671334</v>
      </c>
      <c r="G23" s="34">
        <v>8.4337349397590383E-2</v>
      </c>
      <c r="H23" s="34">
        <v>6.7567567567567571E-3</v>
      </c>
      <c r="I23" s="3">
        <f t="shared" si="25"/>
        <v>6.5404487146272672</v>
      </c>
      <c r="J23" s="3">
        <f t="shared" si="26"/>
        <v>1.9096136732796747</v>
      </c>
      <c r="K23" s="6">
        <f t="shared" si="27"/>
        <v>1.3698373157163248</v>
      </c>
      <c r="L23" s="6">
        <f t="shared" si="28"/>
        <v>0.50977942798890286</v>
      </c>
      <c r="M23" s="6">
        <f t="shared" si="29"/>
        <v>3.5004745095029807E-2</v>
      </c>
      <c r="N23" s="6">
        <f t="shared" si="30"/>
        <v>2.5062767655932429E-3</v>
      </c>
      <c r="O23" s="6">
        <f>100*(I23/(I23+L23+M23+N23))</f>
        <v>92.278349454611657</v>
      </c>
      <c r="P23" s="6">
        <f>100*(I23/(I23+L23+N23))</f>
        <v>92.736353387323462</v>
      </c>
      <c r="Q23" s="6">
        <f>(I23/I25-1)*100</f>
        <v>104.78029106939077</v>
      </c>
      <c r="R23" s="6">
        <f>(J23/J25-1)*100</f>
        <v>-79.778629203916566</v>
      </c>
      <c r="S23" s="6">
        <f>(K23/K25-1)*100</f>
        <v>22.223048128342239</v>
      </c>
      <c r="T23" s="6">
        <f>R23/-0.13</f>
        <v>613.68176310705053</v>
      </c>
      <c r="U23" s="6">
        <f>T23*0.0018</f>
        <v>1.1046271735926909</v>
      </c>
      <c r="V23" s="6">
        <f>T23*0.00015</f>
        <v>9.2052264466057576E-2</v>
      </c>
      <c r="W23" s="6">
        <f>I25*(100-U23)/100</f>
        <v>3.1586053067278921</v>
      </c>
      <c r="X23" s="6">
        <f>K25*(100-V23)/100</f>
        <v>1.1197367193875019</v>
      </c>
      <c r="Y23" s="6">
        <f>W23/X23</f>
        <v>2.8208464115168566</v>
      </c>
      <c r="Z23" s="6">
        <f>Y23/AA25-1</f>
        <v>-1.0135078660678865E-2</v>
      </c>
      <c r="AA23" s="3">
        <f t="shared" si="31"/>
        <v>4.7746171312372887</v>
      </c>
      <c r="AB23" s="3">
        <f t="shared" si="32"/>
        <v>1.3940441331028322</v>
      </c>
      <c r="AC23" s="3">
        <f t="shared" si="14"/>
        <v>0.37214596371418418</v>
      </c>
      <c r="AD23" s="6">
        <f>AA23/AA25-1</f>
        <v>0.67546378694759768</v>
      </c>
      <c r="AE23" s="6">
        <f>AB23/AB25-1</f>
        <v>-0.83455353874950278</v>
      </c>
      <c r="AF23" s="6">
        <f>AC23/AC25-1</f>
        <v>-0.93817857241801983</v>
      </c>
    </row>
    <row r="24" spans="1:32">
      <c r="A24" s="6">
        <v>1650</v>
      </c>
      <c r="B24" s="6">
        <v>70</v>
      </c>
      <c r="C24" s="34">
        <v>11.18</v>
      </c>
      <c r="D24" s="34">
        <v>18.63</v>
      </c>
      <c r="E24" s="34">
        <v>1.86</v>
      </c>
      <c r="F24" s="34">
        <v>5.78</v>
      </c>
      <c r="G24" s="34">
        <v>7.0000000000000007E-2</v>
      </c>
      <c r="H24" s="34">
        <v>0.64</v>
      </c>
      <c r="I24" s="3">
        <f t="shared" si="25"/>
        <v>2.9583797567673598</v>
      </c>
      <c r="J24" s="3">
        <f t="shared" si="26"/>
        <v>11.23455875785274</v>
      </c>
      <c r="K24" s="6">
        <f t="shared" si="27"/>
        <v>1.114774998121854</v>
      </c>
      <c r="L24" s="6">
        <f t="shared" si="28"/>
        <v>4.1309126314700757</v>
      </c>
      <c r="M24" s="6">
        <f t="shared" si="29"/>
        <v>2.9053938428874736E-2</v>
      </c>
      <c r="N24" s="6">
        <f t="shared" si="30"/>
        <v>0.23739453523699192</v>
      </c>
      <c r="O24" s="6">
        <f>100*(I24/(I24+L24+M24+N24))</f>
        <v>40.218651150278255</v>
      </c>
      <c r="P24" s="6">
        <f>100*(I24/(I24+L24+N24))</f>
        <v>40.378137999712024</v>
      </c>
      <c r="Q24" s="6">
        <f>(I24/I25-1)*100</f>
        <v>-7.3736536868268416</v>
      </c>
      <c r="R24" s="6">
        <f>(J24/J25-1)*100</f>
        <v>18.965517241379292</v>
      </c>
      <c r="S24" s="6">
        <f>(K24/K25-1)*100</f>
        <v>-0.53475935828878329</v>
      </c>
      <c r="T24" s="6">
        <f>R24/-0.13</f>
        <v>-145.88859416445609</v>
      </c>
      <c r="U24" s="6">
        <f>T24*0.0018</f>
        <v>-0.26259946949602098</v>
      </c>
      <c r="V24" s="6">
        <f>T24*0.00015</f>
        <v>-2.1883289124668411E-2</v>
      </c>
      <c r="W24" s="6">
        <f>I25*(100-U24)/100</f>
        <v>3.2022729648491683</v>
      </c>
      <c r="X24" s="6">
        <f>K25*(100-V24)/100</f>
        <v>1.1210136730822871</v>
      </c>
      <c r="Y24" s="6">
        <f>W24/X24</f>
        <v>2.8565868925080524</v>
      </c>
      <c r="Z24" s="6">
        <f>Y24/AA25-1</f>
        <v>2.4066351527844976E-3</v>
      </c>
      <c r="AA24" s="3">
        <f t="shared" si="31"/>
        <v>2.6537909100505184</v>
      </c>
      <c r="AB24" s="3">
        <f t="shared" si="32"/>
        <v>10.077871119087218</v>
      </c>
      <c r="AC24" s="3">
        <f t="shared" si="14"/>
        <v>3.7056021514922182</v>
      </c>
      <c r="AD24" s="6">
        <f>AA24/AA25-1</f>
        <v>-6.8756625776162261E-2</v>
      </c>
      <c r="AE24" s="6">
        <f>AB24/AB25-1</f>
        <v>0.1960511679644048</v>
      </c>
      <c r="AF24" s="6">
        <f>AC24/AC25-1</f>
        <v>-0.38441999271004168</v>
      </c>
    </row>
    <row r="25" spans="1:32" s="2" customFormat="1">
      <c r="A25" s="2">
        <v>1650</v>
      </c>
      <c r="B25" s="2">
        <v>103</v>
      </c>
      <c r="C25" s="35">
        <v>12.07</v>
      </c>
      <c r="D25" s="35">
        <v>15.66</v>
      </c>
      <c r="E25" s="35">
        <v>1.87</v>
      </c>
      <c r="F25" s="35">
        <v>9.44</v>
      </c>
      <c r="G25" s="35">
        <v>0.28999999999999998</v>
      </c>
      <c r="H25" s="35">
        <v>1.81</v>
      </c>
      <c r="I25" s="2">
        <f t="shared" si="25"/>
        <v>3.1938858375833661</v>
      </c>
      <c r="J25" s="2">
        <f t="shared" si="26"/>
        <v>9.4435421442820147</v>
      </c>
      <c r="K25" s="2">
        <f t="shared" si="27"/>
        <v>1.1207684120902512</v>
      </c>
      <c r="L25" s="2">
        <f t="shared" si="28"/>
        <v>6.7466808375566627</v>
      </c>
      <c r="M25" s="2">
        <f t="shared" si="29"/>
        <v>0.12036631634819532</v>
      </c>
      <c r="N25" s="2">
        <f t="shared" si="30"/>
        <v>0.67138141996711787</v>
      </c>
      <c r="AA25" s="2">
        <f t="shared" si="31"/>
        <v>2.8497286353982063</v>
      </c>
      <c r="AB25" s="2">
        <f t="shared" si="32"/>
        <v>8.4259531607155633</v>
      </c>
      <c r="AC25" s="2">
        <f t="shared" si="14"/>
        <v>6.0196921725996839</v>
      </c>
    </row>
    <row r="26" spans="1:32">
      <c r="A26" s="6">
        <v>1700</v>
      </c>
      <c r="B26" s="6">
        <v>0</v>
      </c>
      <c r="C26" s="34">
        <v>10.849056603773583</v>
      </c>
      <c r="D26" s="34">
        <v>1.3333333333333335</v>
      </c>
      <c r="E26" s="34">
        <v>2.4190349999999996</v>
      </c>
      <c r="F26" s="34">
        <v>2.3356643356643358</v>
      </c>
      <c r="G26" s="34">
        <v>0.24096385542168677</v>
      </c>
      <c r="H26" s="34">
        <v>0.13513513513513514</v>
      </c>
      <c r="I26" s="3">
        <f t="shared" ref="I26:I31" si="33">C26*26.98/101.96</f>
        <v>2.8708076419165485</v>
      </c>
      <c r="J26" s="3">
        <f t="shared" ref="J26:J31" si="34">D26*24.305/40.3044</f>
        <v>0.80404786243354753</v>
      </c>
      <c r="K26" s="6">
        <f t="shared" ref="K26:K31" si="35">E26*47.867/79.866</f>
        <v>1.4498278159041391</v>
      </c>
      <c r="L26" s="6">
        <f t="shared" ref="L26:L31" si="36">F26*40.078/56.0774</f>
        <v>1.6692777347871917</v>
      </c>
      <c r="M26" s="6">
        <f t="shared" ref="M26:M31" si="37">G26*39.0983/94.2</f>
        <v>0.10001355741437087</v>
      </c>
      <c r="N26" s="6">
        <f t="shared" ref="N26:N31" si="38">H26*22.989769/61.9789</f>
        <v>5.0125535311864852E-2</v>
      </c>
      <c r="O26" s="6">
        <f>100*(I26/(I26+L26+M26+N26))</f>
        <v>61.208320851761947</v>
      </c>
      <c r="P26" s="6">
        <f>100*(I26/(I26+L26+N26))</f>
        <v>62.541954976442469</v>
      </c>
      <c r="Q26" s="6">
        <f>(I26/I31-1)*100</f>
        <v>-5.4960226152127039</v>
      </c>
      <c r="R26" s="6">
        <f>(J26/J31-1)*100</f>
        <v>-87.834549878345484</v>
      </c>
      <c r="S26" s="6">
        <f>(K26/K31-1)*100</f>
        <v>29.360160427807447</v>
      </c>
      <c r="T26" s="6">
        <f>R26/-0.13</f>
        <v>675.65038367958061</v>
      </c>
      <c r="U26" s="6">
        <f>T26*0.0018</f>
        <v>1.216170690623245</v>
      </c>
      <c r="V26" s="6">
        <f>T26*0.00015</f>
        <v>0.10134755755193708</v>
      </c>
      <c r="W26" s="6">
        <f>I31*(100-U26)/100</f>
        <v>3.000819435614456</v>
      </c>
      <c r="X26" s="6">
        <f>K31*(100-V26)/100</f>
        <v>1.1196325406787841</v>
      </c>
      <c r="Y26" s="6">
        <f>W26/X26</f>
        <v>2.6801824050194099</v>
      </c>
      <c r="Z26" s="6">
        <f>Y26/AA31-1</f>
        <v>-1.1159541253207172E-2</v>
      </c>
      <c r="AA26" s="3">
        <f t="shared" ref="AA26:AA31" si="39">I26/K26</f>
        <v>1.9801024717726639</v>
      </c>
      <c r="AB26" s="3">
        <f t="shared" ref="AB26:AB31" si="40">J26/K26</f>
        <v>0.55458162246123588</v>
      </c>
      <c r="AC26" s="3">
        <f t="shared" si="14"/>
        <v>1.1513627456141746</v>
      </c>
      <c r="AD26" s="6">
        <f>AA26/AA31-1</f>
        <v>-0.26945067884692742</v>
      </c>
      <c r="AE26" s="6">
        <f>AB26/AB31-1</f>
        <v>-0.9059567483418226</v>
      </c>
      <c r="AF26" s="6">
        <f>AC26/AC31-1</f>
        <v>-0.82123252332445262</v>
      </c>
    </row>
    <row r="27" spans="1:32">
      <c r="A27" s="6">
        <v>1700</v>
      </c>
      <c r="B27" s="6">
        <v>10</v>
      </c>
      <c r="C27" s="34">
        <v>13.452830188679243</v>
      </c>
      <c r="D27" s="34">
        <v>0.66666666666666674</v>
      </c>
      <c r="E27" s="34">
        <v>3.1864529999999998</v>
      </c>
      <c r="F27" s="34">
        <v>1.2867132867132869</v>
      </c>
      <c r="G27" s="34">
        <v>0.26506024096385544</v>
      </c>
      <c r="H27" s="34">
        <v>5.4054054054054057E-2</v>
      </c>
      <c r="I27" s="3">
        <f t="shared" si="33"/>
        <v>3.5598014759765202</v>
      </c>
      <c r="J27" s="3">
        <f t="shared" si="34"/>
        <v>0.40202393121677377</v>
      </c>
      <c r="K27" s="6">
        <f t="shared" si="35"/>
        <v>1.9097731919840728</v>
      </c>
      <c r="L27" s="6">
        <f t="shared" si="36"/>
        <v>0.91960210539174636</v>
      </c>
      <c r="M27" s="6">
        <f t="shared" si="37"/>
        <v>0.11001491315580796</v>
      </c>
      <c r="N27" s="6">
        <f t="shared" si="38"/>
        <v>2.0050214124745943E-2</v>
      </c>
      <c r="O27" s="6">
        <f>100*(I27/(I27+L27+M27+N27))</f>
        <v>77.228021296623766</v>
      </c>
      <c r="P27" s="6">
        <f>100*(I27/(I27+L27+N27))</f>
        <v>79.116302506368257</v>
      </c>
      <c r="Q27" s="6">
        <f>(I27/I31-1)*100</f>
        <v>17.184931957136239</v>
      </c>
      <c r="R27" s="6">
        <f>(J27/J31-1)*100</f>
        <v>-93.917274939172742</v>
      </c>
      <c r="S27" s="6">
        <f>(K27/K31-1)*100</f>
        <v>70.398556149732556</v>
      </c>
      <c r="T27" s="6">
        <f>R27/-0.13</f>
        <v>722.44057645517489</v>
      </c>
      <c r="U27" s="6">
        <f>T27*0.0018</f>
        <v>1.3003930376193147</v>
      </c>
      <c r="V27" s="6">
        <f>T27*0.00015</f>
        <v>0.10836608646827622</v>
      </c>
      <c r="W27" s="6">
        <f>I31*(100-U27)/100</f>
        <v>2.9982609596215144</v>
      </c>
      <c r="X27" s="6">
        <f>K31*(100-V27)/100</f>
        <v>1.1195538792236963</v>
      </c>
      <c r="Y27" s="6">
        <f>W27/X27</f>
        <v>2.6780854546281612</v>
      </c>
      <c r="Z27" s="6">
        <f>Y27/AA31-1</f>
        <v>-1.1933201054483589E-2</v>
      </c>
      <c r="AA27" s="3">
        <f t="shared" si="39"/>
        <v>1.8639917509147905</v>
      </c>
      <c r="AB27" s="3">
        <f t="shared" si="40"/>
        <v>0.21050873103895082</v>
      </c>
      <c r="AC27" s="3">
        <f t="shared" si="14"/>
        <v>0.48152425076004296</v>
      </c>
      <c r="AD27" s="6">
        <f>AA27/AA31-1</f>
        <v>-0.31228917307161019</v>
      </c>
      <c r="AE27" s="6">
        <f>AB27/AB31-1</f>
        <v>-0.96430295421351908</v>
      </c>
      <c r="AF27" s="6">
        <f>AC27/AC31-1</f>
        <v>-0.92523566044293193</v>
      </c>
    </row>
    <row r="28" spans="1:32">
      <c r="A28" s="6">
        <v>1700</v>
      </c>
      <c r="B28" s="6">
        <v>19</v>
      </c>
      <c r="C28" s="34">
        <v>17.60377358490566</v>
      </c>
      <c r="D28" s="34">
        <v>0.46666666666666673</v>
      </c>
      <c r="E28" s="34">
        <v>3.8537729999999999</v>
      </c>
      <c r="F28" s="34">
        <v>0.27972027972027974</v>
      </c>
      <c r="G28" s="34">
        <v>0.26506024096385544</v>
      </c>
      <c r="H28" s="34">
        <v>6.7567567567567571E-3</v>
      </c>
      <c r="I28" s="3">
        <f t="shared" si="33"/>
        <v>4.6581974433185049</v>
      </c>
      <c r="J28" s="3">
        <f t="shared" si="34"/>
        <v>0.28141675185174159</v>
      </c>
      <c r="K28" s="6">
        <f t="shared" si="35"/>
        <v>2.3097256929231462</v>
      </c>
      <c r="L28" s="6">
        <f t="shared" si="36"/>
        <v>0.19991350117211876</v>
      </c>
      <c r="M28" s="6">
        <f t="shared" si="37"/>
        <v>0.11001491315580796</v>
      </c>
      <c r="N28" s="6">
        <f t="shared" si="38"/>
        <v>2.5062767655932429E-3</v>
      </c>
      <c r="O28" s="6">
        <f>100*(I28/(I28+L28+M28+N28))</f>
        <v>93.71438717159306</v>
      </c>
      <c r="P28" s="6">
        <f>100*(I28/(I28+L28+N28))</f>
        <v>95.835512883991385</v>
      </c>
      <c r="Q28" s="6">
        <f>(I28/I31-1)*100</f>
        <v>53.342975478272294</v>
      </c>
      <c r="R28" s="6">
        <f>(J28/J31-1)*100</f>
        <v>-95.742092457420924</v>
      </c>
      <c r="S28" s="6">
        <f>(K28/K31-1)*100</f>
        <v>106.08411764705879</v>
      </c>
      <c r="T28" s="6">
        <f>R28/-0.13</f>
        <v>736.47763428785322</v>
      </c>
      <c r="U28" s="6">
        <f>T28*0.0018</f>
        <v>1.3256597417181357</v>
      </c>
      <c r="V28" s="6">
        <f>T28*0.00015</f>
        <v>0.11047164514317798</v>
      </c>
      <c r="W28" s="6">
        <f>I31*(100-U28)/100</f>
        <v>2.997493416823632</v>
      </c>
      <c r="X28" s="6">
        <f>K31*(100-V28)/100</f>
        <v>1.1195302807871701</v>
      </c>
      <c r="Y28" s="6">
        <f>W28/X28</f>
        <v>2.6774563120490305</v>
      </c>
      <c r="Z28" s="6">
        <f>Y28/AA31-1</f>
        <v>-1.2165320195106077E-2</v>
      </c>
      <c r="AA28" s="3">
        <f t="shared" si="39"/>
        <v>2.0167751770657998</v>
      </c>
      <c r="AB28" s="3">
        <f t="shared" si="40"/>
        <v>0.12183990190436239</v>
      </c>
      <c r="AC28" s="3">
        <f t="shared" si="14"/>
        <v>8.6552919156002425E-2</v>
      </c>
      <c r="AD28" s="6">
        <f>AA28/AA31-1</f>
        <v>-0.25592045991196366</v>
      </c>
      <c r="AE28" s="6">
        <f>AB28/AB31-1</f>
        <v>-0.97933898259024887</v>
      </c>
      <c r="AF28" s="6">
        <f>AC28/AC31-1</f>
        <v>-0.98656127531018256</v>
      </c>
    </row>
    <row r="29" spans="1:32">
      <c r="A29" s="6">
        <v>1700</v>
      </c>
      <c r="B29" s="6">
        <v>39</v>
      </c>
      <c r="C29" s="34">
        <v>25.584905660377355</v>
      </c>
      <c r="D29" s="34">
        <v>1.7666666666666668</v>
      </c>
      <c r="E29" s="34">
        <v>1.9185449999999997</v>
      </c>
      <c r="F29" s="34">
        <v>0.61538461538461542</v>
      </c>
      <c r="G29" s="34">
        <v>4.8192771084337352E-2</v>
      </c>
      <c r="H29" s="34">
        <v>6.7567567567567571E-3</v>
      </c>
      <c r="I29" s="3">
        <f t="shared" si="33"/>
        <v>6.7701133259805912</v>
      </c>
      <c r="J29" s="3">
        <f t="shared" si="34"/>
        <v>1.0653634177244502</v>
      </c>
      <c r="K29" s="6">
        <f t="shared" si="35"/>
        <v>1.1498634401998344</v>
      </c>
      <c r="L29" s="6">
        <f t="shared" si="36"/>
        <v>0.43980970257866125</v>
      </c>
      <c r="M29" s="6">
        <f t="shared" si="37"/>
        <v>2.0002711482874171E-2</v>
      </c>
      <c r="N29" s="6">
        <f t="shared" si="38"/>
        <v>2.5062767655932429E-3</v>
      </c>
      <c r="O29" s="6">
        <f>100*(I29/(I29+L29+M29+N29))</f>
        <v>93.607700843191765</v>
      </c>
      <c r="P29" s="6">
        <f>100*(I29/(I29+L29+N29))</f>
        <v>93.867309326447085</v>
      </c>
      <c r="Q29" s="6">
        <f>(I29/I31-1)*100</f>
        <v>122.86503188482013</v>
      </c>
      <c r="R29" s="6">
        <f>(J29/J31-1)*100</f>
        <v>-83.880778588807786</v>
      </c>
      <c r="S29" s="6">
        <f>(K29/K31-1)*100</f>
        <v>2.5959893048127958</v>
      </c>
      <c r="T29" s="6">
        <f>R29/-0.13</f>
        <v>645.23675837544454</v>
      </c>
      <c r="U29" s="6">
        <f>T29*0.0018</f>
        <v>1.1614261650758002</v>
      </c>
      <c r="V29" s="6">
        <f>T29*0.00015</f>
        <v>9.6785513756316666E-2</v>
      </c>
      <c r="W29" s="6">
        <f>I31*(100-U29)/100</f>
        <v>3.0024824450098682</v>
      </c>
      <c r="X29" s="6">
        <f>K31*(100-V29)/100</f>
        <v>1.1196836706245912</v>
      </c>
      <c r="Y29" s="6">
        <f>W29/X29</f>
        <v>2.6815452647755404</v>
      </c>
      <c r="Z29" s="6">
        <f>Y29/AA31-1</f>
        <v>-1.0656720675049636E-2</v>
      </c>
      <c r="AA29" s="3">
        <f t="shared" si="39"/>
        <v>5.887754223061493</v>
      </c>
      <c r="AB29" s="3">
        <f t="shared" si="40"/>
        <v>0.92651299317708635</v>
      </c>
      <c r="AC29" s="3">
        <f t="shared" si="14"/>
        <v>0.38248863926156906</v>
      </c>
      <c r="AD29" s="6">
        <f>AA29/AA31-1</f>
        <v>1.1722587149356092</v>
      </c>
      <c r="AE29" s="6">
        <f>AB29/AB31-1</f>
        <v>-0.84288643717541445</v>
      </c>
      <c r="AF29" s="6">
        <f>AC29/AC31-1</f>
        <v>-0.94061252271856333</v>
      </c>
    </row>
    <row r="30" spans="1:32">
      <c r="A30" s="6">
        <v>1700</v>
      </c>
      <c r="B30" s="6">
        <v>70</v>
      </c>
      <c r="C30" s="34">
        <v>27.924528301886792</v>
      </c>
      <c r="D30" s="34">
        <v>1.9333333333333333</v>
      </c>
      <c r="E30" s="34">
        <v>1.33464</v>
      </c>
      <c r="F30" s="34">
        <v>1.1328671328671331</v>
      </c>
      <c r="G30" s="34">
        <v>3.614457831325301E-2</v>
      </c>
      <c r="H30" s="34">
        <v>2.7027027027027029E-2</v>
      </c>
      <c r="I30" s="3">
        <f t="shared" si="33"/>
        <v>7.3892092348460734</v>
      </c>
      <c r="J30" s="3">
        <f t="shared" si="34"/>
        <v>1.1658694005286436</v>
      </c>
      <c r="K30" s="6">
        <f t="shared" si="35"/>
        <v>0.79990500187814584</v>
      </c>
      <c r="L30" s="6">
        <f t="shared" si="36"/>
        <v>0.80964967974708113</v>
      </c>
      <c r="M30" s="6">
        <f t="shared" si="37"/>
        <v>1.5002033612155628E-2</v>
      </c>
      <c r="N30" s="6">
        <f t="shared" si="38"/>
        <v>1.0025107062372971E-2</v>
      </c>
      <c r="O30" s="6">
        <f>100*(I30/(I30+L30+M30+N30))</f>
        <v>89.850578974316278</v>
      </c>
      <c r="P30" s="6">
        <f>100*(I30/(I30+L30+N30))</f>
        <v>90.014784169844475</v>
      </c>
      <c r="Q30" s="6">
        <f>(I30/I31-1)*100</f>
        <v>143.24502005127863</v>
      </c>
      <c r="R30" s="6">
        <f>(J30/J31-1)*100</f>
        <v>-82.360097323600982</v>
      </c>
      <c r="S30" s="6">
        <f>(K30/K31-1)*100</f>
        <v>-28.628877005347608</v>
      </c>
      <c r="T30" s="6">
        <f>R30/-0.13</f>
        <v>633.53921018154597</v>
      </c>
      <c r="U30" s="6">
        <f>T30*0.0018</f>
        <v>1.1403705783267828</v>
      </c>
      <c r="V30" s="6">
        <f>T30*0.00015</f>
        <v>9.5030881527231881E-2</v>
      </c>
      <c r="W30" s="6">
        <f>I31*(100-U30)/100</f>
        <v>3.0031220640081036</v>
      </c>
      <c r="X30" s="6">
        <f>K31*(100-V30)/100</f>
        <v>1.119703335988363</v>
      </c>
      <c r="Y30" s="6">
        <f>W30/X30</f>
        <v>2.6820694084627741</v>
      </c>
      <c r="Z30" s="6">
        <f>Y30/AA31-1</f>
        <v>-1.0463340372588559E-2</v>
      </c>
      <c r="AA30" s="3">
        <f t="shared" si="39"/>
        <v>9.2376084878785569</v>
      </c>
      <c r="AB30" s="3">
        <f t="shared" si="40"/>
        <v>1.457509826530935</v>
      </c>
      <c r="AC30" s="3">
        <f t="shared" si="14"/>
        <v>1.0121822939549761</v>
      </c>
      <c r="AD30" s="6">
        <f>AA30/AA31-1</f>
        <v>2.408171398248899</v>
      </c>
      <c r="AE30" s="6">
        <f>AB30/AB31-1</f>
        <v>-0.75284257923585252</v>
      </c>
      <c r="AF30" s="6">
        <f>AC30/AC31-1</f>
        <v>-0.84284251395551624</v>
      </c>
    </row>
    <row r="31" spans="1:32" s="2" customFormat="1">
      <c r="A31" s="2">
        <v>1700</v>
      </c>
      <c r="B31" s="2">
        <v>99</v>
      </c>
      <c r="C31" s="31">
        <v>11.48</v>
      </c>
      <c r="D31" s="31">
        <v>10.96</v>
      </c>
      <c r="E31" s="31">
        <v>1.87</v>
      </c>
      <c r="F31" s="31">
        <v>10.1</v>
      </c>
      <c r="G31" s="31">
        <v>0.26</v>
      </c>
      <c r="H31" s="31">
        <v>1.91</v>
      </c>
      <c r="I31" s="2">
        <f t="shared" si="33"/>
        <v>3.0377638289525311</v>
      </c>
      <c r="J31" s="2">
        <f t="shared" si="34"/>
        <v>6.6092734292037596</v>
      </c>
      <c r="K31" s="2">
        <f t="shared" si="35"/>
        <v>1.1207684120902512</v>
      </c>
      <c r="L31" s="2">
        <f t="shared" si="36"/>
        <v>7.2183767435722777</v>
      </c>
      <c r="M31" s="2">
        <f t="shared" si="37"/>
        <v>0.10791462845010616</v>
      </c>
      <c r="N31" s="2">
        <f t="shared" si="38"/>
        <v>0.70847431609789768</v>
      </c>
      <c r="AA31" s="2">
        <f t="shared" si="39"/>
        <v>2.7104295554574493</v>
      </c>
      <c r="AB31" s="2">
        <f t="shared" si="40"/>
        <v>5.8970911009861151</v>
      </c>
      <c r="AC31" s="2">
        <f t="shared" si="14"/>
        <v>6.4405604812772053</v>
      </c>
    </row>
    <row r="32" spans="1:32">
      <c r="A32" s="6">
        <v>1980</v>
      </c>
      <c r="B32" s="6">
        <v>0</v>
      </c>
      <c r="C32" s="34">
        <v>11.735849056603772</v>
      </c>
      <c r="D32" s="34">
        <v>2.7166666666666668</v>
      </c>
      <c r="E32" s="34">
        <v>2.9028419999999997</v>
      </c>
      <c r="F32" s="34">
        <v>0.82517482517482521</v>
      </c>
      <c r="G32" s="34">
        <v>0.25301204819277112</v>
      </c>
      <c r="H32" s="34">
        <v>2.7027027027027029E-2</v>
      </c>
      <c r="I32" s="3">
        <f t="shared" ref="I32:I37" si="41">C32*26.98/101.96</f>
        <v>3.105464962212336</v>
      </c>
      <c r="J32" s="3">
        <f t="shared" ref="J32:J37" si="42">D32*24.305/40.3044</f>
        <v>1.6382475197083526</v>
      </c>
      <c r="K32" s="6">
        <f t="shared" ref="K32:K37" si="43">E32*47.867/79.866</f>
        <v>1.7397933790849671</v>
      </c>
      <c r="L32" s="6">
        <f t="shared" ref="L32:L37" si="44">F32*40.078/56.0774</f>
        <v>0.58974482845775034</v>
      </c>
      <c r="M32" s="6">
        <f t="shared" ref="M32:M37" si="45">G32*39.0983/94.2</f>
        <v>0.10501423528508941</v>
      </c>
      <c r="N32" s="6">
        <f t="shared" ref="N32:N37" si="46">H32*22.989769/61.9789</f>
        <v>1.0025107062372971E-2</v>
      </c>
      <c r="O32" s="6">
        <f>100*(I32/(I32+L32+M32+N32))</f>
        <v>81.502937309323528</v>
      </c>
      <c r="P32" s="6">
        <f>100*(I32/(I32+L32+N32))</f>
        <v>83.812903848898429</v>
      </c>
      <c r="Q32" s="6">
        <f>(I32/I37-1)*100</f>
        <v>52.810534591194958</v>
      </c>
      <c r="R32" s="6">
        <f>(J32/J37-1)*100</f>
        <v>-88.310384394721737</v>
      </c>
      <c r="S32" s="6">
        <f>(K32/K37-1)*100</f>
        <v>100.196</v>
      </c>
      <c r="T32" s="6">
        <f>R32/-0.13</f>
        <v>679.31064919016717</v>
      </c>
      <c r="U32" s="6">
        <f>T32*0.0018</f>
        <v>1.2227591685423009</v>
      </c>
      <c r="V32" s="6">
        <f>T32*0.00015</f>
        <v>0.10189659737852506</v>
      </c>
      <c r="W32" s="6">
        <f>I37*(100-U32)/100</f>
        <v>2.0073829418026046</v>
      </c>
      <c r="X32" s="6">
        <f>K37*(100-V32)/100</f>
        <v>0.86815949810698645</v>
      </c>
      <c r="Y32" s="6">
        <f>W32/X32</f>
        <v>2.3122282785360109</v>
      </c>
      <c r="Z32" s="6">
        <f>Y32/AA37-1</f>
        <v>-1.1220058569544E-2</v>
      </c>
      <c r="AA32" s="3">
        <f t="shared" ref="AA32:AA37" si="47">I32/K32</f>
        <v>1.7849619383226041</v>
      </c>
      <c r="AB32" s="3">
        <f t="shared" ref="AB32:AB37" si="48">J32/K32</f>
        <v>0.9416333798039731</v>
      </c>
      <c r="AC32" s="3">
        <f t="shared" si="14"/>
        <v>0.33897406183251644</v>
      </c>
      <c r="AD32" s="6">
        <f>AA32/AA37-1</f>
        <v>-0.23669536558575111</v>
      </c>
      <c r="AE32" s="6">
        <f>AB32/AB37-1</f>
        <v>-0.94160914501149739</v>
      </c>
      <c r="AF32" s="6">
        <f>AC32/AC37-1</f>
        <v>-0.93308709857401229</v>
      </c>
    </row>
    <row r="33" spans="1:32">
      <c r="A33" s="6">
        <v>1980</v>
      </c>
      <c r="B33" s="6">
        <v>16</v>
      </c>
      <c r="C33" s="34">
        <v>12.754716981132074</v>
      </c>
      <c r="D33" s="34">
        <v>4.9833333333333343</v>
      </c>
      <c r="E33" s="34">
        <v>3.1530869999999998</v>
      </c>
      <c r="F33" s="34">
        <v>0.58741258741258751</v>
      </c>
      <c r="G33" s="34">
        <v>0.24096385542168677</v>
      </c>
      <c r="H33" s="34">
        <v>1.3513513513513514E-2</v>
      </c>
      <c r="I33" s="3">
        <f t="shared" si="41"/>
        <v>3.3750712451053686</v>
      </c>
      <c r="J33" s="3">
        <f t="shared" si="42"/>
        <v>3.0051288858453837</v>
      </c>
      <c r="K33" s="6">
        <f t="shared" si="43"/>
        <v>1.8897755669371192</v>
      </c>
      <c r="L33" s="6">
        <f t="shared" si="44"/>
        <v>0.41981835246144944</v>
      </c>
      <c r="M33" s="6">
        <f t="shared" si="45"/>
        <v>0.10001355741437087</v>
      </c>
      <c r="N33" s="6">
        <f t="shared" si="46"/>
        <v>5.0125535311864857E-3</v>
      </c>
      <c r="O33" s="6">
        <f>100*(I33/(I33+L33+M33+N33))</f>
        <v>86.542158789190623</v>
      </c>
      <c r="P33" s="6">
        <f>100*(I33/(I33+L33+N33))</f>
        <v>88.819951432963123</v>
      </c>
      <c r="Q33" s="6">
        <f>(I33/I37-1)*100</f>
        <v>66.077044025157235</v>
      </c>
      <c r="R33" s="6">
        <f>(J33/J37-1)*100</f>
        <v>-78.557085484796318</v>
      </c>
      <c r="S33" s="6">
        <f>(K33/K37-1)*100</f>
        <v>117.45427586206895</v>
      </c>
      <c r="T33" s="6">
        <f>R33/-0.13</f>
        <v>604.28527295997162</v>
      </c>
      <c r="U33" s="6">
        <f>T33*0.0018</f>
        <v>1.0877134913279489</v>
      </c>
      <c r="V33" s="6">
        <f>T33*0.00015</f>
        <v>9.064279094399573E-2</v>
      </c>
      <c r="W33" s="6">
        <f>I37*(100-U33)/100</f>
        <v>2.010127383604404</v>
      </c>
      <c r="X33" s="6">
        <f>K37*(100-V33)/100</f>
        <v>0.86825729875197577</v>
      </c>
      <c r="Y33" s="6">
        <f>W33/X33</f>
        <v>2.3151286911077404</v>
      </c>
      <c r="Z33" s="6">
        <f>Y33/AA37-1</f>
        <v>-9.9797529304248567E-3</v>
      </c>
      <c r="AA33" s="3">
        <f t="shared" si="47"/>
        <v>1.7859640605765497</v>
      </c>
      <c r="AB33" s="3">
        <f t="shared" si="48"/>
        <v>1.5902041165216192</v>
      </c>
      <c r="AC33" s="3">
        <f t="shared" si="14"/>
        <v>0.22215249250040631</v>
      </c>
      <c r="AD33" s="6">
        <f>AA33/AA37-1</f>
        <v>-0.23626682728234893</v>
      </c>
      <c r="AE33" s="6">
        <f>AB33/AB37-1</f>
        <v>-0.90139115715156182</v>
      </c>
      <c r="AF33" s="6">
        <f>AC33/AC37-1</f>
        <v>-0.95614747703155611</v>
      </c>
    </row>
    <row r="34" spans="1:32">
      <c r="A34" s="6">
        <v>1980</v>
      </c>
      <c r="B34" s="6">
        <v>24</v>
      </c>
      <c r="C34" s="32">
        <v>16.60377358490566</v>
      </c>
      <c r="D34" s="32">
        <v>4.5666666666666673</v>
      </c>
      <c r="E34" s="32">
        <v>3.1530869999999998</v>
      </c>
      <c r="F34" s="32">
        <v>0.44755244755244761</v>
      </c>
      <c r="G34" s="32">
        <v>0.26506024096385544</v>
      </c>
      <c r="H34" s="32">
        <v>6.7567567567567571E-3</v>
      </c>
      <c r="I34" s="3">
        <f t="shared" si="41"/>
        <v>4.3935838693679363</v>
      </c>
      <c r="J34" s="3">
        <f t="shared" si="42"/>
        <v>2.7538639288349001</v>
      </c>
      <c r="K34" s="6">
        <f t="shared" si="43"/>
        <v>1.8897755669371192</v>
      </c>
      <c r="L34" s="6">
        <f t="shared" si="44"/>
        <v>0.31986160187539003</v>
      </c>
      <c r="M34" s="6">
        <f t="shared" si="45"/>
        <v>0.11001491315580796</v>
      </c>
      <c r="N34" s="6">
        <f t="shared" si="46"/>
        <v>2.5062767655932429E-3</v>
      </c>
      <c r="O34" s="6">
        <f>100*(I34/(I34+L34+M34+N34))</f>
        <v>91.040493601494603</v>
      </c>
      <c r="P34" s="6">
        <f>100*(I34/(I34+L34+N34))</f>
        <v>93.164309223963386</v>
      </c>
      <c r="Q34" s="6">
        <f>(I34/I37-1)*100</f>
        <v>116.19496855345916</v>
      </c>
      <c r="R34" s="6">
        <f>(J34/J37-1)*100</f>
        <v>-80.349971313826728</v>
      </c>
      <c r="S34" s="6">
        <f>(K34/K37-1)*100</f>
        <v>117.45427586206895</v>
      </c>
      <c r="T34" s="6">
        <f>R34/-0.13</f>
        <v>618.07670241405174</v>
      </c>
      <c r="U34" s="6">
        <f>T34*0.0018</f>
        <v>1.1125380643452931</v>
      </c>
      <c r="V34" s="6">
        <f>T34*0.00015</f>
        <v>9.2711505362107746E-2</v>
      </c>
      <c r="W34" s="6">
        <f>I37*(100-U34)/100</f>
        <v>2.0096228906261322</v>
      </c>
      <c r="X34" s="6">
        <f>K37*(100-V34)/100</f>
        <v>0.86823932069223519</v>
      </c>
      <c r="Y34" s="6">
        <f>W34/X34</f>
        <v>2.3145955760491099</v>
      </c>
      <c r="Z34" s="6">
        <f>Y34/AA37-1</f>
        <v>-1.020772932935643E-2</v>
      </c>
      <c r="AA34" s="3">
        <f t="shared" si="47"/>
        <v>2.3249236291529054</v>
      </c>
      <c r="AB34" s="3">
        <f t="shared" si="48"/>
        <v>1.4572439061101126</v>
      </c>
      <c r="AC34" s="3">
        <f t="shared" si="14"/>
        <v>0.16925904190507146</v>
      </c>
      <c r="AD34" s="6">
        <f>AA34/AA37-1</f>
        <v>-5.7911361071995016E-3</v>
      </c>
      <c r="AE34" s="6">
        <f>AB34/AB37-1</f>
        <v>-0.90963604367735096</v>
      </c>
      <c r="AF34" s="6">
        <f>AC34/AC37-1</f>
        <v>-0.96658855392880461</v>
      </c>
    </row>
    <row r="35" spans="1:32">
      <c r="A35" s="6">
        <v>1980</v>
      </c>
      <c r="B35" s="6">
        <v>44</v>
      </c>
      <c r="C35" s="32">
        <v>17.471698113207545</v>
      </c>
      <c r="D35" s="32">
        <v>6.3166666666666673</v>
      </c>
      <c r="E35" s="32">
        <v>3.0529889999999997</v>
      </c>
      <c r="F35" s="32">
        <v>0.47552447552447563</v>
      </c>
      <c r="G35" s="32">
        <v>0.25301204819277112</v>
      </c>
      <c r="H35" s="32">
        <v>6.7567567567567571E-3</v>
      </c>
      <c r="I35" s="3">
        <f t="shared" si="41"/>
        <v>4.6232484807212595</v>
      </c>
      <c r="J35" s="3">
        <f t="shared" si="42"/>
        <v>3.8091767482789312</v>
      </c>
      <c r="K35" s="6">
        <f t="shared" si="43"/>
        <v>1.8297826917962585</v>
      </c>
      <c r="L35" s="6">
        <f t="shared" si="44"/>
        <v>0.33985295199260196</v>
      </c>
      <c r="M35" s="6">
        <f t="shared" si="45"/>
        <v>0.10501423528508941</v>
      </c>
      <c r="N35" s="6">
        <f t="shared" si="46"/>
        <v>2.5062767655932429E-3</v>
      </c>
      <c r="O35" s="6">
        <f>100*(I35/(I35+L35+M35+N35))</f>
        <v>91.177148110890002</v>
      </c>
      <c r="P35" s="6">
        <f>100*(I35/(I35+L35+N35))</f>
        <v>93.10539114669443</v>
      </c>
      <c r="Q35" s="6">
        <f>(I35/I37-1)*100</f>
        <v>127.49606918238996</v>
      </c>
      <c r="R35" s="6">
        <f>(J35/J37-1)*100</f>
        <v>-72.819850831899018</v>
      </c>
      <c r="S35" s="6">
        <f>(K35/K37-1)*100</f>
        <v>110.55096551724137</v>
      </c>
      <c r="T35" s="6">
        <f>R35/-0.13</f>
        <v>560.15269870691554</v>
      </c>
      <c r="U35" s="6">
        <f>T35*0.0018</f>
        <v>1.0082748576724478</v>
      </c>
      <c r="V35" s="6">
        <f>T35*0.00015</f>
        <v>8.402290480603733E-2</v>
      </c>
      <c r="W35" s="6">
        <f>I37*(100-U35)/100</f>
        <v>2.0117417611348745</v>
      </c>
      <c r="X35" s="6">
        <f>K37*(100-V35)/100</f>
        <v>0.86831482854314612</v>
      </c>
      <c r="Y35" s="6">
        <f>W35/X35</f>
        <v>2.3168345109459478</v>
      </c>
      <c r="Z35" s="6">
        <f>Y35/AA37-1</f>
        <v>-9.25029189261517E-3</v>
      </c>
      <c r="AA35" s="3">
        <f t="shared" si="47"/>
        <v>2.5266653255872233</v>
      </c>
      <c r="AB35" s="3">
        <f t="shared" si="48"/>
        <v>2.0817645534397005</v>
      </c>
      <c r="AC35" s="3">
        <f t="shared" si="14"/>
        <v>0.18573405110689706</v>
      </c>
      <c r="AD35" s="6">
        <f>AA35/AA37-1</f>
        <v>8.0479819332678337E-2</v>
      </c>
      <c r="AE35" s="6">
        <f>AB35/AB37-1</f>
        <v>-0.87090940617949675</v>
      </c>
      <c r="AF35" s="6">
        <f>AC35/AC37-1</f>
        <v>-0.96333641522310431</v>
      </c>
    </row>
    <row r="36" spans="1:32">
      <c r="A36" s="6">
        <v>1980</v>
      </c>
      <c r="B36" s="6">
        <v>75</v>
      </c>
      <c r="C36" s="32">
        <v>7.95</v>
      </c>
      <c r="D36" s="32">
        <v>25.75</v>
      </c>
      <c r="E36" s="32">
        <v>1.46</v>
      </c>
      <c r="F36" s="32">
        <v>4.1500000000000004</v>
      </c>
      <c r="G36" s="32">
        <v>0.04</v>
      </c>
      <c r="H36" s="32">
        <v>0.48</v>
      </c>
      <c r="I36" s="3">
        <f t="shared" si="41"/>
        <v>2.1036779129070227</v>
      </c>
      <c r="J36" s="3">
        <f t="shared" si="42"/>
        <v>15.528174343247883</v>
      </c>
      <c r="K36" s="6">
        <f t="shared" si="43"/>
        <v>0.87503843938597148</v>
      </c>
      <c r="L36" s="6">
        <f t="shared" si="44"/>
        <v>2.9659666817648471</v>
      </c>
      <c r="M36" s="6">
        <f t="shared" si="45"/>
        <v>1.6602250530785564E-2</v>
      </c>
      <c r="N36" s="6">
        <f t="shared" si="46"/>
        <v>0.17804590142774393</v>
      </c>
      <c r="O36" s="6">
        <f>100*(I36/(I36+L36+M36+N36))</f>
        <v>39.961263823208881</v>
      </c>
      <c r="P36" s="6">
        <f>100*(I36/(I36+L36+N36))</f>
        <v>40.087690279573415</v>
      </c>
      <c r="Q36" s="6">
        <f>(I36/I37-1)*100</f>
        <v>3.5156250000000222</v>
      </c>
      <c r="R36" s="6">
        <f>(J36/J37-1)*100</f>
        <v>10.800344234079207</v>
      </c>
      <c r="S36" s="6">
        <f>(K36/K37-1)*100</f>
        <v>0.68965517241379448</v>
      </c>
      <c r="T36" s="6">
        <f>R36/-0.13</f>
        <v>-83.079571031378507</v>
      </c>
      <c r="U36" s="6">
        <f>T36*0.0018</f>
        <v>-0.1495432278564813</v>
      </c>
      <c r="V36" s="6">
        <f>T36*0.00015</f>
        <v>-1.2461935654706775E-2</v>
      </c>
      <c r="W36" s="6">
        <f>I37*(100-U36)/100</f>
        <v>2.0352713136414793</v>
      </c>
      <c r="X36" s="6">
        <f>K37*(100-V36)/100</f>
        <v>0.86915332524945244</v>
      </c>
      <c r="Y36" s="6">
        <f>W36/X36</f>
        <v>2.3416712040506131</v>
      </c>
      <c r="Z36" s="6">
        <f>Y36/AA37-1</f>
        <v>1.3706421134795921E-3</v>
      </c>
      <c r="AA36" s="3">
        <f t="shared" si="47"/>
        <v>2.4040977152766079</v>
      </c>
      <c r="AB36" s="3">
        <f t="shared" si="48"/>
        <v>17.745705381976421</v>
      </c>
      <c r="AC36" s="3">
        <f t="shared" si="14"/>
        <v>3.3895273033332267</v>
      </c>
      <c r="AD36" s="6">
        <f>AA36/AA37-1</f>
        <v>2.8066138698630283E-2</v>
      </c>
      <c r="AE36" s="6">
        <f>AB36/AB37-1</f>
        <v>0.10041437766722483</v>
      </c>
      <c r="AF36" s="6">
        <f>AC36/AC37-1</f>
        <v>-0.33091309375555955</v>
      </c>
    </row>
    <row r="37" spans="1:32" s="2" customFormat="1">
      <c r="A37" s="2">
        <v>1980</v>
      </c>
      <c r="B37" s="2">
        <v>97</v>
      </c>
      <c r="C37" s="36">
        <v>7.68</v>
      </c>
      <c r="D37" s="36">
        <v>23.24</v>
      </c>
      <c r="E37" s="36">
        <v>1.45</v>
      </c>
      <c r="F37" s="36">
        <v>6.16</v>
      </c>
      <c r="G37" s="36">
        <v>0.14000000000000001</v>
      </c>
      <c r="H37" s="36">
        <v>1.0900000000000001</v>
      </c>
      <c r="I37" s="2">
        <f t="shared" si="41"/>
        <v>2.0322322479403687</v>
      </c>
      <c r="J37" s="2">
        <f t="shared" si="42"/>
        <v>14.014554242216727</v>
      </c>
      <c r="K37" s="2">
        <f t="shared" si="43"/>
        <v>0.86904502541757433</v>
      </c>
      <c r="L37" s="2">
        <f t="shared" si="44"/>
        <v>4.4024951228123994</v>
      </c>
      <c r="M37" s="2">
        <f t="shared" si="45"/>
        <v>5.8107876857749471E-2</v>
      </c>
      <c r="N37" s="2">
        <f t="shared" si="46"/>
        <v>0.4043125678255019</v>
      </c>
      <c r="AA37" s="2">
        <f t="shared" si="47"/>
        <v>2.338466004064502</v>
      </c>
      <c r="AB37" s="2">
        <f t="shared" si="48"/>
        <v>16.126384516708743</v>
      </c>
      <c r="AC37" s="2">
        <f t="shared" si="14"/>
        <v>5.0658999177827519</v>
      </c>
    </row>
    <row r="38" spans="1:32">
      <c r="A38" s="6">
        <v>2400</v>
      </c>
      <c r="B38" s="6">
        <v>0</v>
      </c>
      <c r="C38" s="34">
        <v>10.849056603773583</v>
      </c>
      <c r="D38" s="34">
        <v>3.2</v>
      </c>
      <c r="E38" s="34">
        <v>3.0363059999999997</v>
      </c>
      <c r="F38" s="34">
        <v>0.69930069930069938</v>
      </c>
      <c r="G38" s="34">
        <v>0.20481927710843376</v>
      </c>
      <c r="H38" s="34">
        <v>5.4054054054054057E-2</v>
      </c>
      <c r="I38" s="3">
        <f t="shared" ref="I38:I43" si="49">C38*26.98/101.96</f>
        <v>2.8708076419165485</v>
      </c>
      <c r="J38" s="3">
        <f t="shared" ref="J38:J43" si="50">D38*24.305/40.3044</f>
        <v>1.929714869840514</v>
      </c>
      <c r="K38" s="6">
        <f t="shared" ref="K38:K43" si="51">E38*47.867/79.866</f>
        <v>1.8197838792727816</v>
      </c>
      <c r="L38" s="6">
        <f t="shared" ref="L38:L43" si="52">F38*40.078/56.0774</f>
        <v>0.49978375293029692</v>
      </c>
      <c r="M38" s="6">
        <f t="shared" ref="M38:M43" si="53">G38*39.0983/94.2</f>
        <v>8.5011523802215244E-2</v>
      </c>
      <c r="N38" s="6">
        <f t="shared" ref="N38:N43" si="54">H38*22.989769/61.9789</f>
        <v>2.0050214124745943E-2</v>
      </c>
      <c r="O38" s="6">
        <f>100*(I38/(I38+L38+M38+N38))</f>
        <v>82.597645169080764</v>
      </c>
      <c r="P38" s="6">
        <f>100*(I38/(I38+L38+N38))</f>
        <v>84.66856639523418</v>
      </c>
      <c r="Q38" s="6">
        <f>(I38/I43-1)*100</f>
        <v>74.703004891684088</v>
      </c>
      <c r="R38" s="6">
        <f>(J38/J43-1)*100</f>
        <v>-87.281399046104923</v>
      </c>
      <c r="S38" s="6">
        <f>(K38/K43-1)*100</f>
        <v>98.451372549019595</v>
      </c>
      <c r="T38" s="6">
        <f>R38/-0.13</f>
        <v>671.39537727773018</v>
      </c>
      <c r="U38" s="6">
        <f>T38*0.0018</f>
        <v>1.2085116790999142</v>
      </c>
      <c r="V38" s="6">
        <f>T38*0.00015</f>
        <v>0.10070930659165951</v>
      </c>
      <c r="W38" s="6">
        <f>I43*(100-U38)/100</f>
        <v>1.6233914225103829</v>
      </c>
      <c r="X38" s="6">
        <f>K43*(100-V38)/100</f>
        <v>0.91606884054049376</v>
      </c>
      <c r="Y38" s="6">
        <f>W38/X38</f>
        <v>1.7721281967767386</v>
      </c>
      <c r="Z38" s="6">
        <f>Y38/AA43-1</f>
        <v>-1.1089191573022461E-2</v>
      </c>
      <c r="AA38" s="3">
        <f t="shared" ref="AA38:AA43" si="55">I38/K38</f>
        <v>1.5775541670716278</v>
      </c>
      <c r="AB38" s="3">
        <f t="shared" ref="AB38:AB43" si="56">J38/K38</f>
        <v>1.0604088165742311</v>
      </c>
      <c r="AC38" s="3">
        <f t="shared" si="14"/>
        <v>0.27463907039885388</v>
      </c>
      <c r="AD38" s="6">
        <f>AA38/AA43-1</f>
        <v>-0.11966844750075678</v>
      </c>
      <c r="AE38" s="6">
        <f>AB38/AB43-1</f>
        <v>-0.93591074331948276</v>
      </c>
      <c r="AF38" s="6">
        <f>AC38/AC43-1</f>
        <v>-0.93774224954278995</v>
      </c>
    </row>
    <row r="39" spans="1:32">
      <c r="A39" s="6">
        <v>2400</v>
      </c>
      <c r="B39" s="6">
        <v>13</v>
      </c>
      <c r="C39" s="34">
        <v>10.90566037735849</v>
      </c>
      <c r="D39" s="34">
        <v>6.05</v>
      </c>
      <c r="E39" s="34">
        <v>3.0529889999999997</v>
      </c>
      <c r="F39" s="34">
        <v>0.79720279720279719</v>
      </c>
      <c r="G39" s="34">
        <v>0.18072289156626506</v>
      </c>
      <c r="H39" s="34">
        <v>5.4054054054054057E-2</v>
      </c>
      <c r="I39" s="3">
        <f t="shared" si="49"/>
        <v>2.8857857687439394</v>
      </c>
      <c r="J39" s="3">
        <f t="shared" si="50"/>
        <v>3.6483671757922207</v>
      </c>
      <c r="K39" s="6">
        <f t="shared" si="51"/>
        <v>1.8297826917962585</v>
      </c>
      <c r="L39" s="6">
        <f t="shared" si="52"/>
        <v>0.56975347834053836</v>
      </c>
      <c r="M39" s="6">
        <f t="shared" si="53"/>
        <v>7.5010168060778135E-2</v>
      </c>
      <c r="N39" s="6">
        <f t="shared" si="54"/>
        <v>2.0050214124745943E-2</v>
      </c>
      <c r="O39" s="6">
        <f>100*(I39/(I39+L39+M39+N39))</f>
        <v>81.276011661648624</v>
      </c>
      <c r="P39" s="6">
        <f>100*(I39/(I39+L39+N39))</f>
        <v>83.030110459016058</v>
      </c>
      <c r="Q39" s="6">
        <f>(I39/I43-1)*100</f>
        <v>75.614498830249417</v>
      </c>
      <c r="R39" s="6">
        <f>(J39/J43-1)*100</f>
        <v>-75.953895071542135</v>
      </c>
      <c r="S39" s="6">
        <f>(K39/K43-1)*100</f>
        <v>99.541764705882343</v>
      </c>
      <c r="T39" s="6">
        <f>R39/-0.13</f>
        <v>584.26073131955491</v>
      </c>
      <c r="U39" s="6">
        <f>T39*0.0018</f>
        <v>1.0516693163751989</v>
      </c>
      <c r="V39" s="6">
        <f>T39*0.00015</f>
        <v>8.7639109697933232E-2</v>
      </c>
      <c r="W39" s="6">
        <f>I43*(100-U39)/100</f>
        <v>1.6259687350973389</v>
      </c>
      <c r="X39" s="6">
        <f>K43*(100-V39)/100</f>
        <v>0.91618869324446151</v>
      </c>
      <c r="Y39" s="6">
        <f>W39/X39</f>
        <v>1.7747094535071835</v>
      </c>
      <c r="Z39" s="6">
        <f>Y39/AA43-1</f>
        <v>-9.648758152514425E-3</v>
      </c>
      <c r="AA39" s="3">
        <f t="shared" si="55"/>
        <v>1.5771193932931049</v>
      </c>
      <c r="AB39" s="3">
        <f t="shared" si="56"/>
        <v>1.9938800340332745</v>
      </c>
      <c r="AC39" s="3">
        <f t="shared" si="14"/>
        <v>0.31137767391450377</v>
      </c>
      <c r="AD39" s="6">
        <f>AA39/AA43-1</f>
        <v>-0.11991106679296371</v>
      </c>
      <c r="AE39" s="6">
        <f>AB39/AB43-1</f>
        <v>-0.87949337341031841</v>
      </c>
      <c r="AF39" s="6">
        <f>AC39/AC43-1</f>
        <v>-0.92941399964556315</v>
      </c>
    </row>
    <row r="40" spans="1:32">
      <c r="A40" s="6">
        <v>2400</v>
      </c>
      <c r="B40" s="6">
        <v>26</v>
      </c>
      <c r="C40" s="34">
        <v>17.301886792452827</v>
      </c>
      <c r="D40" s="34">
        <v>6.333333333333333</v>
      </c>
      <c r="E40" s="34">
        <v>2.4690839999999996</v>
      </c>
      <c r="F40" s="34">
        <v>0.29370629370629375</v>
      </c>
      <c r="G40" s="34">
        <v>0.16867469879518077</v>
      </c>
      <c r="H40" s="34">
        <v>1.3513513513513514E-2</v>
      </c>
      <c r="I40" s="3">
        <f t="shared" si="49"/>
        <v>4.578314100239087</v>
      </c>
      <c r="J40" s="3">
        <f t="shared" si="50"/>
        <v>3.8192273465593494</v>
      </c>
      <c r="K40" s="6">
        <f t="shared" si="51"/>
        <v>1.4798242534745696</v>
      </c>
      <c r="L40" s="6">
        <f t="shared" si="52"/>
        <v>0.20990917623072472</v>
      </c>
      <c r="M40" s="6">
        <f t="shared" si="53"/>
        <v>7.0009490190059614E-2</v>
      </c>
      <c r="N40" s="6">
        <f t="shared" si="54"/>
        <v>5.0125535311864857E-3</v>
      </c>
      <c r="O40" s="6">
        <f>100*(I40/(I40+L40+M40+N40))</f>
        <v>94.141130023422761</v>
      </c>
      <c r="P40" s="6">
        <f>100*(I40/(I40+L40+N40))</f>
        <v>95.516145305918172</v>
      </c>
      <c r="Q40" s="6">
        <f>(I40/I43-1)*100</f>
        <v>178.61331388812926</v>
      </c>
      <c r="R40" s="6">
        <f>(J40/J43-1)*100</f>
        <v>-74.827768945416011</v>
      </c>
      <c r="S40" s="6">
        <f>(K40/K43-1)*100</f>
        <v>61.37803921568625</v>
      </c>
      <c r="T40" s="6">
        <f>R40/-0.13</f>
        <v>575.59822265704622</v>
      </c>
      <c r="U40" s="6">
        <f>T40*0.0018</f>
        <v>1.0360768007826833</v>
      </c>
      <c r="V40" s="6">
        <f>T40*0.00015</f>
        <v>8.6339733398556925E-2</v>
      </c>
      <c r="W40" s="6">
        <f>I43*(100-U40)/100</f>
        <v>1.6262249591556912</v>
      </c>
      <c r="X40" s="6">
        <f>K43*(100-V40)/100</f>
        <v>0.91620060842555762</v>
      </c>
      <c r="Y40" s="6">
        <f>W40/X40</f>
        <v>1.7749660327668555</v>
      </c>
      <c r="Z40" s="6">
        <f>Y40/AA43-1</f>
        <v>-9.5055777643408002E-3</v>
      </c>
      <c r="AA40" s="3">
        <f t="shared" si="55"/>
        <v>3.093822857335514</v>
      </c>
      <c r="AB40" s="3">
        <f t="shared" si="56"/>
        <v>2.5808654896633518</v>
      </c>
      <c r="AC40" s="3">
        <f t="shared" si="14"/>
        <v>0.14184736852221888</v>
      </c>
      <c r="AD40" s="6">
        <f>AA40/AA43-1</f>
        <v>0.72646362071455584</v>
      </c>
      <c r="AE40" s="6">
        <f>AB40/AB43-1</f>
        <v>-0.84401699774688299</v>
      </c>
      <c r="AF40" s="6">
        <f>AC40/AC43-1</f>
        <v>-0.96784471320980314</v>
      </c>
    </row>
    <row r="41" spans="1:32">
      <c r="A41" s="6">
        <v>2400</v>
      </c>
      <c r="B41" s="6">
        <v>50</v>
      </c>
      <c r="C41" s="34">
        <v>13.188679245283017</v>
      </c>
      <c r="D41" s="34">
        <v>19.516666666666669</v>
      </c>
      <c r="E41" s="34">
        <v>1.5181529999999999</v>
      </c>
      <c r="F41" s="34">
        <v>1.6783216783216786</v>
      </c>
      <c r="G41" s="34">
        <v>6.0240963855421693E-2</v>
      </c>
      <c r="H41" s="34">
        <v>0.10810810810810811</v>
      </c>
      <c r="I41" s="3">
        <f t="shared" si="49"/>
        <v>3.4899035507820306</v>
      </c>
      <c r="J41" s="3">
        <f t="shared" si="50"/>
        <v>11.769250586371051</v>
      </c>
      <c r="K41" s="6">
        <f t="shared" si="51"/>
        <v>0.90989193963639081</v>
      </c>
      <c r="L41" s="6">
        <f t="shared" si="52"/>
        <v>1.1994810070327127</v>
      </c>
      <c r="M41" s="6">
        <f t="shared" si="53"/>
        <v>2.5003389353592718E-2</v>
      </c>
      <c r="N41" s="6">
        <f t="shared" si="54"/>
        <v>4.0100428249491886E-2</v>
      </c>
      <c r="O41" s="6">
        <f>100*(I41/(I41+L41+M41+N41))</f>
        <v>73.402294321002216</v>
      </c>
      <c r="P41" s="6">
        <f>100*(I41/(I41+L41+N41))</f>
        <v>73.790350557519062</v>
      </c>
      <c r="Q41" s="6">
        <f>(I41/I43-1)*100</f>
        <v>112.37808768571686</v>
      </c>
      <c r="R41" s="6">
        <f>(J41/J43-1)*100</f>
        <v>-22.429782723900349</v>
      </c>
      <c r="S41" s="6">
        <f>(K41/K43-1)*100</f>
        <v>-0.7743137254902055</v>
      </c>
      <c r="T41" s="6">
        <f>R41/-0.13</f>
        <v>172.53679018384884</v>
      </c>
      <c r="U41" s="6">
        <f>T41*0.0018</f>
        <v>0.3105662223309279</v>
      </c>
      <c r="V41" s="6">
        <f>T41*0.00015</f>
        <v>2.5880518527577324E-2</v>
      </c>
      <c r="W41" s="6">
        <f>I43*(100-U41)/100</f>
        <v>1.6381469138707911</v>
      </c>
      <c r="X41" s="6">
        <f>K43*(100-V41)/100</f>
        <v>0.91675501479303467</v>
      </c>
      <c r="Y41" s="6">
        <f>W41/X41</f>
        <v>1.7868971398434257</v>
      </c>
      <c r="Z41" s="6">
        <f>Y41/AA43-1</f>
        <v>-2.8475940101292396E-3</v>
      </c>
      <c r="AA41" s="3">
        <f t="shared" si="55"/>
        <v>3.8355143053324099</v>
      </c>
      <c r="AB41" s="3">
        <f t="shared" si="56"/>
        <v>12.93477837717109</v>
      </c>
      <c r="AC41" s="3">
        <f t="shared" si="14"/>
        <v>1.3182675379144988</v>
      </c>
      <c r="AD41" s="6">
        <f>AA41/AA43-1</f>
        <v>1.1403539311198991</v>
      </c>
      <c r="AE41" s="6">
        <f>AB41/AB43-1</f>
        <v>-0.21824458778244038</v>
      </c>
      <c r="AF41" s="6">
        <f>AC41/AC43-1</f>
        <v>-0.70116279780539159</v>
      </c>
    </row>
    <row r="42" spans="1:32">
      <c r="A42" s="6">
        <v>2400</v>
      </c>
      <c r="B42" s="6">
        <v>80</v>
      </c>
      <c r="C42" s="33">
        <v>8.4600000000000009</v>
      </c>
      <c r="D42" s="33">
        <v>24.24</v>
      </c>
      <c r="E42" s="33">
        <v>1.5</v>
      </c>
      <c r="F42" s="33">
        <v>4.78</v>
      </c>
      <c r="G42" s="33">
        <v>0.05</v>
      </c>
      <c r="H42" s="33">
        <v>0.53</v>
      </c>
      <c r="I42" s="3">
        <f t="shared" si="49"/>
        <v>2.2386308356218128</v>
      </c>
      <c r="J42" s="3">
        <f t="shared" si="50"/>
        <v>14.617590139041891</v>
      </c>
      <c r="K42" s="6">
        <f t="shared" si="51"/>
        <v>0.89901209525955972</v>
      </c>
      <c r="L42" s="6">
        <f t="shared" si="52"/>
        <v>3.4162218647797511</v>
      </c>
      <c r="M42" s="6">
        <f t="shared" si="53"/>
        <v>2.0752813163481956E-2</v>
      </c>
      <c r="N42" s="6">
        <f t="shared" si="54"/>
        <v>0.19659234949313395</v>
      </c>
      <c r="O42" s="6">
        <f>100*(I42/(I42+L42+M42+N42))</f>
        <v>38.122537554549581</v>
      </c>
      <c r="P42" s="6">
        <f>100*(I42/(I42+L42+N42))</f>
        <v>38.257743455389686</v>
      </c>
      <c r="Q42" s="6">
        <f>(I42/I43-1)*100</f>
        <v>36.231884057971023</v>
      </c>
      <c r="R42" s="6">
        <f>(J42/J43-1)*100</f>
        <v>-3.6565977742448186</v>
      </c>
      <c r="S42" s="6">
        <f>(K42/K43-1)*100</f>
        <v>-1.9607843137254943</v>
      </c>
      <c r="T42" s="6">
        <f>R42/-0.13</f>
        <v>28.127675186498603</v>
      </c>
      <c r="U42" s="6">
        <f>T42*0.0018</f>
        <v>5.0629815335697485E-2</v>
      </c>
      <c r="V42" s="6">
        <f>T42*0.00015</f>
        <v>4.2191512779747899E-3</v>
      </c>
      <c r="W42" s="6">
        <f>I43*(100-U42)/100</f>
        <v>1.6424183196435593</v>
      </c>
      <c r="X42" s="6">
        <f>K43*(100-V42)/100</f>
        <v>0.91695364787083844</v>
      </c>
      <c r="Y42" s="6">
        <f>W42/X42</f>
        <v>1.7911683141860508</v>
      </c>
      <c r="Z42" s="6">
        <f>Y42/AA43-1</f>
        <v>-4.6412622276448268E-4</v>
      </c>
      <c r="AA42" s="3">
        <f t="shared" si="55"/>
        <v>2.4901009090155597</v>
      </c>
      <c r="AB42" s="3">
        <f t="shared" si="56"/>
        <v>16.259614543697044</v>
      </c>
      <c r="AC42" s="3">
        <f t="shared" si="14"/>
        <v>3.7999731959039229</v>
      </c>
      <c r="AD42" s="6">
        <f>AA42/AA43-1</f>
        <v>0.38956521739130423</v>
      </c>
      <c r="AE42" s="6">
        <f>AB42/AB43-1</f>
        <v>-1.7297297297297232E-2</v>
      </c>
      <c r="AF42" s="6">
        <f>AC42/AC43-1</f>
        <v>-0.13858657243816264</v>
      </c>
    </row>
    <row r="43" spans="1:32" s="2" customFormat="1">
      <c r="A43" s="2">
        <v>2400</v>
      </c>
      <c r="B43" s="2">
        <v>95</v>
      </c>
      <c r="C43" s="31">
        <v>6.21</v>
      </c>
      <c r="D43" s="31">
        <v>25.16</v>
      </c>
      <c r="E43" s="31">
        <v>1.53</v>
      </c>
      <c r="F43" s="31">
        <v>5.66</v>
      </c>
      <c r="G43" s="31">
        <v>0.1</v>
      </c>
      <c r="H43" s="31">
        <v>0.87</v>
      </c>
      <c r="I43" s="2">
        <f t="shared" si="49"/>
        <v>1.6432502942330327</v>
      </c>
      <c r="J43" s="2">
        <f t="shared" si="50"/>
        <v>15.172383164121037</v>
      </c>
      <c r="K43" s="2">
        <f t="shared" si="51"/>
        <v>0.91699233716475093</v>
      </c>
      <c r="L43" s="2">
        <f t="shared" si="52"/>
        <v>4.0451497394672371</v>
      </c>
      <c r="M43" s="2">
        <f t="shared" si="53"/>
        <v>4.1505626326963911E-2</v>
      </c>
      <c r="N43" s="2">
        <f t="shared" si="54"/>
        <v>0.32270819633778591</v>
      </c>
      <c r="AA43" s="2">
        <f t="shared" si="55"/>
        <v>1.7920000283904216</v>
      </c>
      <c r="AB43" s="2">
        <f t="shared" si="56"/>
        <v>16.545812379449686</v>
      </c>
      <c r="AC43" s="2">
        <f t="shared" si="14"/>
        <v>4.4113233835458621</v>
      </c>
    </row>
  </sheetData>
  <mergeCells count="1">
    <mergeCell ref="F1:U1"/>
  </mergeCell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8"/>
  <sheetViews>
    <sheetView zoomScale="80" zoomScaleNormal="80" workbookViewId="0">
      <selection activeCell="G14" sqref="G14"/>
    </sheetView>
  </sheetViews>
  <sheetFormatPr defaultRowHeight="14.5"/>
  <cols>
    <col min="1" max="1" width="19.1796875" style="6" customWidth="1"/>
    <col min="2" max="2" width="11.1796875" style="6" customWidth="1"/>
    <col min="3" max="3" width="7.26953125" style="6" customWidth="1"/>
    <col min="4" max="16" width="8.7265625" style="6"/>
    <col min="17" max="17" width="13.26953125" style="6" customWidth="1"/>
    <col min="18" max="19" width="12.54296875" style="6" customWidth="1"/>
    <col min="20" max="20" width="17.90625" style="6" customWidth="1"/>
    <col min="21" max="22" width="20" style="6" customWidth="1"/>
    <col min="23" max="24" width="11.90625" style="6" customWidth="1"/>
    <col min="25" max="25" width="13.81640625" style="6" customWidth="1"/>
    <col min="26" max="26" width="18.36328125" style="6" customWidth="1"/>
    <col min="27" max="30" width="8.7265625" style="6"/>
    <col min="31" max="31" width="11" style="6" customWidth="1"/>
    <col min="32" max="32" width="11.7265625" style="6" customWidth="1"/>
    <col min="33" max="33" width="27.08984375" style="6" customWidth="1"/>
    <col min="34" max="16384" width="8.7265625" style="6"/>
  </cols>
  <sheetData>
    <row r="1" spans="1:33">
      <c r="A1" s="107" t="s">
        <v>195</v>
      </c>
      <c r="B1" s="107"/>
      <c r="C1" s="107"/>
      <c r="D1" s="107"/>
      <c r="E1" s="107"/>
      <c r="F1" s="107"/>
      <c r="G1" s="107"/>
      <c r="H1" s="107"/>
      <c r="I1" s="107"/>
      <c r="J1" s="107"/>
      <c r="K1" s="107"/>
      <c r="L1" s="107"/>
      <c r="M1" s="107"/>
      <c r="N1" s="107"/>
      <c r="O1" s="107"/>
      <c r="P1" s="107"/>
    </row>
    <row r="2" spans="1:33">
      <c r="A2" s="1" t="s">
        <v>58</v>
      </c>
      <c r="B2" s="1" t="s">
        <v>18</v>
      </c>
      <c r="C2" s="1" t="s">
        <v>1</v>
      </c>
      <c r="D2" s="1" t="s">
        <v>2</v>
      </c>
      <c r="E2" s="1" t="s">
        <v>3</v>
      </c>
      <c r="F2" s="1" t="s">
        <v>48</v>
      </c>
      <c r="G2" s="1" t="s">
        <v>49</v>
      </c>
      <c r="H2" s="1" t="s">
        <v>50</v>
      </c>
      <c r="I2" s="1" t="s">
        <v>4</v>
      </c>
      <c r="J2" s="1" t="s">
        <v>5</v>
      </c>
      <c r="K2" s="1" t="s">
        <v>6</v>
      </c>
      <c r="L2" s="1" t="s">
        <v>45</v>
      </c>
      <c r="M2" s="1" t="s">
        <v>46</v>
      </c>
      <c r="N2" s="1" t="s">
        <v>47</v>
      </c>
      <c r="O2" s="1" t="s">
        <v>51</v>
      </c>
      <c r="P2" s="1" t="s">
        <v>52</v>
      </c>
      <c r="Q2" s="1" t="s">
        <v>7</v>
      </c>
      <c r="R2" s="1" t="s">
        <v>8</v>
      </c>
      <c r="S2" s="1" t="s">
        <v>9</v>
      </c>
      <c r="T2" s="1" t="s">
        <v>10</v>
      </c>
      <c r="U2" s="1" t="s">
        <v>11</v>
      </c>
      <c r="V2" s="1" t="s">
        <v>12</v>
      </c>
      <c r="W2" s="1" t="s">
        <v>13</v>
      </c>
      <c r="X2" s="1" t="s">
        <v>14</v>
      </c>
      <c r="Y2" s="1" t="s">
        <v>15</v>
      </c>
      <c r="Z2" s="1" t="s">
        <v>460</v>
      </c>
      <c r="AA2" s="1" t="s">
        <v>16</v>
      </c>
      <c r="AB2" s="1" t="s">
        <v>17</v>
      </c>
      <c r="AC2" s="1" t="s">
        <v>107</v>
      </c>
      <c r="AD2" s="1" t="s">
        <v>459</v>
      </c>
      <c r="AE2" s="1" t="s">
        <v>461</v>
      </c>
      <c r="AF2" s="1" t="s">
        <v>462</v>
      </c>
      <c r="AG2" s="1"/>
    </row>
    <row r="3" spans="1:33">
      <c r="A3" s="6">
        <v>570</v>
      </c>
      <c r="B3" s="6">
        <v>0</v>
      </c>
      <c r="C3" s="25">
        <v>21.73</v>
      </c>
      <c r="D3" s="25">
        <v>1.54</v>
      </c>
      <c r="E3" s="25">
        <v>3.44</v>
      </c>
      <c r="F3" s="25">
        <v>1.44</v>
      </c>
      <c r="G3" s="25">
        <v>0.59</v>
      </c>
      <c r="H3" s="25">
        <v>0.67</v>
      </c>
      <c r="I3" s="3">
        <f>C3*26.98/101.96</f>
        <v>5.7500529619458618</v>
      </c>
      <c r="J3" s="3">
        <f>D3*24.305/40.3044</f>
        <v>0.92867528111074726</v>
      </c>
      <c r="K3" s="6">
        <f>E3*47.867/79.866</f>
        <v>2.0617344051285902</v>
      </c>
      <c r="L3" s="6">
        <f>F3*40.078/56.0774</f>
        <v>1.0291547040340674</v>
      </c>
      <c r="M3" s="6">
        <f>G3*39.0983/94.2</f>
        <v>0.24488319532908703</v>
      </c>
      <c r="N3" s="6">
        <f>H3*22.989769/61.9789</f>
        <v>0.24852240407622592</v>
      </c>
      <c r="O3" s="6">
        <f>100*(I3/(I3+L3+M3+N3))</f>
        <v>79.064467642103779</v>
      </c>
      <c r="P3" s="6">
        <f>100*(I3/(I3+L3+N3))</f>
        <v>81.819490854461847</v>
      </c>
      <c r="Q3" s="6">
        <f>(I3/I10-1)*100</f>
        <v>26.77946324387397</v>
      </c>
      <c r="R3" s="6">
        <f>(J3/J10-1)*100</f>
        <v>-55.49132947976878</v>
      </c>
      <c r="S3" s="6">
        <f>(K3/K10-1)*100</f>
        <v>49.565217391304351</v>
      </c>
      <c r="T3" s="6">
        <f>R3/-0.13</f>
        <v>426.85638061360601</v>
      </c>
      <c r="U3" s="6">
        <f>T3*0.0018</f>
        <v>0.76834148510449074</v>
      </c>
      <c r="V3" s="6">
        <f>T3*0.00015</f>
        <v>6.40284570920409E-2</v>
      </c>
      <c r="W3" s="6">
        <f>I10*(100-U3)/100</f>
        <v>4.5006287088058503</v>
      </c>
      <c r="X3" s="6">
        <f>K10*(100-V3)/100</f>
        <v>1.377602589918371</v>
      </c>
      <c r="Y3" s="6">
        <f t="shared" ref="Y3:Y16" si="0">W3/X3</f>
        <v>3.2670007604098164</v>
      </c>
      <c r="Z3" s="6">
        <f>Y3/AA10-1</f>
        <v>-7.0476427770559402E-3</v>
      </c>
      <c r="AA3" s="3">
        <f>I3/K3</f>
        <v>2.7889397138848402</v>
      </c>
      <c r="AB3" s="3">
        <f>J3/K3</f>
        <v>0.45043400294463526</v>
      </c>
      <c r="AC3" s="3">
        <f>L3/K3</f>
        <v>0.49916938936171029</v>
      </c>
      <c r="AD3" s="6">
        <f>AA3/AA10-1</f>
        <v>-0.15234661203223809</v>
      </c>
      <c r="AE3" s="6">
        <f>AB3/AB10-1</f>
        <v>-0.70241295873101217</v>
      </c>
      <c r="AF3" s="6">
        <f>AC3/AC10-1</f>
        <v>-0.8379140239605356</v>
      </c>
      <c r="AG3" s="3"/>
    </row>
    <row r="4" spans="1:33">
      <c r="A4" s="6">
        <v>570</v>
      </c>
      <c r="B4" s="6">
        <v>13</v>
      </c>
      <c r="C4" s="25">
        <v>23.06</v>
      </c>
      <c r="D4" s="25">
        <v>1.46</v>
      </c>
      <c r="E4" s="25">
        <v>3.75</v>
      </c>
      <c r="F4" s="25">
        <v>1.1299999999999999</v>
      </c>
      <c r="G4" s="25">
        <v>0.51</v>
      </c>
      <c r="H4" s="25">
        <v>0.56999999999999995</v>
      </c>
      <c r="I4" s="3">
        <f t="shared" ref="I4:I67" si="1">C4*26.98/101.96</f>
        <v>6.1019890153001173</v>
      </c>
      <c r="J4" s="3">
        <f t="shared" ref="J4:J67" si="2">D4*24.305/40.3044</f>
        <v>0.88043240936473421</v>
      </c>
      <c r="K4" s="6">
        <f t="shared" ref="K4:K67" si="3">E4*47.867/79.866</f>
        <v>2.2475302381488995</v>
      </c>
      <c r="L4" s="6">
        <f t="shared" ref="L4:L67" si="4">F4*40.078/56.0774</f>
        <v>0.80760056636006661</v>
      </c>
      <c r="M4" s="6">
        <f t="shared" ref="M4:M67" si="5">G4*39.0983/94.2</f>
        <v>0.21167869426751595</v>
      </c>
      <c r="N4" s="6">
        <f t="shared" ref="N4:N67" si="6">H4*22.989769/61.9789</f>
        <v>0.2114295079454459</v>
      </c>
      <c r="O4" s="6">
        <f t="shared" ref="O4:O67" si="7">100*(I4/(I4+L4+M4+N4))</f>
        <v>83.216153115164047</v>
      </c>
      <c r="P4" s="6">
        <f t="shared" ref="P4:P67" si="8">100*(I4/(I4+L4+N4))</f>
        <v>85.689828078217573</v>
      </c>
      <c r="Q4" s="6">
        <f>(I4/I10-1)*100</f>
        <v>34.539089848308024</v>
      </c>
      <c r="R4" s="6">
        <f>(J4/J10-1)*100</f>
        <v>-57.803468208092482</v>
      </c>
      <c r="S4" s="6">
        <f>(K4/K10-1)*100</f>
        <v>63.043478260869598</v>
      </c>
      <c r="T4" s="6">
        <f t="shared" ref="T4:T34" si="9">R4/-0.13</f>
        <v>444.64206313917293</v>
      </c>
      <c r="U4" s="6">
        <f t="shared" ref="U4:U34" si="10">T4*0.0018</f>
        <v>0.80035571365051128</v>
      </c>
      <c r="V4" s="6">
        <f t="shared" ref="V4:V34" si="11">T4*0.00015</f>
        <v>6.6696309470875931E-2</v>
      </c>
      <c r="W4" s="6">
        <f>I10*(100-U4)/100</f>
        <v>4.499176710943062</v>
      </c>
      <c r="X4" s="6">
        <f>K10*(100-V4)/100</f>
        <v>1.3775658139678313</v>
      </c>
      <c r="Y4" s="6">
        <f t="shared" si="0"/>
        <v>3.2660339457640797</v>
      </c>
      <c r="Z4" s="6">
        <f>Y4/AA10-1</f>
        <v>-7.3414905450501777E-3</v>
      </c>
      <c r="AA4" s="3">
        <f t="shared" ref="AA4:AA67" si="12">I4/K4</f>
        <v>2.7149752700661369</v>
      </c>
      <c r="AB4" s="3">
        <f t="shared" ref="AB4:AB67" si="13">J4/K4</f>
        <v>0.39173328768643034</v>
      </c>
      <c r="AC4" s="3">
        <f t="shared" ref="AC4:AC67" si="14">L4/K4</f>
        <v>0.35932800931978509</v>
      </c>
      <c r="AD4" s="6">
        <f>AA4/AA10-1</f>
        <v>-0.17482691559704433</v>
      </c>
      <c r="AE4" s="6">
        <f>AB4/AB10-1</f>
        <v>-0.74119460500963397</v>
      </c>
      <c r="AF4" s="6">
        <f>AC4/AC10-1</f>
        <v>-0.88332210998877669</v>
      </c>
      <c r="AG4" s="3"/>
    </row>
    <row r="5" spans="1:33">
      <c r="A5" s="6">
        <v>570</v>
      </c>
      <c r="B5" s="6">
        <v>30</v>
      </c>
      <c r="C5" s="25">
        <v>24.84</v>
      </c>
      <c r="D5" s="25">
        <v>1.32</v>
      </c>
      <c r="E5" s="25">
        <v>3.79</v>
      </c>
      <c r="F5" s="25">
        <v>0.84</v>
      </c>
      <c r="G5" s="25">
        <v>0.24</v>
      </c>
      <c r="H5" s="25">
        <v>0.42</v>
      </c>
      <c r="I5" s="3">
        <f t="shared" si="1"/>
        <v>6.5730011769321308</v>
      </c>
      <c r="J5" s="3">
        <f t="shared" si="2"/>
        <v>0.79600738380921188</v>
      </c>
      <c r="K5" s="6">
        <f t="shared" si="3"/>
        <v>2.2715038940224876</v>
      </c>
      <c r="L5" s="6">
        <f t="shared" si="4"/>
        <v>0.60034024401987263</v>
      </c>
      <c r="M5" s="6">
        <f t="shared" si="5"/>
        <v>9.9613503184713376E-2</v>
      </c>
      <c r="N5" s="6">
        <f t="shared" si="6"/>
        <v>0.15579016374927593</v>
      </c>
      <c r="O5" s="6">
        <f t="shared" si="7"/>
        <v>88.48063972003402</v>
      </c>
      <c r="P5" s="6">
        <f t="shared" si="8"/>
        <v>89.683219641635532</v>
      </c>
      <c r="Q5" s="6">
        <f>(I5/I10-1)*100</f>
        <v>44.924154025670937</v>
      </c>
      <c r="R5" s="6">
        <f>(J5/J10-1)*100</f>
        <v>-61.849710982658955</v>
      </c>
      <c r="S5" s="6">
        <f>(K5/K10-1)*100</f>
        <v>64.7826086956522</v>
      </c>
      <c r="T5" s="6">
        <f t="shared" si="9"/>
        <v>475.767007558915</v>
      </c>
      <c r="U5" s="6">
        <f t="shared" si="10"/>
        <v>0.856380613606047</v>
      </c>
      <c r="V5" s="6">
        <f t="shared" si="11"/>
        <v>7.1365051133837246E-2</v>
      </c>
      <c r="W5" s="6">
        <f>I10*(100-U5)/100</f>
        <v>4.4966357146831841</v>
      </c>
      <c r="X5" s="6">
        <f>K10*(100-V5)/100</f>
        <v>1.3775014560543866</v>
      </c>
      <c r="Y5" s="6">
        <f t="shared" si="0"/>
        <v>3.2643418959156785</v>
      </c>
      <c r="Z5" s="6">
        <f>Y5/AA10-1</f>
        <v>-7.8557618932141304E-3</v>
      </c>
      <c r="AA5" s="3">
        <f t="shared" si="12"/>
        <v>2.8936781461080159</v>
      </c>
      <c r="AB5" s="3">
        <f t="shared" si="13"/>
        <v>0.35043188167272032</v>
      </c>
      <c r="AC5" s="3">
        <f t="shared" si="14"/>
        <v>0.2642919722038255</v>
      </c>
      <c r="AD5" s="6">
        <f>AA5/AA10-1</f>
        <v>-0.12051304944843511</v>
      </c>
      <c r="AE5" s="6">
        <f>AB5/AB10-1</f>
        <v>-0.76848109567312828</v>
      </c>
      <c r="AF5" s="6">
        <f>AC5/AC10-1</f>
        <v>-0.91418139175395119</v>
      </c>
    </row>
    <row r="6" spans="1:33">
      <c r="A6" s="6">
        <v>570</v>
      </c>
      <c r="B6" s="6">
        <v>44</v>
      </c>
      <c r="C6" s="25">
        <v>26.18</v>
      </c>
      <c r="D6" s="25">
        <v>1.47</v>
      </c>
      <c r="E6" s="25">
        <v>3.94</v>
      </c>
      <c r="F6" s="25">
        <v>0.88</v>
      </c>
      <c r="G6" s="25">
        <v>0.02</v>
      </c>
      <c r="H6" s="25">
        <v>0.21</v>
      </c>
      <c r="I6" s="3">
        <f t="shared" si="1"/>
        <v>6.9275833660258934</v>
      </c>
      <c r="J6" s="3">
        <f t="shared" si="2"/>
        <v>0.88646276833298587</v>
      </c>
      <c r="K6" s="6">
        <f t="shared" si="3"/>
        <v>2.3614051035484436</v>
      </c>
      <c r="L6" s="6">
        <f t="shared" si="4"/>
        <v>0.62892787468748568</v>
      </c>
      <c r="M6" s="6">
        <f t="shared" si="5"/>
        <v>8.3011252653927819E-3</v>
      </c>
      <c r="N6" s="6">
        <f t="shared" si="6"/>
        <v>7.7895081874637964E-2</v>
      </c>
      <c r="O6" s="6">
        <f t="shared" si="7"/>
        <v>90.64305304492099</v>
      </c>
      <c r="P6" s="6">
        <f t="shared" si="8"/>
        <v>90.741612029859638</v>
      </c>
      <c r="Q6" s="6">
        <f>(I6/I10-1)*100</f>
        <v>52.742123687281193</v>
      </c>
      <c r="R6" s="6">
        <f>(J6/J10-1)*100</f>
        <v>-57.514450867052027</v>
      </c>
      <c r="S6" s="6">
        <f>(K6/K10-1)*100</f>
        <v>71.304347826086996</v>
      </c>
      <c r="T6" s="6">
        <f t="shared" si="9"/>
        <v>442.4188528234771</v>
      </c>
      <c r="U6" s="6">
        <f t="shared" si="10"/>
        <v>0.79635393508225871</v>
      </c>
      <c r="V6" s="6">
        <f t="shared" si="11"/>
        <v>6.6362827923521564E-2</v>
      </c>
      <c r="W6" s="6">
        <f>I10*(100-U6)/100</f>
        <v>4.4993582106759105</v>
      </c>
      <c r="X6" s="6">
        <f>K10*(100-V6)/100</f>
        <v>1.3775704109616487</v>
      </c>
      <c r="Y6" s="6">
        <f t="shared" si="0"/>
        <v>3.2661548004178003</v>
      </c>
      <c r="Z6" s="6">
        <f>Y6/AA10-1</f>
        <v>-7.3047587160443017E-3</v>
      </c>
      <c r="AA6" s="3">
        <f t="shared" si="12"/>
        <v>2.933670023671894</v>
      </c>
      <c r="AB6" s="3">
        <f t="shared" si="13"/>
        <v>0.37539631256022665</v>
      </c>
      <c r="AC6" s="3">
        <f t="shared" si="14"/>
        <v>0.266336290093727</v>
      </c>
      <c r="AD6" s="6">
        <f>AA6/AA10-1</f>
        <v>-0.10835816121637876</v>
      </c>
      <c r="AE6" s="6">
        <f>AB6/AB10-1</f>
        <v>-0.7519879111528418</v>
      </c>
      <c r="AF6" s="6">
        <f>AC6/AC10-1</f>
        <v>-0.91351757849219783</v>
      </c>
    </row>
    <row r="7" spans="1:33">
      <c r="A7" s="6">
        <v>570</v>
      </c>
      <c r="B7" s="6">
        <v>62</v>
      </c>
      <c r="C7" s="25">
        <v>26.24</v>
      </c>
      <c r="D7" s="25">
        <v>1.71</v>
      </c>
      <c r="E7" s="25">
        <v>4.21</v>
      </c>
      <c r="F7" s="25">
        <v>0.87</v>
      </c>
      <c r="G7" s="25">
        <v>0.02</v>
      </c>
      <c r="H7" s="25">
        <v>0.21</v>
      </c>
      <c r="I7" s="3">
        <f t="shared" si="1"/>
        <v>6.9434601804629272</v>
      </c>
      <c r="J7" s="3">
        <f t="shared" si="2"/>
        <v>1.0311913835710245</v>
      </c>
      <c r="K7" s="6">
        <f t="shared" si="3"/>
        <v>2.5232272806951639</v>
      </c>
      <c r="L7" s="6">
        <f t="shared" si="4"/>
        <v>0.62178096702058228</v>
      </c>
      <c r="M7" s="6">
        <f t="shared" si="5"/>
        <v>8.3011252653927819E-3</v>
      </c>
      <c r="N7" s="6">
        <f t="shared" si="6"/>
        <v>7.7895081874637964E-2</v>
      </c>
      <c r="O7" s="6">
        <f t="shared" si="7"/>
        <v>90.747134932330027</v>
      </c>
      <c r="P7" s="6">
        <f t="shared" si="8"/>
        <v>90.84569438645245</v>
      </c>
      <c r="Q7" s="6">
        <f>(I7/I10-1)*100</f>
        <v>53.092182030338364</v>
      </c>
      <c r="R7" s="6">
        <f>(J7/J10-1)*100</f>
        <v>-50.578034682080919</v>
      </c>
      <c r="S7" s="6">
        <f>(K7/K10-1)*100</f>
        <v>83.043478260869549</v>
      </c>
      <c r="T7" s="6">
        <f t="shared" si="9"/>
        <v>389.06180524677626</v>
      </c>
      <c r="U7" s="6">
        <f t="shared" si="10"/>
        <v>0.7003112494441972</v>
      </c>
      <c r="V7" s="6">
        <f t="shared" si="11"/>
        <v>5.8359270787016436E-2</v>
      </c>
      <c r="W7" s="6">
        <f>I10*(100-U7)/100</f>
        <v>4.5037142042642735</v>
      </c>
      <c r="X7" s="6">
        <f>K10*(100-V7)/100</f>
        <v>1.3776807388132679</v>
      </c>
      <c r="Y7" s="6">
        <f t="shared" si="0"/>
        <v>3.2690550701491015</v>
      </c>
      <c r="Z7" s="6">
        <f>Y7/AA10-1</f>
        <v>-6.4232683591468609E-3</v>
      </c>
      <c r="AA7" s="3">
        <f t="shared" si="12"/>
        <v>2.7518171801590396</v>
      </c>
      <c r="AB7" s="3">
        <f t="shared" si="13"/>
        <v>0.40867954760180192</v>
      </c>
      <c r="AC7" s="3">
        <f t="shared" si="14"/>
        <v>0.24642289332306125</v>
      </c>
      <c r="AD7" s="6">
        <f>AA7/AA10-1</f>
        <v>-0.16362940933544345</v>
      </c>
      <c r="AE7" s="6">
        <f>AB7/AB10-1</f>
        <v>-0.72999876429640409</v>
      </c>
      <c r="AF7" s="6">
        <f>AC7/AC10-1</f>
        <v>-0.9199836848292906</v>
      </c>
    </row>
    <row r="8" spans="1:33">
      <c r="A8" s="6">
        <v>570</v>
      </c>
      <c r="B8" s="6">
        <v>85</v>
      </c>
      <c r="C8" s="25">
        <v>27.2</v>
      </c>
      <c r="D8" s="25">
        <v>2.0499999999999998</v>
      </c>
      <c r="E8" s="25">
        <v>4.18</v>
      </c>
      <c r="F8" s="25">
        <v>0.78</v>
      </c>
      <c r="G8" s="25">
        <v>0.01</v>
      </c>
      <c r="H8" s="25">
        <v>0.27</v>
      </c>
      <c r="I8" s="3">
        <f t="shared" si="1"/>
        <v>7.1974892114554727</v>
      </c>
      <c r="J8" s="3">
        <f t="shared" si="2"/>
        <v>1.2362235884915789</v>
      </c>
      <c r="K8" s="6">
        <f t="shared" si="3"/>
        <v>2.5052470387899728</v>
      </c>
      <c r="L8" s="6">
        <f t="shared" si="4"/>
        <v>0.55745879801845311</v>
      </c>
      <c r="M8" s="6">
        <f t="shared" si="5"/>
        <v>4.1505626326963909E-3</v>
      </c>
      <c r="N8" s="6">
        <f t="shared" si="6"/>
        <v>0.10015081955310597</v>
      </c>
      <c r="O8" s="6">
        <f t="shared" si="7"/>
        <v>91.579855184306552</v>
      </c>
      <c r="P8" s="6">
        <f t="shared" si="8"/>
        <v>91.628245145159894</v>
      </c>
      <c r="Q8" s="6">
        <f>(I8/I10-1)*100</f>
        <v>58.693115519253183</v>
      </c>
      <c r="R8" s="6">
        <f>(J8/J10-1)*100</f>
        <v>-40.751445086705203</v>
      </c>
      <c r="S8" s="6">
        <f>(K8/K10-1)*100</f>
        <v>81.739130434782609</v>
      </c>
      <c r="T8" s="6">
        <f t="shared" si="9"/>
        <v>313.47265451311694</v>
      </c>
      <c r="U8" s="6">
        <f t="shared" si="10"/>
        <v>0.56425077812361046</v>
      </c>
      <c r="V8" s="6">
        <f t="shared" si="11"/>
        <v>4.7020898176967536E-2</v>
      </c>
      <c r="W8" s="6">
        <f>I10*(100-U8)/100</f>
        <v>4.5098851951811207</v>
      </c>
      <c r="X8" s="6">
        <f>K10*(100-V8)/100</f>
        <v>1.3778370366030617</v>
      </c>
      <c r="Y8" s="6">
        <f t="shared" si="0"/>
        <v>3.273162990523069</v>
      </c>
      <c r="Z8" s="6">
        <f>Y8/AA10-1</f>
        <v>-5.1747320049332357E-3</v>
      </c>
      <c r="AA8" s="3">
        <f t="shared" si="12"/>
        <v>2.8729658592598675</v>
      </c>
      <c r="AB8" s="3">
        <f t="shared" si="13"/>
        <v>0.49345376697408305</v>
      </c>
      <c r="AC8" s="3">
        <f t="shared" si="14"/>
        <v>0.22251649812854549</v>
      </c>
      <c r="AD8" s="6">
        <f>AA8/AA10-1</f>
        <v>-0.12680821604238679</v>
      </c>
      <c r="AE8" s="6">
        <f>AB8/AB10-1</f>
        <v>-0.67399120502254062</v>
      </c>
      <c r="AF8" s="6">
        <f>AC8/AC10-1</f>
        <v>-0.92774636315306169</v>
      </c>
    </row>
    <row r="9" spans="1:33">
      <c r="A9" s="6">
        <v>570</v>
      </c>
      <c r="B9" s="6">
        <v>103</v>
      </c>
      <c r="C9" s="25">
        <v>17.440000000000001</v>
      </c>
      <c r="D9" s="25">
        <v>3.19</v>
      </c>
      <c r="E9" s="25">
        <v>2.5499999999999998</v>
      </c>
      <c r="F9" s="25">
        <v>5.56</v>
      </c>
      <c r="G9" s="25">
        <v>1.6</v>
      </c>
      <c r="H9" s="25">
        <v>5.17</v>
      </c>
      <c r="I9" s="3">
        <f t="shared" si="1"/>
        <v>4.6148607296979218</v>
      </c>
      <c r="J9" s="3">
        <f t="shared" si="2"/>
        <v>1.923684510872262</v>
      </c>
      <c r="K9" s="6">
        <f t="shared" si="3"/>
        <v>1.5283205619412514</v>
      </c>
      <c r="L9" s="6">
        <f t="shared" si="4"/>
        <v>3.9736806627982038</v>
      </c>
      <c r="M9" s="6">
        <f t="shared" si="5"/>
        <v>0.66409002123142258</v>
      </c>
      <c r="N9" s="6">
        <f t="shared" si="6"/>
        <v>1.9177027299613252</v>
      </c>
      <c r="O9" s="6">
        <f t="shared" si="7"/>
        <v>41.313542373352121</v>
      </c>
      <c r="P9" s="6">
        <f t="shared" si="8"/>
        <v>43.924933362565802</v>
      </c>
      <c r="Q9" s="6">
        <f>(I9/I10-1)*100</f>
        <v>1.7502917152858899</v>
      </c>
      <c r="R9" s="6">
        <f>(J9/J10-1)*100</f>
        <v>-7.8034682080924789</v>
      </c>
      <c r="S9" s="6">
        <f>(K9/K10-1)*100</f>
        <v>10.869565217391308</v>
      </c>
      <c r="T9" s="6">
        <f t="shared" si="9"/>
        <v>60.026678523788298</v>
      </c>
      <c r="U9" s="6">
        <f t="shared" si="10"/>
        <v>0.10804802134281893</v>
      </c>
      <c r="V9" s="6">
        <f t="shared" si="11"/>
        <v>9.0040017785682439E-3</v>
      </c>
      <c r="W9" s="6">
        <f>I10*(100-U9)/100</f>
        <v>4.5305761647258427</v>
      </c>
      <c r="X9" s="6">
        <f>K10*(100-V9)/100</f>
        <v>1.3783610938982531</v>
      </c>
      <c r="Y9" s="6">
        <f t="shared" si="0"/>
        <v>3.2869298072775388</v>
      </c>
      <c r="Z9" s="6">
        <f>Y9/AA10-1</f>
        <v>-9.9052938292576442E-4</v>
      </c>
      <c r="AA9" s="3">
        <f t="shared" si="12"/>
        <v>3.0195633328627012</v>
      </c>
      <c r="AB9" s="3">
        <f t="shared" si="13"/>
        <v>1.2586917684525718</v>
      </c>
      <c r="AC9" s="3">
        <f t="shared" si="14"/>
        <v>2.6000308847189033</v>
      </c>
      <c r="AD9" s="6">
        <f>AA9/AA10-1</f>
        <v>-8.2252270803303884E-2</v>
      </c>
      <c r="AE9" s="6">
        <f>AB9/AB10-1</f>
        <v>-0.16842343873965759</v>
      </c>
      <c r="AF9" s="6">
        <f>AC9/AC10-1</f>
        <v>-0.15574041064237187</v>
      </c>
    </row>
    <row r="10" spans="1:33" s="2" customFormat="1">
      <c r="A10" s="2">
        <v>570</v>
      </c>
      <c r="B10" s="2">
        <v>110</v>
      </c>
      <c r="C10" s="29">
        <v>17.14</v>
      </c>
      <c r="D10" s="29">
        <v>3.46</v>
      </c>
      <c r="E10" s="29">
        <v>2.2999999999999998</v>
      </c>
      <c r="F10" s="29">
        <v>5.94</v>
      </c>
      <c r="G10" s="29">
        <v>1.79</v>
      </c>
      <c r="H10" s="29">
        <v>5.18</v>
      </c>
      <c r="I10" s="2">
        <f t="shared" si="1"/>
        <v>4.535476657512751</v>
      </c>
      <c r="J10" s="2">
        <f t="shared" si="2"/>
        <v>2.0865042030150551</v>
      </c>
      <c r="K10" s="2">
        <f t="shared" si="3"/>
        <v>1.3784852127313247</v>
      </c>
      <c r="L10" s="2">
        <f t="shared" si="4"/>
        <v>4.2452631541405283</v>
      </c>
      <c r="M10" s="2">
        <f t="shared" si="5"/>
        <v>0.74295071125265388</v>
      </c>
      <c r="N10" s="2">
        <f t="shared" si="6"/>
        <v>1.9214120195744033</v>
      </c>
      <c r="AA10" s="2">
        <f t="shared" si="12"/>
        <v>3.2901888359949663</v>
      </c>
      <c r="AB10" s="2">
        <f t="shared" si="13"/>
        <v>1.5136210267216901</v>
      </c>
      <c r="AC10" s="2">
        <f t="shared" si="14"/>
        <v>3.0796581021924654</v>
      </c>
    </row>
    <row r="11" spans="1:33" s="3" customFormat="1">
      <c r="A11" s="3">
        <v>930</v>
      </c>
      <c r="B11" s="3">
        <v>0</v>
      </c>
      <c r="C11" s="25">
        <v>17.489999999999998</v>
      </c>
      <c r="D11" s="25">
        <v>1.58</v>
      </c>
      <c r="E11" s="25">
        <v>2.52</v>
      </c>
      <c r="F11" s="25">
        <v>1.81</v>
      </c>
      <c r="G11" s="25">
        <v>1.04</v>
      </c>
      <c r="H11" s="25">
        <v>0.54</v>
      </c>
      <c r="I11" s="3">
        <f t="shared" si="1"/>
        <v>4.6280914083954485</v>
      </c>
      <c r="J11" s="3">
        <f t="shared" si="2"/>
        <v>0.95279671698375368</v>
      </c>
      <c r="K11" s="6">
        <f t="shared" si="3"/>
        <v>1.5103403200360603</v>
      </c>
      <c r="L11" s="6">
        <f t="shared" si="4"/>
        <v>1.2935902877094876</v>
      </c>
      <c r="M11" s="6">
        <f t="shared" si="5"/>
        <v>0.43165851380042464</v>
      </c>
      <c r="N11" s="6">
        <f t="shared" si="6"/>
        <v>0.20030163910621193</v>
      </c>
      <c r="O11" s="6">
        <f t="shared" si="7"/>
        <v>70.618619616716799</v>
      </c>
      <c r="P11" s="6">
        <f t="shared" si="8"/>
        <v>75.59790928826213</v>
      </c>
      <c r="Q11" s="6">
        <f>(I11/I17-1)*100</f>
        <v>6.9070904645476716</v>
      </c>
      <c r="R11" s="6">
        <f>(J11/J17-1)*100</f>
        <v>-65.577342047930287</v>
      </c>
      <c r="S11" s="6">
        <f>(K11/K17-1)*100</f>
        <v>-3.4482758620689613</v>
      </c>
      <c r="T11" s="6">
        <f t="shared" si="9"/>
        <v>504.4410926763868</v>
      </c>
      <c r="U11" s="6">
        <f t="shared" si="10"/>
        <v>0.90799396681749622</v>
      </c>
      <c r="V11" s="6">
        <f t="shared" si="11"/>
        <v>7.5666163901458014E-2</v>
      </c>
      <c r="W11" s="6">
        <f>I17*(100-U11)/100</f>
        <v>4.2897703021384181</v>
      </c>
      <c r="X11" s="6">
        <f>K17*(100-V11)/100</f>
        <v>1.5630974142916758</v>
      </c>
      <c r="Y11" s="6">
        <f t="shared" si="0"/>
        <v>2.7444036839395229</v>
      </c>
      <c r="Z11" s="6">
        <f>Y11/AA17-1</f>
        <v>-8.329580703347661E-3</v>
      </c>
      <c r="AA11" s="3">
        <f t="shared" si="12"/>
        <v>3.0642705799478027</v>
      </c>
      <c r="AB11" s="3">
        <f t="shared" si="13"/>
        <v>0.6308490241199447</v>
      </c>
      <c r="AC11" s="3">
        <f t="shared" si="14"/>
        <v>0.85648927632323446</v>
      </c>
      <c r="AD11" s="6">
        <f>AA11/AA17-1</f>
        <v>0.10725200838281523</v>
      </c>
      <c r="AE11" s="6">
        <f>AB11/AB17-1</f>
        <v>-0.64347961406784937</v>
      </c>
      <c r="AF11" s="6">
        <f>AC11/AC17-1</f>
        <v>-0.71070326278659612</v>
      </c>
    </row>
    <row r="12" spans="1:33" s="3" customFormat="1">
      <c r="A12" s="3">
        <v>930</v>
      </c>
      <c r="B12" s="3">
        <v>10</v>
      </c>
      <c r="C12" s="25">
        <v>20.260000000000002</v>
      </c>
      <c r="D12" s="25">
        <v>1.68</v>
      </c>
      <c r="E12" s="25">
        <v>2.9</v>
      </c>
      <c r="F12" s="25">
        <v>1.66</v>
      </c>
      <c r="G12" s="25">
        <v>1.01</v>
      </c>
      <c r="H12" s="25">
        <v>0.52</v>
      </c>
      <c r="I12" s="3">
        <f t="shared" si="1"/>
        <v>5.3610710082385262</v>
      </c>
      <c r="J12" s="3">
        <f t="shared" si="2"/>
        <v>1.0131003066662696</v>
      </c>
      <c r="K12" s="6">
        <f t="shared" si="3"/>
        <v>1.7380900508351487</v>
      </c>
      <c r="L12" s="6">
        <f t="shared" si="4"/>
        <v>1.1863866727059387</v>
      </c>
      <c r="M12" s="6">
        <f t="shared" si="5"/>
        <v>0.41920682590233543</v>
      </c>
      <c r="N12" s="6">
        <f t="shared" si="6"/>
        <v>0.19288305988005594</v>
      </c>
      <c r="O12" s="6">
        <f t="shared" si="7"/>
        <v>74.88002500539929</v>
      </c>
      <c r="P12" s="6">
        <f t="shared" si="8"/>
        <v>79.53709188272768</v>
      </c>
      <c r="Q12" s="6">
        <f>(I12/I17-1)*100</f>
        <v>23.838630806846005</v>
      </c>
      <c r="R12" s="6">
        <f>(J12/J17-1)*100</f>
        <v>-63.398692810457511</v>
      </c>
      <c r="S12" s="6">
        <f>(K12/K17-1)*100</f>
        <v>11.111111111111116</v>
      </c>
      <c r="T12" s="6">
        <f t="shared" si="9"/>
        <v>487.68225238813471</v>
      </c>
      <c r="U12" s="6">
        <f t="shared" si="10"/>
        <v>0.87782805429864241</v>
      </c>
      <c r="V12" s="6">
        <f t="shared" si="11"/>
        <v>7.3152337858220201E-2</v>
      </c>
      <c r="W12" s="6">
        <f>I17*(100-U12)/100</f>
        <v>4.2910762080418365</v>
      </c>
      <c r="X12" s="6">
        <f>K17*(100-V12)/100</f>
        <v>1.5631367375959937</v>
      </c>
      <c r="Y12" s="6">
        <f t="shared" si="0"/>
        <v>2.7451700832271673</v>
      </c>
      <c r="Z12" s="6">
        <f>Y12/AA17-1</f>
        <v>-8.0526478645767119E-3</v>
      </c>
      <c r="AA12" s="3">
        <f t="shared" si="12"/>
        <v>3.0844610183819547</v>
      </c>
      <c r="AB12" s="3">
        <f t="shared" si="13"/>
        <v>0.58288136807381008</v>
      </c>
      <c r="AC12" s="3">
        <f t="shared" si="14"/>
        <v>0.68258067074020834</v>
      </c>
      <c r="AD12" s="6">
        <f>AA12/AA17-1</f>
        <v>0.11454767726161408</v>
      </c>
      <c r="AE12" s="6">
        <f>AB12/AB17-1</f>
        <v>-0.67058823529411771</v>
      </c>
      <c r="AF12" s="6">
        <f>AC12/AC17-1</f>
        <v>-0.76944444444444449</v>
      </c>
    </row>
    <row r="13" spans="1:33" s="3" customFormat="1">
      <c r="A13" s="3">
        <v>930</v>
      </c>
      <c r="B13" s="3">
        <v>25</v>
      </c>
      <c r="C13" s="25">
        <v>24.09</v>
      </c>
      <c r="D13" s="25">
        <v>2.0499999999999998</v>
      </c>
      <c r="E13" s="25">
        <v>3.29</v>
      </c>
      <c r="F13" s="25">
        <v>1.18</v>
      </c>
      <c r="G13" s="25">
        <v>0.59</v>
      </c>
      <c r="H13" s="25">
        <v>0.35</v>
      </c>
      <c r="I13" s="3">
        <f t="shared" si="1"/>
        <v>6.3745409964692046</v>
      </c>
      <c r="J13" s="3">
        <f t="shared" si="2"/>
        <v>1.2362235884915789</v>
      </c>
      <c r="K13" s="6">
        <f t="shared" si="3"/>
        <v>1.9718331956026343</v>
      </c>
      <c r="L13" s="6">
        <f t="shared" si="4"/>
        <v>0.84333510469458284</v>
      </c>
      <c r="M13" s="6">
        <f t="shared" si="5"/>
        <v>0.24488319532908703</v>
      </c>
      <c r="N13" s="6">
        <f t="shared" si="6"/>
        <v>0.12982513645772994</v>
      </c>
      <c r="O13" s="6">
        <f t="shared" si="7"/>
        <v>83.957459449574429</v>
      </c>
      <c r="P13" s="6">
        <f t="shared" si="8"/>
        <v>86.755582328666804</v>
      </c>
      <c r="Q13" s="6">
        <f>(I13/I17-1)*100</f>
        <v>47.249388753056266</v>
      </c>
      <c r="R13" s="6">
        <f>(J13/J17-1)*100</f>
        <v>-55.337690631808286</v>
      </c>
      <c r="S13" s="6">
        <f>(K13/K17-1)*100</f>
        <v>26.053639846743295</v>
      </c>
      <c r="T13" s="6">
        <f t="shared" si="9"/>
        <v>425.67454332160219</v>
      </c>
      <c r="U13" s="6">
        <f t="shared" si="10"/>
        <v>0.76621417797888391</v>
      </c>
      <c r="V13" s="6">
        <f t="shared" si="11"/>
        <v>6.3851181498240317E-2</v>
      </c>
      <c r="W13" s="6">
        <f>I17*(100-U13)/100</f>
        <v>4.2959080598844848</v>
      </c>
      <c r="X13" s="6">
        <f>K17*(100-V13)/100</f>
        <v>1.5632822338219685</v>
      </c>
      <c r="Y13" s="6">
        <f t="shared" si="0"/>
        <v>2.7480054253426105</v>
      </c>
      <c r="Z13" s="6">
        <f>Y13/AA17-1</f>
        <v>-7.0281175008676255E-3</v>
      </c>
      <c r="AA13" s="3">
        <f t="shared" si="12"/>
        <v>3.2327993111613118</v>
      </c>
      <c r="AB13" s="3">
        <f t="shared" si="13"/>
        <v>0.62694126016767993</v>
      </c>
      <c r="AC13" s="3">
        <f t="shared" si="14"/>
        <v>0.42769089524169496</v>
      </c>
      <c r="AD13" s="6">
        <f>AA13/AA17-1</f>
        <v>0.16814864633883553</v>
      </c>
      <c r="AE13" s="6">
        <f>AB13/AB17-1</f>
        <v>-0.64568806245902621</v>
      </c>
      <c r="AF13" s="6">
        <f>AC13/AC17-1</f>
        <v>-0.85553866936845657</v>
      </c>
    </row>
    <row r="14" spans="1:33" s="3" customFormat="1">
      <c r="A14" s="3">
        <v>930</v>
      </c>
      <c r="B14" s="3">
        <v>41</v>
      </c>
      <c r="C14" s="25">
        <v>24.42</v>
      </c>
      <c r="D14" s="25">
        <v>2.41</v>
      </c>
      <c r="E14" s="25">
        <v>3.38</v>
      </c>
      <c r="F14" s="25">
        <v>1.64</v>
      </c>
      <c r="G14" s="25">
        <v>0.32</v>
      </c>
      <c r="H14" s="25">
        <v>0.45</v>
      </c>
      <c r="I14" s="3">
        <f t="shared" si="1"/>
        <v>6.4618634758728923</v>
      </c>
      <c r="J14" s="3">
        <f t="shared" si="2"/>
        <v>1.453316511348637</v>
      </c>
      <c r="K14" s="6">
        <f t="shared" si="3"/>
        <v>2.025773921318208</v>
      </c>
      <c r="L14" s="6">
        <f t="shared" si="4"/>
        <v>1.1720928573721321</v>
      </c>
      <c r="M14" s="6">
        <f t="shared" si="5"/>
        <v>0.13281800424628451</v>
      </c>
      <c r="N14" s="6">
        <f t="shared" si="6"/>
        <v>0.16691803258850996</v>
      </c>
      <c r="O14" s="6">
        <f t="shared" si="7"/>
        <v>81.448374532927375</v>
      </c>
      <c r="P14" s="6">
        <f t="shared" si="8"/>
        <v>82.835117870564929</v>
      </c>
      <c r="Q14" s="6">
        <f>(I14/I17-1)*100</f>
        <v>49.266503667481686</v>
      </c>
      <c r="R14" s="6">
        <f>(J14/J17-1)*100</f>
        <v>-47.49455337690631</v>
      </c>
      <c r="S14" s="6">
        <f>(K14/K17-1)*100</f>
        <v>29.501915708812266</v>
      </c>
      <c r="T14" s="6">
        <f t="shared" si="9"/>
        <v>365.34271828389467</v>
      </c>
      <c r="U14" s="6">
        <f t="shared" si="10"/>
        <v>0.65761689291101033</v>
      </c>
      <c r="V14" s="6">
        <f t="shared" si="11"/>
        <v>5.4801407742584199E-2</v>
      </c>
      <c r="W14" s="6">
        <f>I17*(100-U14)/100</f>
        <v>4.3006093211367897</v>
      </c>
      <c r="X14" s="6">
        <f>K17*(100-V14)/100</f>
        <v>1.5634237977175116</v>
      </c>
      <c r="Y14" s="6">
        <f t="shared" si="0"/>
        <v>2.7507636300633109</v>
      </c>
      <c r="Z14" s="6">
        <f>Y14/AA17-1</f>
        <v>-6.0314601767684772E-3</v>
      </c>
      <c r="AA14" s="3">
        <f t="shared" si="12"/>
        <v>3.1898245938856</v>
      </c>
      <c r="AB14" s="3">
        <f t="shared" si="13"/>
        <v>0.71741298278878896</v>
      </c>
      <c r="AC14" s="3">
        <f t="shared" si="14"/>
        <v>0.57859016005568376</v>
      </c>
      <c r="AD14" s="6">
        <f>AA14/AA17-1</f>
        <v>0.15262004311280242</v>
      </c>
      <c r="AE14" s="6">
        <f>AB14/AB17-1</f>
        <v>-0.5945585334725606</v>
      </c>
      <c r="AF14" s="6">
        <f>AC14/AC17-1</f>
        <v>-0.80456936226166997</v>
      </c>
    </row>
    <row r="15" spans="1:33" s="3" customFormat="1">
      <c r="A15" s="3">
        <v>930</v>
      </c>
      <c r="B15" s="3">
        <v>63</v>
      </c>
      <c r="C15" s="25">
        <v>18.920000000000002</v>
      </c>
      <c r="D15" s="25">
        <v>4.63</v>
      </c>
      <c r="E15" s="25">
        <v>2.72</v>
      </c>
      <c r="F15" s="25">
        <v>5.2</v>
      </c>
      <c r="G15" s="25">
        <v>0.87</v>
      </c>
      <c r="H15" s="25">
        <v>2.71</v>
      </c>
      <c r="I15" s="3">
        <f t="shared" si="1"/>
        <v>5.0064888191447636</v>
      </c>
      <c r="J15" s="3">
        <f t="shared" si="2"/>
        <v>2.7920562023004933</v>
      </c>
      <c r="K15" s="6">
        <f t="shared" si="3"/>
        <v>1.6302085994040016</v>
      </c>
      <c r="L15" s="6">
        <f t="shared" si="4"/>
        <v>3.7163919867896875</v>
      </c>
      <c r="M15" s="6">
        <f t="shared" si="5"/>
        <v>0.36109894904458595</v>
      </c>
      <c r="N15" s="6">
        <f t="shared" si="6"/>
        <v>1.0052174851441376</v>
      </c>
      <c r="O15" s="6">
        <f t="shared" si="7"/>
        <v>49.622271227236325</v>
      </c>
      <c r="P15" s="6">
        <f t="shared" si="8"/>
        <v>51.464208824206651</v>
      </c>
      <c r="Q15" s="6">
        <f>(I15/I17-1)*100</f>
        <v>15.647921760391226</v>
      </c>
      <c r="R15" s="6">
        <f>(J15/J17-1)*100</f>
        <v>0.87145969498911846</v>
      </c>
      <c r="S15" s="6">
        <f>(K15/K17-1)*100</f>
        <v>4.2145593869731934</v>
      </c>
      <c r="T15" s="6">
        <f t="shared" si="9"/>
        <v>-6.7035361153009108</v>
      </c>
      <c r="U15" s="6">
        <f t="shared" si="10"/>
        <v>-1.2066365007541638E-2</v>
      </c>
      <c r="V15" s="6">
        <f t="shared" si="11"/>
        <v>-1.0055304172951365E-3</v>
      </c>
      <c r="W15" s="6">
        <f>I17*(100-U15)/100</f>
        <v>4.3296004321926738</v>
      </c>
      <c r="X15" s="6">
        <f>K17*(100-V15)/100</f>
        <v>1.564296775073361</v>
      </c>
      <c r="Y15" s="6">
        <f t="shared" si="0"/>
        <v>2.7677615278530689</v>
      </c>
      <c r="Z15" s="6">
        <f>Y15/AA17-1</f>
        <v>1.1060723371336678E-4</v>
      </c>
      <c r="AA15" s="3">
        <f t="shared" si="12"/>
        <v>3.0710725124227154</v>
      </c>
      <c r="AB15" s="3">
        <f t="shared" si="13"/>
        <v>1.7126987327396377</v>
      </c>
      <c r="AC15" s="3">
        <f t="shared" si="14"/>
        <v>2.2797033386699019</v>
      </c>
      <c r="AD15" s="6">
        <f>AA15/AA17-1</f>
        <v>0.10970983748022456</v>
      </c>
      <c r="AE15" s="6">
        <f>AB15/AB17-1</f>
        <v>-3.2079008073817805E-2</v>
      </c>
      <c r="AF15" s="6">
        <f>AC15/AC17-1</f>
        <v>-0.22998366013071914</v>
      </c>
    </row>
    <row r="16" spans="1:33" s="3" customFormat="1">
      <c r="A16" s="3">
        <v>930</v>
      </c>
      <c r="B16" s="3">
        <v>92</v>
      </c>
      <c r="C16" s="25">
        <v>14.91</v>
      </c>
      <c r="D16" s="25">
        <v>4.82</v>
      </c>
      <c r="E16" s="25">
        <v>2.81</v>
      </c>
      <c r="F16" s="25">
        <v>5.37</v>
      </c>
      <c r="G16" s="25">
        <v>1.05</v>
      </c>
      <c r="H16" s="25">
        <v>3.25</v>
      </c>
      <c r="I16" s="3">
        <f t="shared" si="1"/>
        <v>3.9453883876029816</v>
      </c>
      <c r="J16" s="3">
        <f t="shared" si="2"/>
        <v>2.9066330226972741</v>
      </c>
      <c r="K16" s="6">
        <f t="shared" si="3"/>
        <v>1.6841493251195754</v>
      </c>
      <c r="L16" s="6">
        <f t="shared" si="4"/>
        <v>3.8378894171270428</v>
      </c>
      <c r="M16" s="6">
        <f t="shared" si="5"/>
        <v>0.435809076433121</v>
      </c>
      <c r="N16" s="6">
        <f t="shared" si="6"/>
        <v>1.2055191242503496</v>
      </c>
      <c r="O16" s="6">
        <f t="shared" si="7"/>
        <v>41.862634738648488</v>
      </c>
      <c r="P16" s="6">
        <f t="shared" si="8"/>
        <v>43.892285238782435</v>
      </c>
      <c r="Q16" s="6">
        <f>(I16/I17-1)*100</f>
        <v>-8.8630806845965697</v>
      </c>
      <c r="R16" s="6">
        <f>(J16/J17-1)*100</f>
        <v>5.0108932461873756</v>
      </c>
      <c r="S16" s="6">
        <f>(K16/K17-1)*100</f>
        <v>7.6628352490421658</v>
      </c>
      <c r="T16" s="6">
        <f t="shared" si="9"/>
        <v>-38.54533266297981</v>
      </c>
      <c r="U16" s="6">
        <f t="shared" si="10"/>
        <v>-6.9381598793363655E-2</v>
      </c>
      <c r="V16" s="6">
        <f t="shared" si="11"/>
        <v>-5.7817998994469707E-3</v>
      </c>
      <c r="W16" s="6">
        <f>I17*(100-U16)/100</f>
        <v>4.3320816534091682</v>
      </c>
      <c r="X16" s="6">
        <f>K17*(100-V16)/100</f>
        <v>1.5643714893515641</v>
      </c>
      <c r="Y16" s="6">
        <f t="shared" si="0"/>
        <v>2.7692154215907032</v>
      </c>
      <c r="Z16" s="6">
        <f>Y16/AA17-1</f>
        <v>6.3596121893416679E-4</v>
      </c>
      <c r="AA16" s="3">
        <f t="shared" si="12"/>
        <v>2.3426594831921195</v>
      </c>
      <c r="AB16" s="3">
        <f t="shared" si="13"/>
        <v>1.7258760724740971</v>
      </c>
      <c r="AC16" s="3">
        <f t="shared" si="14"/>
        <v>2.2788296500101324</v>
      </c>
      <c r="AD16" s="6">
        <f>AA16/AA17-1</f>
        <v>-0.15349694159002525</v>
      </c>
      <c r="AE16" s="6">
        <f>AB16/AB17-1</f>
        <v>-2.4631916823669053E-2</v>
      </c>
      <c r="AF16" s="6">
        <f>AC16/AC17-1</f>
        <v>-0.23027876631079491</v>
      </c>
    </row>
    <row r="17" spans="1:33" s="2" customFormat="1">
      <c r="A17" s="2">
        <v>930</v>
      </c>
      <c r="B17" s="2">
        <v>127</v>
      </c>
      <c r="C17" s="29">
        <v>16.36</v>
      </c>
      <c r="D17" s="29">
        <v>4.59</v>
      </c>
      <c r="E17" s="29">
        <v>2.61</v>
      </c>
      <c r="F17" s="29">
        <v>6.48</v>
      </c>
      <c r="G17" s="29">
        <v>1.68</v>
      </c>
      <c r="H17" s="29">
        <v>5.28</v>
      </c>
      <c r="I17" s="2">
        <f t="shared" si="1"/>
        <v>4.3290780698313061</v>
      </c>
      <c r="J17" s="2">
        <f t="shared" si="2"/>
        <v>2.7679347664274867</v>
      </c>
      <c r="K17" s="2">
        <f t="shared" si="3"/>
        <v>1.5642810457516338</v>
      </c>
      <c r="L17" s="2">
        <f t="shared" si="4"/>
        <v>4.6311961681533029</v>
      </c>
      <c r="M17" s="2">
        <f t="shared" si="5"/>
        <v>0.69729452229299349</v>
      </c>
      <c r="N17" s="2">
        <f t="shared" si="6"/>
        <v>1.9585049157051835</v>
      </c>
      <c r="AA17" s="2">
        <f t="shared" si="12"/>
        <v>2.7674554272638345</v>
      </c>
      <c r="AB17" s="2">
        <f t="shared" si="13"/>
        <v>1.7694612959383522</v>
      </c>
      <c r="AC17" s="2">
        <f t="shared" si="14"/>
        <v>2.9605908610418679</v>
      </c>
    </row>
    <row r="18" spans="1:33" s="3" customFormat="1">
      <c r="A18" s="3">
        <v>1000</v>
      </c>
      <c r="B18" s="3">
        <v>0</v>
      </c>
      <c r="C18" s="25">
        <v>17.809999999999999</v>
      </c>
      <c r="D18" s="25">
        <v>1.27</v>
      </c>
      <c r="E18" s="25">
        <v>2.0699999999999998</v>
      </c>
      <c r="F18" s="25">
        <v>2.17</v>
      </c>
      <c r="G18" s="25">
        <v>0.85</v>
      </c>
      <c r="H18" s="25">
        <v>0.33</v>
      </c>
      <c r="I18" s="3">
        <f t="shared" si="1"/>
        <v>4.7127677520596309</v>
      </c>
      <c r="J18" s="3">
        <f t="shared" si="2"/>
        <v>0.76585558896795392</v>
      </c>
      <c r="K18" s="6">
        <f t="shared" si="3"/>
        <v>1.2406366914581923</v>
      </c>
      <c r="L18" s="6">
        <f t="shared" si="4"/>
        <v>1.5508789637180043</v>
      </c>
      <c r="M18" s="6">
        <f t="shared" si="5"/>
        <v>0.35279782377919322</v>
      </c>
      <c r="N18" s="6">
        <f t="shared" si="6"/>
        <v>0.12240655723157397</v>
      </c>
      <c r="O18" s="6">
        <f t="shared" si="7"/>
        <v>69.934291237057295</v>
      </c>
      <c r="P18" s="6">
        <f t="shared" si="8"/>
        <v>73.79781455908369</v>
      </c>
      <c r="Q18" s="6">
        <f>(I18/I23-1)*100</f>
        <v>-6.85146443514647</v>
      </c>
      <c r="R18" s="6">
        <f>(J18/J23-1)*100</f>
        <v>-66.840731070496091</v>
      </c>
      <c r="S18" s="6">
        <f>(K18/K23-1)*100</f>
        <v>-38.392857142857139</v>
      </c>
      <c r="T18" s="6">
        <f t="shared" si="9"/>
        <v>514.15946977304679</v>
      </c>
      <c r="U18" s="6">
        <f t="shared" si="10"/>
        <v>0.9254870455914842</v>
      </c>
      <c r="V18" s="6">
        <f t="shared" si="11"/>
        <v>7.7123920465957008E-2</v>
      </c>
      <c r="W18" s="6">
        <f>I23*(100-U18)/100</f>
        <v>5.0125873356051489</v>
      </c>
      <c r="X18" s="6">
        <f>K23*(100-V18)/100</f>
        <v>2.0122339818251604</v>
      </c>
      <c r="Y18" s="6">
        <f>W18/X18</f>
        <v>2.4910559014904283</v>
      </c>
      <c r="Z18" s="6">
        <f>Y18/AA23-1</f>
        <v>-8.4901792103169171E-3</v>
      </c>
      <c r="AA18" s="3">
        <f t="shared" si="12"/>
        <v>3.7986686872209474</v>
      </c>
      <c r="AB18" s="3">
        <f t="shared" si="13"/>
        <v>0.61730851121918651</v>
      </c>
      <c r="AC18" s="3">
        <f t="shared" si="14"/>
        <v>1.2500669812490925</v>
      </c>
      <c r="AD18" s="6">
        <f>AA18/AA23-1</f>
        <v>0.51197622945849197</v>
      </c>
      <c r="AE18" s="6">
        <f>AB18/AB23-1</f>
        <v>-0.46176259128921171</v>
      </c>
      <c r="AF18" s="6">
        <f>AC18/AC23-1</f>
        <v>-0.20128824476650564</v>
      </c>
    </row>
    <row r="19" spans="1:33" s="3" customFormat="1">
      <c r="A19" s="3">
        <v>1000</v>
      </c>
      <c r="B19" s="3">
        <v>28</v>
      </c>
      <c r="C19" s="25">
        <v>21.79</v>
      </c>
      <c r="D19" s="25">
        <v>1.1399999999999999</v>
      </c>
      <c r="E19" s="25">
        <v>2.29</v>
      </c>
      <c r="F19" s="25">
        <v>1.89</v>
      </c>
      <c r="G19" s="25">
        <v>0.85</v>
      </c>
      <c r="H19" s="25">
        <v>0.38</v>
      </c>
      <c r="I19" s="3">
        <f t="shared" si="1"/>
        <v>5.7659297763828956</v>
      </c>
      <c r="J19" s="3">
        <f t="shared" si="2"/>
        <v>0.6874609223806829</v>
      </c>
      <c r="K19" s="6">
        <f t="shared" si="3"/>
        <v>1.3724917987629277</v>
      </c>
      <c r="L19" s="6">
        <f t="shared" si="4"/>
        <v>1.3507655490447135</v>
      </c>
      <c r="M19" s="6">
        <f t="shared" si="5"/>
        <v>0.35279782377919322</v>
      </c>
      <c r="N19" s="6">
        <f t="shared" si="6"/>
        <v>0.14095300529696395</v>
      </c>
      <c r="O19" s="6">
        <f t="shared" si="7"/>
        <v>75.763360771834527</v>
      </c>
      <c r="P19" s="6">
        <f t="shared" si="8"/>
        <v>79.446254676923004</v>
      </c>
      <c r="Q19" s="6">
        <f>(I19/I23-1)*100</f>
        <v>13.964435146443499</v>
      </c>
      <c r="R19" s="6">
        <f>(J19/J23-1)*100</f>
        <v>-70.234986945169723</v>
      </c>
      <c r="S19" s="6">
        <f>(K19/K23-1)*100</f>
        <v>-31.845238095238095</v>
      </c>
      <c r="T19" s="6">
        <f t="shared" si="9"/>
        <v>540.2691303474594</v>
      </c>
      <c r="U19" s="6">
        <f t="shared" si="10"/>
        <v>0.97248443462542689</v>
      </c>
      <c r="V19" s="6">
        <f t="shared" si="11"/>
        <v>8.1040369552118907E-2</v>
      </c>
      <c r="W19" s="6">
        <f>I23*(100-U19)/100</f>
        <v>5.0102095442837173</v>
      </c>
      <c r="X19" s="6">
        <f>K23*(100-V19)/100</f>
        <v>2.0121551128789443</v>
      </c>
      <c r="Y19" s="6">
        <f>W19/X19</f>
        <v>2.4899718278255532</v>
      </c>
      <c r="Z19" s="6">
        <f>Y19/AA23-1</f>
        <v>-8.9216708057242577E-3</v>
      </c>
      <c r="AA19" s="3">
        <f t="shared" si="12"/>
        <v>4.201066834483032</v>
      </c>
      <c r="AB19" s="3">
        <f t="shared" si="13"/>
        <v>0.50088526794864219</v>
      </c>
      <c r="AC19" s="3">
        <f t="shared" si="14"/>
        <v>0.98417021526992232</v>
      </c>
      <c r="AD19" s="6">
        <f>AA19/AA23-1</f>
        <v>0.67214193053296989</v>
      </c>
      <c r="AE19" s="6">
        <f>AB19/AB23-1</f>
        <v>-0.5632731708985601</v>
      </c>
      <c r="AF19" s="6">
        <f>AC19/AC23-1</f>
        <v>-0.37117903930131002</v>
      </c>
    </row>
    <row r="20" spans="1:33" s="3" customFormat="1">
      <c r="A20" s="3">
        <v>1000</v>
      </c>
      <c r="B20" s="3">
        <v>50</v>
      </c>
      <c r="C20" s="25">
        <v>24.16</v>
      </c>
      <c r="D20" s="25">
        <v>1.1000000000000001</v>
      </c>
      <c r="E20" s="25">
        <v>2.4</v>
      </c>
      <c r="F20" s="25">
        <v>1.41</v>
      </c>
      <c r="G20" s="25">
        <v>0.8</v>
      </c>
      <c r="H20" s="25">
        <v>0.46</v>
      </c>
      <c r="I20" s="3">
        <f t="shared" si="1"/>
        <v>6.3930639466457446</v>
      </c>
      <c r="J20" s="3">
        <f t="shared" si="2"/>
        <v>0.6633394865076766</v>
      </c>
      <c r="K20" s="6">
        <f t="shared" si="3"/>
        <v>1.4384193524152955</v>
      </c>
      <c r="L20" s="6">
        <f t="shared" si="4"/>
        <v>1.0077139810333575</v>
      </c>
      <c r="M20" s="6">
        <f t="shared" si="5"/>
        <v>0.33204501061571129</v>
      </c>
      <c r="N20" s="6">
        <f t="shared" si="6"/>
        <v>0.17062732220158794</v>
      </c>
      <c r="O20" s="6">
        <f t="shared" si="7"/>
        <v>80.889532241380962</v>
      </c>
      <c r="P20" s="6">
        <f t="shared" si="8"/>
        <v>84.436953718023304</v>
      </c>
      <c r="Q20" s="6">
        <f>(I20/I23-1)*100</f>
        <v>26.359832635983249</v>
      </c>
      <c r="R20" s="6">
        <f>(J20/J23-1)*100</f>
        <v>-71.27937336814621</v>
      </c>
      <c r="S20" s="6">
        <f>(K20/K23-1)*100</f>
        <v>-28.571428571428559</v>
      </c>
      <c r="T20" s="6">
        <f t="shared" si="9"/>
        <v>548.30287206266314</v>
      </c>
      <c r="U20" s="6">
        <f t="shared" si="10"/>
        <v>0.98694516971279367</v>
      </c>
      <c r="V20" s="6">
        <f t="shared" si="11"/>
        <v>8.2245430809399458E-2</v>
      </c>
      <c r="W20" s="6">
        <f>I23*(100-U20)/100</f>
        <v>5.0094779161848155</v>
      </c>
      <c r="X20" s="6">
        <f>K23*(100-V20)/100</f>
        <v>2.0121308455108782</v>
      </c>
      <c r="Y20" s="6">
        <f>W20/X20</f>
        <v>2.4896382496004694</v>
      </c>
      <c r="Z20" s="6">
        <f>Y20/AA23-1</f>
        <v>-9.0544442557196625E-3</v>
      </c>
      <c r="AA20" s="3">
        <f t="shared" si="12"/>
        <v>4.4445063506069689</v>
      </c>
      <c r="AB20" s="3">
        <f t="shared" si="13"/>
        <v>0.46115862206236469</v>
      </c>
      <c r="AC20" s="3">
        <f t="shared" si="14"/>
        <v>0.70057037215278917</v>
      </c>
      <c r="AD20" s="6">
        <f>AA20/AA23-1</f>
        <v>0.76903765690376535</v>
      </c>
      <c r="AE20" s="6">
        <f>AB20/AB23-1</f>
        <v>-0.59791122715404699</v>
      </c>
      <c r="AF20" s="6">
        <f>AC20/AC23-1</f>
        <v>-0.55238095238095242</v>
      </c>
    </row>
    <row r="21" spans="1:33" s="3" customFormat="1">
      <c r="A21" s="3">
        <v>1000</v>
      </c>
      <c r="B21" s="3">
        <v>73</v>
      </c>
      <c r="C21" s="25">
        <v>25.44</v>
      </c>
      <c r="D21" s="25">
        <v>1.44</v>
      </c>
      <c r="E21" s="25">
        <v>3.66</v>
      </c>
      <c r="F21" s="25">
        <v>1.47</v>
      </c>
      <c r="G21" s="25">
        <v>0.23</v>
      </c>
      <c r="H21" s="25">
        <v>0.12</v>
      </c>
      <c r="I21" s="3">
        <f t="shared" si="1"/>
        <v>6.7317693213024725</v>
      </c>
      <c r="J21" s="3">
        <f t="shared" si="2"/>
        <v>0.86837169142823101</v>
      </c>
      <c r="K21" s="6">
        <f t="shared" si="3"/>
        <v>2.1935895124333258</v>
      </c>
      <c r="L21" s="6">
        <f t="shared" si="4"/>
        <v>1.050595427034777</v>
      </c>
      <c r="M21" s="6">
        <f t="shared" si="5"/>
        <v>9.5462940552016998E-2</v>
      </c>
      <c r="N21" s="6">
        <f t="shared" si="6"/>
        <v>4.4511475356935983E-2</v>
      </c>
      <c r="O21" s="6">
        <f t="shared" si="7"/>
        <v>84.971990995830964</v>
      </c>
      <c r="P21" s="6">
        <f t="shared" si="8"/>
        <v>86.008378424632397</v>
      </c>
      <c r="Q21" s="6">
        <f>(I21/I23-1)*100</f>
        <v>33.054393305439312</v>
      </c>
      <c r="R21" s="6">
        <f>(J21/J23-1)*100</f>
        <v>-62.402088772845957</v>
      </c>
      <c r="S21" s="6">
        <f>(K21/K23-1)*100</f>
        <v>8.9285714285714413</v>
      </c>
      <c r="T21" s="6">
        <f t="shared" si="9"/>
        <v>480.01606748343045</v>
      </c>
      <c r="U21" s="6">
        <f t="shared" si="10"/>
        <v>0.86402892147017474</v>
      </c>
      <c r="V21" s="6">
        <f t="shared" si="11"/>
        <v>7.2002410122514557E-2</v>
      </c>
      <c r="W21" s="6">
        <f>I23*(100-U21)/100</f>
        <v>5.0156967550254823</v>
      </c>
      <c r="X21" s="6">
        <f>K23*(100-V21)/100</f>
        <v>2.0123371181394432</v>
      </c>
      <c r="Y21" s="6">
        <f>W21/X21</f>
        <v>2.4924734080653796</v>
      </c>
      <c r="Z21" s="6">
        <f>Y21/AA23-1</f>
        <v>-7.9259720043456383E-3</v>
      </c>
      <c r="AA21" s="3">
        <f t="shared" si="12"/>
        <v>3.0688373021235824</v>
      </c>
      <c r="AB21" s="3">
        <f t="shared" si="13"/>
        <v>0.39586790805949623</v>
      </c>
      <c r="AC21" s="3">
        <f t="shared" si="14"/>
        <v>0.47893893596772469</v>
      </c>
      <c r="AD21" s="6">
        <f>AA21/AA23-1</f>
        <v>0.22148295493518022</v>
      </c>
      <c r="AE21" s="6">
        <f>AB21/AB23-1</f>
        <v>-0.65483884775071699</v>
      </c>
      <c r="AF21" s="6">
        <f>AC21/AC23-1</f>
        <v>-0.69398907103825147</v>
      </c>
    </row>
    <row r="22" spans="1:33" s="3" customFormat="1">
      <c r="A22" s="3">
        <v>1000</v>
      </c>
      <c r="B22" s="3">
        <v>113</v>
      </c>
      <c r="C22" s="25">
        <v>24.5</v>
      </c>
      <c r="D22" s="25">
        <v>1.71</v>
      </c>
      <c r="E22" s="25">
        <v>4</v>
      </c>
      <c r="F22" s="25">
        <v>1.06</v>
      </c>
      <c r="G22" s="25">
        <v>0.09</v>
      </c>
      <c r="H22" s="25">
        <v>0.03</v>
      </c>
      <c r="I22" s="3">
        <f t="shared" si="1"/>
        <v>6.4830325617889368</v>
      </c>
      <c r="J22" s="3">
        <f t="shared" si="2"/>
        <v>1.0311913835710245</v>
      </c>
      <c r="K22" s="6">
        <f t="shared" si="3"/>
        <v>2.3973655873588258</v>
      </c>
      <c r="L22" s="6">
        <f t="shared" si="4"/>
        <v>0.75757221269174402</v>
      </c>
      <c r="M22" s="6">
        <f t="shared" si="5"/>
        <v>3.7355063694267512E-2</v>
      </c>
      <c r="N22" s="6">
        <f t="shared" si="6"/>
        <v>1.1127868839233996E-2</v>
      </c>
      <c r="O22" s="6">
        <f t="shared" si="7"/>
        <v>88.941618243259853</v>
      </c>
      <c r="P22" s="6">
        <f t="shared" si="8"/>
        <v>89.39977355288903</v>
      </c>
      <c r="Q22" s="6">
        <f>(I22/I23-1)*100</f>
        <v>28.138075313807498</v>
      </c>
      <c r="R22" s="6">
        <f>(J22/J23-1)*100</f>
        <v>-55.35248041775457</v>
      </c>
      <c r="S22" s="6">
        <f>(K22/K23-1)*100</f>
        <v>19.047619047619047</v>
      </c>
      <c r="T22" s="6">
        <f t="shared" si="9"/>
        <v>425.78831090580439</v>
      </c>
      <c r="U22" s="6">
        <f t="shared" si="10"/>
        <v>0.76641895963044793</v>
      </c>
      <c r="V22" s="6">
        <f t="shared" si="11"/>
        <v>6.3868246635870651E-2</v>
      </c>
      <c r="W22" s="6">
        <f>I23*(100-U22)/100</f>
        <v>5.0206352446930715</v>
      </c>
      <c r="X22" s="6">
        <f>K23*(100-V22)/100</f>
        <v>2.0125009228738913</v>
      </c>
      <c r="Y22" s="6">
        <f>W22/X22</f>
        <v>2.4947244434171512</v>
      </c>
      <c r="Z22" s="6">
        <f>Y22/AA23-1</f>
        <v>-7.0299970658102007E-3</v>
      </c>
      <c r="AA22" s="3">
        <f t="shared" si="12"/>
        <v>2.7042319269007629</v>
      </c>
      <c r="AB22" s="3">
        <f t="shared" si="13"/>
        <v>0.43013522385089648</v>
      </c>
      <c r="AC22" s="3">
        <f t="shared" si="14"/>
        <v>0.31600195509870493</v>
      </c>
      <c r="AD22" s="6">
        <f>AA22/AA23-1</f>
        <v>7.6359832635982894E-2</v>
      </c>
      <c r="AE22" s="6">
        <f>AB22/AB23-1</f>
        <v>-0.6249608355091385</v>
      </c>
      <c r="AF22" s="6">
        <f>AC22/AC23-1</f>
        <v>-0.79809523809523808</v>
      </c>
    </row>
    <row r="23" spans="1:33" s="2" customFormat="1">
      <c r="A23" s="2">
        <v>1000</v>
      </c>
      <c r="B23" s="2">
        <v>137</v>
      </c>
      <c r="C23" s="29">
        <v>19.12</v>
      </c>
      <c r="D23" s="29">
        <v>3.83</v>
      </c>
      <c r="E23" s="29">
        <v>3.36</v>
      </c>
      <c r="F23" s="29">
        <v>4.41</v>
      </c>
      <c r="G23" s="29">
        <v>1.38</v>
      </c>
      <c r="H23" s="29">
        <v>3.05</v>
      </c>
      <c r="I23" s="2">
        <f t="shared" si="1"/>
        <v>5.0594115339348775</v>
      </c>
      <c r="J23" s="2">
        <f t="shared" si="2"/>
        <v>2.3096274848403646</v>
      </c>
      <c r="K23" s="2">
        <f t="shared" si="3"/>
        <v>2.0137870933814135</v>
      </c>
      <c r="L23" s="2">
        <f t="shared" si="4"/>
        <v>3.1517862811043313</v>
      </c>
      <c r="M23" s="2">
        <f t="shared" si="5"/>
        <v>0.57277764331210179</v>
      </c>
      <c r="N23" s="2">
        <f t="shared" si="6"/>
        <v>1.1313333319887895</v>
      </c>
      <c r="AA23" s="2">
        <f t="shared" si="12"/>
        <v>2.5123865132333627</v>
      </c>
      <c r="AB23" s="2">
        <f t="shared" si="13"/>
        <v>1.1469074821421148</v>
      </c>
      <c r="AC23" s="2">
        <f t="shared" si="14"/>
        <v>1.5651040228945292</v>
      </c>
    </row>
    <row r="24" spans="1:33">
      <c r="A24" s="3">
        <v>1260</v>
      </c>
      <c r="B24" s="6">
        <v>0</v>
      </c>
      <c r="C24" s="25">
        <v>16.82</v>
      </c>
      <c r="D24" s="25">
        <v>1.17</v>
      </c>
      <c r="E24" s="25">
        <v>2.33</v>
      </c>
      <c r="F24" s="25">
        <v>2.4900000000000002</v>
      </c>
      <c r="G24" s="25">
        <v>0.28000000000000003</v>
      </c>
      <c r="H24" s="25">
        <v>0.22</v>
      </c>
      <c r="I24" s="3">
        <f t="shared" si="1"/>
        <v>4.4508003138485686</v>
      </c>
      <c r="J24" s="3">
        <f t="shared" si="2"/>
        <v>0.70555199928543766</v>
      </c>
      <c r="K24" s="6">
        <f t="shared" si="3"/>
        <v>1.3964654546365161</v>
      </c>
      <c r="L24" s="6">
        <f t="shared" si="4"/>
        <v>1.7795800090589082</v>
      </c>
      <c r="M24" s="6">
        <f t="shared" si="5"/>
        <v>0.11621575371549894</v>
      </c>
      <c r="N24" s="6">
        <f t="shared" si="6"/>
        <v>8.1604371487715974E-2</v>
      </c>
      <c r="O24" s="6">
        <f t="shared" si="7"/>
        <v>69.238667178723404</v>
      </c>
      <c r="P24" s="6">
        <f t="shared" si="8"/>
        <v>70.51348394112415</v>
      </c>
      <c r="Q24" s="6">
        <f>(I24/I32-1)*100</f>
        <v>-9.56989247311828</v>
      </c>
      <c r="R24" s="6">
        <f>(J24/J32-1)*100</f>
        <v>-67.679558011049721</v>
      </c>
      <c r="S24" s="6">
        <f>(K24/K32-1)*100</f>
        <v>-28.963414634146332</v>
      </c>
      <c r="T24" s="6">
        <f t="shared" si="9"/>
        <v>520.61198470038244</v>
      </c>
      <c r="U24" s="6">
        <f t="shared" si="10"/>
        <v>0.93710157246068837</v>
      </c>
      <c r="V24" s="6">
        <f t="shared" si="11"/>
        <v>7.8091797705057364E-2</v>
      </c>
      <c r="W24" s="6">
        <f>I32*(100-U24)/100</f>
        <v>4.8756900933792862</v>
      </c>
      <c r="X24" s="6">
        <f>K32*(100-V24)/100</f>
        <v>1.9643046220087579</v>
      </c>
      <c r="Y24" s="6">
        <f t="shared" ref="Y24:Y31" si="15">W24/X24</f>
        <v>2.4821456095711145</v>
      </c>
      <c r="Z24" s="6">
        <f>Y24/AA32-1</f>
        <v>-8.5968111519303392E-3</v>
      </c>
      <c r="AA24" s="3">
        <f t="shared" si="12"/>
        <v>3.1871897003045171</v>
      </c>
      <c r="AB24" s="3">
        <f t="shared" si="13"/>
        <v>0.50524128394503298</v>
      </c>
      <c r="AC24" s="3">
        <f t="shared" si="14"/>
        <v>1.2743458874334364</v>
      </c>
      <c r="AD24" s="6">
        <f>AA24/AA32-1</f>
        <v>0.27300752226683267</v>
      </c>
      <c r="AE24" s="6">
        <f>AB24/AB32-1</f>
        <v>-0.54501695397529237</v>
      </c>
      <c r="AF24" s="6">
        <f>AC24/AC32-1</f>
        <v>-0.26049872331178359</v>
      </c>
      <c r="AG24" s="3"/>
    </row>
    <row r="25" spans="1:33">
      <c r="A25" s="3">
        <v>1260</v>
      </c>
      <c r="B25" s="6">
        <v>22</v>
      </c>
      <c r="C25" s="25">
        <v>21.45</v>
      </c>
      <c r="D25" s="25">
        <v>1.55</v>
      </c>
      <c r="E25" s="25">
        <v>3.7</v>
      </c>
      <c r="F25" s="25">
        <v>1.49</v>
      </c>
      <c r="G25" s="25">
        <v>0.35</v>
      </c>
      <c r="H25" s="25">
        <v>0.19</v>
      </c>
      <c r="I25" s="3">
        <f t="shared" si="1"/>
        <v>5.6759611612397025</v>
      </c>
      <c r="J25" s="3">
        <f t="shared" si="2"/>
        <v>0.93470564007899881</v>
      </c>
      <c r="K25" s="6">
        <f t="shared" si="3"/>
        <v>2.2175631683069139</v>
      </c>
      <c r="L25" s="6">
        <f t="shared" si="4"/>
        <v>1.0648892423685836</v>
      </c>
      <c r="M25" s="6">
        <f t="shared" si="5"/>
        <v>0.14526969214437366</v>
      </c>
      <c r="N25" s="6">
        <f t="shared" si="6"/>
        <v>7.0476502648481973E-2</v>
      </c>
      <c r="O25" s="6">
        <f t="shared" si="7"/>
        <v>81.591063689739144</v>
      </c>
      <c r="P25" s="6">
        <f t="shared" si="8"/>
        <v>83.331210487428848</v>
      </c>
      <c r="Q25" s="6">
        <f>(I25/I32-1)*100</f>
        <v>15.322580645161299</v>
      </c>
      <c r="R25" s="6">
        <f>(J25/J32-1)*100</f>
        <v>-57.182320441988942</v>
      </c>
      <c r="S25" s="6">
        <f>(K25/K32-1)*100</f>
        <v>12.804878048780498</v>
      </c>
      <c r="T25" s="6">
        <f t="shared" si="9"/>
        <v>439.86400339991491</v>
      </c>
      <c r="U25" s="6">
        <f t="shared" si="10"/>
        <v>0.79175520611984684</v>
      </c>
      <c r="V25" s="6">
        <f t="shared" si="11"/>
        <v>6.5979600509987232E-2</v>
      </c>
      <c r="W25" s="6">
        <f>I32*(100-U25)/100</f>
        <v>4.882843768970508</v>
      </c>
      <c r="X25" s="6">
        <f>K32*(100-V25)/100</f>
        <v>1.9645427283996484</v>
      </c>
      <c r="Y25" s="6">
        <f>W25/X25</f>
        <v>2.4854861634636776</v>
      </c>
      <c r="Z25" s="6">
        <f>Y25/AA32-1</f>
        <v>-7.2625478561609835E-3</v>
      </c>
      <c r="AA25" s="3">
        <f t="shared" si="12"/>
        <v>2.5595488067080581</v>
      </c>
      <c r="AB25" s="3">
        <f t="shared" si="13"/>
        <v>0.42150124670073624</v>
      </c>
      <c r="AC25" s="3">
        <f t="shared" si="14"/>
        <v>0.48020694859466634</v>
      </c>
      <c r="AD25" s="6">
        <f>AA25/AA32-1</f>
        <v>2.2319093286834901E-2</v>
      </c>
      <c r="AE25" s="6">
        <f>AB25/AB32-1</f>
        <v>-0.62042705689114519</v>
      </c>
      <c r="AF25" s="6">
        <f>AC25/AC32-1</f>
        <v>-0.72133652639981749</v>
      </c>
      <c r="AG25" s="3"/>
    </row>
    <row r="26" spans="1:33">
      <c r="A26" s="3">
        <v>1260</v>
      </c>
      <c r="B26" s="6">
        <v>38</v>
      </c>
      <c r="C26" s="25">
        <v>24.09</v>
      </c>
      <c r="D26" s="25">
        <v>1.91</v>
      </c>
      <c r="E26" s="25">
        <v>3.72</v>
      </c>
      <c r="F26" s="25">
        <v>1.01</v>
      </c>
      <c r="G26" s="25">
        <v>0.02</v>
      </c>
      <c r="H26" s="25">
        <v>0.13</v>
      </c>
      <c r="I26" s="3">
        <f t="shared" si="1"/>
        <v>6.3745409964692046</v>
      </c>
      <c r="J26" s="3">
        <f t="shared" si="2"/>
        <v>1.1517985629360565</v>
      </c>
      <c r="K26" s="6">
        <f t="shared" si="3"/>
        <v>2.229549996243708</v>
      </c>
      <c r="L26" s="6">
        <f t="shared" si="4"/>
        <v>0.72183767435722768</v>
      </c>
      <c r="M26" s="6">
        <f t="shared" si="5"/>
        <v>8.3011252653927819E-3</v>
      </c>
      <c r="N26" s="6">
        <f t="shared" si="6"/>
        <v>4.8220764970013985E-2</v>
      </c>
      <c r="O26" s="6">
        <f t="shared" si="7"/>
        <v>89.118266667514135</v>
      </c>
      <c r="P26" s="6">
        <f t="shared" si="8"/>
        <v>89.221810876211848</v>
      </c>
      <c r="Q26" s="6">
        <f>(I26/I32-1)*100</f>
        <v>29.516129032258064</v>
      </c>
      <c r="R26" s="6">
        <f>(J26/J32-1)*100</f>
        <v>-47.237569060773474</v>
      </c>
      <c r="S26" s="6">
        <f>(K26/K32-1)*100</f>
        <v>13.414634146341475</v>
      </c>
      <c r="T26" s="6">
        <f t="shared" si="9"/>
        <v>363.36591585210363</v>
      </c>
      <c r="U26" s="6">
        <f t="shared" si="10"/>
        <v>0.65405864853378648</v>
      </c>
      <c r="V26" s="6">
        <f t="shared" si="11"/>
        <v>5.4504887377815538E-2</v>
      </c>
      <c r="W26" s="6">
        <f>I32*(100-U26)/100</f>
        <v>4.8896209353200852</v>
      </c>
      <c r="X26" s="6">
        <f>K32*(100-V26)/100</f>
        <v>1.964768302875229</v>
      </c>
      <c r="Y26" s="6">
        <f t="shared" si="15"/>
        <v>2.4886501518599653</v>
      </c>
      <c r="Z26" s="6">
        <f>Y26/AA32-1</f>
        <v>-5.9988072546980353E-3</v>
      </c>
      <c r="AA26" s="3">
        <f t="shared" si="12"/>
        <v>2.8591155198173968</v>
      </c>
      <c r="AB26" s="3">
        <f t="shared" si="13"/>
        <v>0.51660584641590412</v>
      </c>
      <c r="AC26" s="3">
        <f t="shared" si="14"/>
        <v>0.3237593575265692</v>
      </c>
      <c r="AD26" s="6">
        <f>AA26/AA32-1</f>
        <v>0.14197016996184519</v>
      </c>
      <c r="AE26" s="6">
        <f>AB26/AB32-1</f>
        <v>-0.53478286698746502</v>
      </c>
      <c r="AF26" s="6">
        <f>AC26/AC32-1</f>
        <v>-0.81212286193911354</v>
      </c>
      <c r="AG26" s="3"/>
    </row>
    <row r="27" spans="1:33">
      <c r="A27" s="3">
        <v>1260</v>
      </c>
      <c r="B27" s="6">
        <v>72</v>
      </c>
      <c r="C27" s="25">
        <v>23.33</v>
      </c>
      <c r="D27" s="25">
        <v>1.6</v>
      </c>
      <c r="E27" s="25">
        <v>3.79</v>
      </c>
      <c r="F27" s="25">
        <v>1.17</v>
      </c>
      <c r="G27" s="25">
        <v>0.02</v>
      </c>
      <c r="H27" s="25">
        <v>0.13</v>
      </c>
      <c r="I27" s="3">
        <f t="shared" si="1"/>
        <v>6.1734346802667712</v>
      </c>
      <c r="J27" s="3">
        <f t="shared" si="2"/>
        <v>0.964857434920257</v>
      </c>
      <c r="K27" s="6">
        <f t="shared" si="3"/>
        <v>2.2715038940224876</v>
      </c>
      <c r="L27" s="6">
        <f t="shared" si="4"/>
        <v>0.83618819702767966</v>
      </c>
      <c r="M27" s="6">
        <f t="shared" si="5"/>
        <v>8.3011252653927819E-3</v>
      </c>
      <c r="N27" s="6">
        <f t="shared" si="6"/>
        <v>4.8220764970013985E-2</v>
      </c>
      <c r="O27" s="6">
        <f t="shared" si="7"/>
        <v>87.366377046713765</v>
      </c>
      <c r="P27" s="6">
        <f t="shared" si="8"/>
        <v>87.469133536742163</v>
      </c>
      <c r="Q27" s="6">
        <f>(I27/I32-1)*100</f>
        <v>25.430107526881706</v>
      </c>
      <c r="R27" s="6">
        <f>(J27/J32-1)*100</f>
        <v>-55.801104972375668</v>
      </c>
      <c r="S27" s="6">
        <f>(K27/K32-1)*100</f>
        <v>15.548780487804903</v>
      </c>
      <c r="T27" s="6">
        <f t="shared" si="9"/>
        <v>429.23926901827434</v>
      </c>
      <c r="U27" s="6">
        <f t="shared" si="10"/>
        <v>0.77263068423289383</v>
      </c>
      <c r="V27" s="6">
        <f t="shared" si="11"/>
        <v>6.4385890352741143E-2</v>
      </c>
      <c r="W27" s="6">
        <f>I32*(100-U27)/100</f>
        <v>4.8837850420746154</v>
      </c>
      <c r="X27" s="6">
        <f>K32*(100-V27)/100</f>
        <v>1.9645740581879236</v>
      </c>
      <c r="Y27" s="6">
        <f t="shared" si="15"/>
        <v>2.4859256497458295</v>
      </c>
      <c r="Z27" s="6">
        <f>Y27/AA32-1</f>
        <v>-7.0870109739167297E-3</v>
      </c>
      <c r="AA27" s="3">
        <f t="shared" si="12"/>
        <v>2.7177742008333334</v>
      </c>
      <c r="AB27" s="3">
        <f t="shared" si="13"/>
        <v>0.42476591717905504</v>
      </c>
      <c r="AC27" s="3">
        <f t="shared" si="14"/>
        <v>0.36812096128389971</v>
      </c>
      <c r="AD27" s="6">
        <f>AA27/AA32-1</f>
        <v>8.5516497857973439E-2</v>
      </c>
      <c r="AE27" s="6">
        <f>AB27/AB32-1</f>
        <v>-0.6174871353809821</v>
      </c>
      <c r="AF27" s="6">
        <f>AC27/AC32-1</f>
        <v>-0.78637988043151541</v>
      </c>
    </row>
    <row r="28" spans="1:33">
      <c r="A28" s="3">
        <v>1260</v>
      </c>
      <c r="B28" s="6">
        <v>85</v>
      </c>
      <c r="C28" s="25">
        <v>23.86</v>
      </c>
      <c r="D28" s="25">
        <v>1.56</v>
      </c>
      <c r="E28" s="25">
        <v>3.58</v>
      </c>
      <c r="F28" s="25">
        <v>1.1100000000000001</v>
      </c>
      <c r="G28" s="25">
        <v>0.12</v>
      </c>
      <c r="H28" s="25">
        <v>0.18</v>
      </c>
      <c r="I28" s="3">
        <f t="shared" si="1"/>
        <v>6.3136798744605729</v>
      </c>
      <c r="J28" s="3">
        <f t="shared" si="2"/>
        <v>0.94073599904725047</v>
      </c>
      <c r="K28" s="6">
        <f t="shared" si="3"/>
        <v>2.1456422006861491</v>
      </c>
      <c r="L28" s="6">
        <f t="shared" si="4"/>
        <v>0.79330675102626036</v>
      </c>
      <c r="M28" s="6">
        <f t="shared" si="5"/>
        <v>4.9806751592356688E-2</v>
      </c>
      <c r="N28" s="6">
        <f t="shared" si="6"/>
        <v>6.6767213035403977E-2</v>
      </c>
      <c r="O28" s="6">
        <f t="shared" si="7"/>
        <v>87.403985827997516</v>
      </c>
      <c r="P28" s="6">
        <f t="shared" si="8"/>
        <v>88.010824131667789</v>
      </c>
      <c r="Q28" s="6">
        <f>(I28/I32-1)*100</f>
        <v>28.279569892473113</v>
      </c>
      <c r="R28" s="6">
        <f>(J28/J32-1)*100</f>
        <v>-56.906077348066297</v>
      </c>
      <c r="S28" s="6">
        <f>(K28/K32-1)*100</f>
        <v>9.1463414634146432</v>
      </c>
      <c r="T28" s="6">
        <f t="shared" si="9"/>
        <v>437.7390565235869</v>
      </c>
      <c r="U28" s="6">
        <f t="shared" si="10"/>
        <v>0.78793030174245637</v>
      </c>
      <c r="V28" s="6">
        <f t="shared" si="11"/>
        <v>6.5660858478538031E-2</v>
      </c>
      <c r="W28" s="6">
        <f>I32*(100-U28)/100</f>
        <v>4.8830320235913289</v>
      </c>
      <c r="X28" s="6">
        <f>K32*(100-V28)/100</f>
        <v>1.9645489943573033</v>
      </c>
      <c r="Y28" s="6">
        <f t="shared" si="15"/>
        <v>2.4855740618415063</v>
      </c>
      <c r="Z28" s="6">
        <f>Y28/AA32-1</f>
        <v>-7.227440031810195E-3</v>
      </c>
      <c r="AA28" s="3">
        <f t="shared" si="12"/>
        <v>2.9425595154875022</v>
      </c>
      <c r="AB28" s="3">
        <f t="shared" si="13"/>
        <v>0.43844029482008468</v>
      </c>
      <c r="AC28" s="3">
        <f t="shared" si="14"/>
        <v>0.36972928234379943</v>
      </c>
      <c r="AD28" s="6">
        <f>AA28/AA32-1</f>
        <v>0.17529885264612211</v>
      </c>
      <c r="AE28" s="6">
        <f>AB28/AB32-1</f>
        <v>-0.6051729991666408</v>
      </c>
      <c r="AF28" s="6">
        <f>AC28/AC32-1</f>
        <v>-0.78544657379251825</v>
      </c>
    </row>
    <row r="29" spans="1:33">
      <c r="A29" s="3">
        <v>1260</v>
      </c>
      <c r="B29" s="6">
        <v>132</v>
      </c>
      <c r="C29" s="25">
        <v>24.86</v>
      </c>
      <c r="D29" s="25">
        <v>1.82</v>
      </c>
      <c r="E29" s="25">
        <v>3.69</v>
      </c>
      <c r="F29" s="25">
        <v>1.19</v>
      </c>
      <c r="G29" s="25">
        <v>0.17</v>
      </c>
      <c r="H29" s="25">
        <v>0.16</v>
      </c>
      <c r="I29" s="3">
        <f t="shared" si="1"/>
        <v>6.5782934484111424</v>
      </c>
      <c r="J29" s="3">
        <f t="shared" si="2"/>
        <v>1.0975253322217922</v>
      </c>
      <c r="K29" s="6">
        <f t="shared" si="3"/>
        <v>2.2115697543385169</v>
      </c>
      <c r="L29" s="6">
        <f t="shared" si="4"/>
        <v>0.85048201236148624</v>
      </c>
      <c r="M29" s="6">
        <f t="shared" si="5"/>
        <v>7.0559564755838647E-2</v>
      </c>
      <c r="N29" s="6">
        <f t="shared" si="6"/>
        <v>5.9348633809247979E-2</v>
      </c>
      <c r="O29" s="6">
        <f t="shared" si="7"/>
        <v>87.029617124994559</v>
      </c>
      <c r="P29" s="6">
        <f t="shared" si="8"/>
        <v>87.849685252558075</v>
      </c>
      <c r="Q29" s="6">
        <f>(I29/I32-1)*100</f>
        <v>33.655913978494631</v>
      </c>
      <c r="R29" s="6">
        <f>(J29/J32-1)*100</f>
        <v>-49.723756906077341</v>
      </c>
      <c r="S29" s="6">
        <f>(K29/K32-1)*100</f>
        <v>12.500000000000021</v>
      </c>
      <c r="T29" s="6">
        <f t="shared" si="9"/>
        <v>382.49043773905646</v>
      </c>
      <c r="U29" s="6">
        <f t="shared" si="10"/>
        <v>0.6884827879303016</v>
      </c>
      <c r="V29" s="6">
        <f t="shared" si="11"/>
        <v>5.7373565660858467E-2</v>
      </c>
      <c r="W29" s="6">
        <f>I32*(100-U29)/100</f>
        <v>4.8879266437326914</v>
      </c>
      <c r="X29" s="6">
        <f>K32*(100-V29)/100</f>
        <v>1.9647119092563339</v>
      </c>
      <c r="Y29" s="6">
        <f t="shared" si="15"/>
        <v>2.4878592228734582</v>
      </c>
      <c r="Z29" s="6">
        <f>Y29/AA32-1</f>
        <v>-6.31471519996607E-3</v>
      </c>
      <c r="AA29" s="3">
        <f t="shared" si="12"/>
        <v>2.9744906013053689</v>
      </c>
      <c r="AB29" s="3">
        <f t="shared" si="13"/>
        <v>0.49626530208632885</v>
      </c>
      <c r="AC29" s="3">
        <f t="shared" si="14"/>
        <v>0.38456033805538564</v>
      </c>
      <c r="AD29" s="6">
        <f>AA29/AA32-1</f>
        <v>0.18805256869772968</v>
      </c>
      <c r="AE29" s="6">
        <f>AB29/AB32-1</f>
        <v>-0.55310006138735424</v>
      </c>
      <c r="AF29" s="6">
        <f>AC29/AC32-1</f>
        <v>-0.7768401312705111</v>
      </c>
    </row>
    <row r="30" spans="1:33">
      <c r="A30" s="3">
        <v>1260</v>
      </c>
      <c r="B30" s="6">
        <v>175</v>
      </c>
      <c r="C30" s="25">
        <v>22.55</v>
      </c>
      <c r="D30" s="25">
        <v>4.0199999999999996</v>
      </c>
      <c r="E30" s="25">
        <v>3.28</v>
      </c>
      <c r="F30" s="25">
        <v>2.89</v>
      </c>
      <c r="G30" s="25">
        <v>0.78</v>
      </c>
      <c r="H30" s="25">
        <v>1.72</v>
      </c>
      <c r="I30" s="3">
        <f t="shared" si="1"/>
        <v>5.9670360925853281</v>
      </c>
      <c r="J30" s="3">
        <f t="shared" si="2"/>
        <v>2.4242043052371449</v>
      </c>
      <c r="K30" s="6">
        <f t="shared" si="3"/>
        <v>1.965839781634237</v>
      </c>
      <c r="L30" s="6">
        <f t="shared" si="4"/>
        <v>2.0654563157350379</v>
      </c>
      <c r="M30" s="6">
        <f t="shared" si="5"/>
        <v>0.32374388535031851</v>
      </c>
      <c r="N30" s="6">
        <f t="shared" si="6"/>
        <v>0.63799781344941575</v>
      </c>
      <c r="O30" s="6">
        <f t="shared" si="7"/>
        <v>66.342903926212543</v>
      </c>
      <c r="P30" s="6">
        <f t="shared" si="8"/>
        <v>68.820054460165963</v>
      </c>
      <c r="Q30" s="6">
        <f>(I30/I32-1)*100</f>
        <v>21.236559139784951</v>
      </c>
      <c r="R30" s="6">
        <f>(J30/J32-1)*100</f>
        <v>11.049723756906072</v>
      </c>
      <c r="S30" s="6">
        <f>(K30/K32-1)*100</f>
        <v>0</v>
      </c>
      <c r="T30" s="6">
        <f t="shared" si="9"/>
        <v>-84.997875053123636</v>
      </c>
      <c r="U30" s="6">
        <f t="shared" si="10"/>
        <v>-0.15299617509562255</v>
      </c>
      <c r="V30" s="6">
        <f t="shared" si="11"/>
        <v>-1.2749681257968545E-2</v>
      </c>
      <c r="W30" s="6">
        <f>I32*(100-U30)/100</f>
        <v>4.9293426603134458</v>
      </c>
      <c r="X30" s="6">
        <f>K32*(100-V30)/100</f>
        <v>1.9660904199404379</v>
      </c>
      <c r="Y30" s="6">
        <f t="shared" si="15"/>
        <v>2.5071800413242329</v>
      </c>
      <c r="Z30" s="6">
        <f>Y30/AA32-1</f>
        <v>1.4022861513618423E-3</v>
      </c>
      <c r="AA30" s="3">
        <f t="shared" si="12"/>
        <v>3.0353623669294283</v>
      </c>
      <c r="AB30" s="3">
        <f t="shared" si="13"/>
        <v>1.2331647410359463</v>
      </c>
      <c r="AC30" s="3">
        <f t="shared" si="14"/>
        <v>1.0506737807584643</v>
      </c>
      <c r="AD30" s="6">
        <f>AA30/AA32-1</f>
        <v>0.21236559139784927</v>
      </c>
      <c r="AE30" s="6">
        <f>AB30/AB32-1</f>
        <v>0.11049723756906094</v>
      </c>
      <c r="AF30" s="6">
        <f>AC30/AC32-1</f>
        <v>-0.39029535864978915</v>
      </c>
    </row>
    <row r="31" spans="1:33">
      <c r="A31" s="3">
        <v>1260</v>
      </c>
      <c r="B31" s="6">
        <v>195</v>
      </c>
      <c r="C31" s="25">
        <v>18.600000000000001</v>
      </c>
      <c r="D31" s="25">
        <v>3.81</v>
      </c>
      <c r="E31" s="25">
        <v>3.02</v>
      </c>
      <c r="F31" s="25">
        <v>5.47</v>
      </c>
      <c r="G31" s="25">
        <v>1.34</v>
      </c>
      <c r="H31" s="25">
        <v>3.61</v>
      </c>
      <c r="I31" s="3">
        <f t="shared" si="1"/>
        <v>4.9218124754805812</v>
      </c>
      <c r="J31" s="3">
        <f t="shared" si="2"/>
        <v>2.2975667669038615</v>
      </c>
      <c r="K31" s="6">
        <f t="shared" si="3"/>
        <v>1.8100110184559135</v>
      </c>
      <c r="L31" s="6">
        <f t="shared" si="4"/>
        <v>3.9093584937960753</v>
      </c>
      <c r="M31" s="6">
        <f t="shared" si="5"/>
        <v>0.55617539278131645</v>
      </c>
      <c r="N31" s="6">
        <f t="shared" si="6"/>
        <v>1.3390535503211576</v>
      </c>
      <c r="O31" s="6">
        <f t="shared" si="7"/>
        <v>45.885036132210708</v>
      </c>
      <c r="P31" s="6">
        <f t="shared" si="8"/>
        <v>48.394334520308277</v>
      </c>
      <c r="Q31" s="6">
        <f>(I31/I32-1)*100</f>
        <v>0</v>
      </c>
      <c r="R31" s="6">
        <f>(J31/J32-1)*100</f>
        <v>5.2486187845304011</v>
      </c>
      <c r="S31" s="6">
        <f>(K31/K32-1)*100</f>
        <v>-7.9268292682926784</v>
      </c>
      <c r="T31" s="6">
        <f t="shared" si="9"/>
        <v>-40.37399065023385</v>
      </c>
      <c r="U31" s="6">
        <f t="shared" si="10"/>
        <v>-7.267318317042093E-2</v>
      </c>
      <c r="V31" s="6">
        <f t="shared" si="11"/>
        <v>-6.0560985975350772E-3</v>
      </c>
      <c r="W31" s="6">
        <f>I32*(100-U31)/100</f>
        <v>4.9253893132761917</v>
      </c>
      <c r="X31" s="6">
        <f>K32*(100-V31)/100</f>
        <v>1.9659588348296824</v>
      </c>
      <c r="Y31" s="6">
        <f t="shared" si="15"/>
        <v>2.5053369511182542</v>
      </c>
      <c r="Z31" s="6">
        <f>Y31/AA32-1</f>
        <v>6.6613050420860631E-4</v>
      </c>
      <c r="AA31" s="3">
        <f t="shared" si="12"/>
        <v>2.7192168585135397</v>
      </c>
      <c r="AB31" s="3">
        <f t="shared" si="13"/>
        <v>1.2693661770434264</v>
      </c>
      <c r="AC31" s="3">
        <f t="shared" si="14"/>
        <v>2.1598534229537871</v>
      </c>
      <c r="AD31" s="6">
        <f>AA31/AA32-1</f>
        <v>8.6092715231788075E-2</v>
      </c>
      <c r="AE31" s="6">
        <f>AB31/AB32-1</f>
        <v>0.14309758150085994</v>
      </c>
      <c r="AF31" s="6">
        <f>AC31/AC32-1</f>
        <v>0.25336015871685236</v>
      </c>
    </row>
    <row r="32" spans="1:33" s="2" customFormat="1">
      <c r="A32" s="2">
        <v>1260</v>
      </c>
      <c r="B32" s="2">
        <v>200</v>
      </c>
      <c r="C32" s="29">
        <v>18.600000000000001</v>
      </c>
      <c r="D32" s="29">
        <v>3.62</v>
      </c>
      <c r="E32" s="29">
        <v>3.28</v>
      </c>
      <c r="F32" s="29">
        <v>4.74</v>
      </c>
      <c r="G32" s="29">
        <v>1.54</v>
      </c>
      <c r="H32" s="29">
        <v>3.19</v>
      </c>
      <c r="I32" s="2">
        <f t="shared" si="1"/>
        <v>4.9218124754805812</v>
      </c>
      <c r="J32" s="2">
        <f t="shared" si="2"/>
        <v>2.1829899465070808</v>
      </c>
      <c r="K32" s="2">
        <f t="shared" si="3"/>
        <v>1.965839781634237</v>
      </c>
      <c r="L32" s="2">
        <f t="shared" si="4"/>
        <v>3.3876342341121384</v>
      </c>
      <c r="M32" s="2">
        <f t="shared" si="5"/>
        <v>0.63918664543524417</v>
      </c>
      <c r="N32" s="2">
        <f t="shared" si="6"/>
        <v>1.1832633865718816</v>
      </c>
      <c r="AA32" s="2">
        <f t="shared" si="12"/>
        <v>2.5036691807045397</v>
      </c>
      <c r="AB32" s="2">
        <f t="shared" si="13"/>
        <v>1.1104617817288869</v>
      </c>
      <c r="AC32" s="2">
        <f t="shared" si="14"/>
        <v>1.7232504224204572</v>
      </c>
    </row>
    <row r="33" spans="1:33">
      <c r="A33" s="3">
        <v>1500</v>
      </c>
      <c r="B33" s="6">
        <v>0</v>
      </c>
      <c r="C33" s="27">
        <v>13.45</v>
      </c>
      <c r="D33" s="27">
        <v>0.88</v>
      </c>
      <c r="E33" s="27">
        <v>3.85</v>
      </c>
      <c r="F33" s="27">
        <v>0.57999999999999996</v>
      </c>
      <c r="G33" s="27">
        <v>0.48</v>
      </c>
      <c r="H33" s="27">
        <v>2E-3</v>
      </c>
      <c r="I33" s="3">
        <f t="shared" si="1"/>
        <v>3.5590525696351509</v>
      </c>
      <c r="J33" s="3">
        <f t="shared" si="2"/>
        <v>0.53067158920614121</v>
      </c>
      <c r="K33" s="6">
        <f t="shared" si="3"/>
        <v>2.3074643778328698</v>
      </c>
      <c r="L33" s="6">
        <f t="shared" si="4"/>
        <v>0.41452064468038818</v>
      </c>
      <c r="M33" s="6">
        <f t="shared" si="5"/>
        <v>0.19922700636942675</v>
      </c>
      <c r="N33" s="6">
        <f t="shared" si="6"/>
        <v>7.4185792261559976E-4</v>
      </c>
      <c r="O33" s="6">
        <f t="shared" si="7"/>
        <v>85.276546937860459</v>
      </c>
      <c r="P33" s="6">
        <f t="shared" si="8"/>
        <v>89.551344192519025</v>
      </c>
      <c r="Q33" s="6">
        <f>(I33/I46-1)*100</f>
        <v>-29.173249078462359</v>
      </c>
      <c r="R33" s="6">
        <f>(J33/J46-1)*100</f>
        <v>-70.568561872909697</v>
      </c>
      <c r="S33" s="6">
        <f>(K33/K46-1)*100</f>
        <v>39.492753623188428</v>
      </c>
      <c r="T33" s="6">
        <f t="shared" si="9"/>
        <v>542.83509133007453</v>
      </c>
      <c r="U33" s="6">
        <f t="shared" si="10"/>
        <v>0.97710316439413414</v>
      </c>
      <c r="V33" s="6">
        <f t="shared" si="11"/>
        <v>8.1425263699511169E-2</v>
      </c>
      <c r="W33" s="6">
        <f>I46*(100-U33)/100</f>
        <v>4.975912220312086</v>
      </c>
      <c r="X33" s="6">
        <f>K46*(100-V33)/100</f>
        <v>1.6528353330141592</v>
      </c>
      <c r="Y33" s="6">
        <f>W33/X33</f>
        <v>3.0105311284929188</v>
      </c>
      <c r="Z33" s="6">
        <f>Y33/AA46-1</f>
        <v>-8.9640780311213142E-3</v>
      </c>
      <c r="AA33" s="3">
        <f t="shared" si="12"/>
        <v>1.5424084565837375</v>
      </c>
      <c r="AB33" s="3">
        <f t="shared" si="13"/>
        <v>0.22998040372980261</v>
      </c>
      <c r="AC33" s="3">
        <f t="shared" si="14"/>
        <v>0.1796433559982836</v>
      </c>
      <c r="AD33" s="6">
        <f>AA33/AA46-1</f>
        <v>-0.49225498040663929</v>
      </c>
      <c r="AE33" s="6">
        <f>AB33/AB46-1</f>
        <v>-0.78901098901098909</v>
      </c>
      <c r="AF33" s="6">
        <f>AC33/AC46-1</f>
        <v>-0.90677304758022248</v>
      </c>
      <c r="AG33" s="3"/>
    </row>
    <row r="34" spans="1:33">
      <c r="A34" s="3">
        <v>1500</v>
      </c>
      <c r="B34" s="6">
        <v>10</v>
      </c>
      <c r="C34" s="27">
        <v>11.75</v>
      </c>
      <c r="D34" s="27">
        <v>0.85</v>
      </c>
      <c r="E34" s="27">
        <v>4.78</v>
      </c>
      <c r="F34" s="27">
        <v>0.68</v>
      </c>
      <c r="G34" s="27">
        <v>0.63</v>
      </c>
      <c r="H34" s="27">
        <v>3.0000000000000001E-3</v>
      </c>
      <c r="I34" s="3">
        <f t="shared" si="1"/>
        <v>3.1092094939191841</v>
      </c>
      <c r="J34" s="3">
        <f t="shared" si="2"/>
        <v>0.51258051230138646</v>
      </c>
      <c r="K34" s="6">
        <f t="shared" si="3"/>
        <v>2.8648518768937969</v>
      </c>
      <c r="L34" s="6">
        <f t="shared" si="4"/>
        <v>0.48598972134942076</v>
      </c>
      <c r="M34" s="6">
        <f t="shared" si="5"/>
        <v>0.26148544585987266</v>
      </c>
      <c r="N34" s="6">
        <f t="shared" si="6"/>
        <v>1.1127868839233995E-3</v>
      </c>
      <c r="O34" s="6">
        <f t="shared" si="7"/>
        <v>80.595457273711943</v>
      </c>
      <c r="P34" s="6">
        <f t="shared" si="8"/>
        <v>86.455499190787819</v>
      </c>
      <c r="Q34" s="6">
        <f>(I34/I46-1)*100</f>
        <v>-38.12532912058979</v>
      </c>
      <c r="R34" s="6">
        <f>(J34/J46-1)*100</f>
        <v>-71.57190635451505</v>
      </c>
      <c r="S34" s="6">
        <f>(K34/K46-1)*100</f>
        <v>73.188405797101481</v>
      </c>
      <c r="T34" s="6">
        <f t="shared" si="9"/>
        <v>550.55312580396196</v>
      </c>
      <c r="U34" s="6">
        <f t="shared" si="10"/>
        <v>0.99099562644713146</v>
      </c>
      <c r="V34" s="6">
        <f t="shared" si="11"/>
        <v>8.2582968870594284E-2</v>
      </c>
      <c r="W34" s="6">
        <f>I46*(100-U34)/100</f>
        <v>4.9752141224588753</v>
      </c>
      <c r="X34" s="6">
        <f>K46*(100-V34)/100</f>
        <v>1.6528161824606509</v>
      </c>
      <c r="Y34" s="6">
        <f t="shared" ref="Y34:Y39" si="16">W34/X34</f>
        <v>3.0101436416552763</v>
      </c>
      <c r="Z34" s="6">
        <f>Y34/AA46-1</f>
        <v>-9.0916347176340784E-3</v>
      </c>
      <c r="AA34" s="3">
        <f t="shared" si="12"/>
        <v>1.0852950265932531</v>
      </c>
      <c r="AB34" s="3">
        <f t="shared" si="13"/>
        <v>0.17892042392682084</v>
      </c>
      <c r="AC34" s="3">
        <f t="shared" si="14"/>
        <v>0.16963869066639248</v>
      </c>
      <c r="AD34" s="6">
        <f>AA34/AA46-1</f>
        <v>-0.64273202588457701</v>
      </c>
      <c r="AE34" s="6">
        <f>AB34/AB46-1</f>
        <v>-0.83585452204699073</v>
      </c>
      <c r="AF34" s="6">
        <f>AC34/AC46-1</f>
        <v>-0.91196502617408104</v>
      </c>
      <c r="AG34" s="3"/>
    </row>
    <row r="35" spans="1:33">
      <c r="A35" s="3">
        <v>1500</v>
      </c>
      <c r="B35" s="6">
        <v>20</v>
      </c>
      <c r="C35" s="27">
        <v>14.36</v>
      </c>
      <c r="D35" s="27">
        <v>0.84</v>
      </c>
      <c r="E35" s="27">
        <v>4.51</v>
      </c>
      <c r="F35" s="27">
        <v>0.66</v>
      </c>
      <c r="G35" s="27">
        <v>0.51</v>
      </c>
      <c r="H35" s="27">
        <v>6.0000000000000001E-3</v>
      </c>
      <c r="I35" s="3">
        <f t="shared" si="1"/>
        <v>3.7998509219301688</v>
      </c>
      <c r="J35" s="3">
        <f t="shared" si="2"/>
        <v>0.5065501533331348</v>
      </c>
      <c r="K35" s="6">
        <f t="shared" si="3"/>
        <v>2.7030296997470757</v>
      </c>
      <c r="L35" s="6">
        <f t="shared" si="4"/>
        <v>0.47169590601561423</v>
      </c>
      <c r="M35" s="6">
        <f t="shared" si="5"/>
        <v>0.21167869426751595</v>
      </c>
      <c r="N35" s="6">
        <f t="shared" si="6"/>
        <v>2.225573767846799E-3</v>
      </c>
      <c r="O35" s="6">
        <f t="shared" si="7"/>
        <v>84.71502287327894</v>
      </c>
      <c r="P35" s="6">
        <f t="shared" si="8"/>
        <v>88.910933123311963</v>
      </c>
      <c r="Q35" s="6">
        <f>(I35/I46-1)*100</f>
        <v>-24.381253291205894</v>
      </c>
      <c r="R35" s="6">
        <f>(J35/J46-1)*100</f>
        <v>-71.906354515050168</v>
      </c>
      <c r="S35" s="6">
        <f>(K35/K46-1)*100</f>
        <v>63.405797101449267</v>
      </c>
      <c r="T35" s="6">
        <f t="shared" ref="T35:T77" si="17">R35/-0.13</f>
        <v>553.12580396192436</v>
      </c>
      <c r="U35" s="6">
        <f t="shared" ref="U35:U77" si="18">T35*0.0018</f>
        <v>0.99562644713146387</v>
      </c>
      <c r="V35" s="6">
        <f t="shared" ref="V35:V77" si="19">T35*0.00015</f>
        <v>8.2968870594288646E-2</v>
      </c>
      <c r="W35" s="6">
        <f>I46*(100-U35)/100</f>
        <v>4.974981423174472</v>
      </c>
      <c r="X35" s="6">
        <f>K46*(100-V35)/100</f>
        <v>1.6528097989428148</v>
      </c>
      <c r="Y35" s="6">
        <f t="shared" si="16"/>
        <v>3.0100144773806488</v>
      </c>
      <c r="Z35" s="6">
        <f>Y35/AA46-1</f>
        <v>-9.1341542700078548E-3</v>
      </c>
      <c r="AA35" s="3">
        <f t="shared" si="12"/>
        <v>1.4057747579635265</v>
      </c>
      <c r="AB35" s="3">
        <f t="shared" si="13"/>
        <v>0.187400883305327</v>
      </c>
      <c r="AC35" s="3">
        <f t="shared" si="14"/>
        <v>0.17450637189067925</v>
      </c>
      <c r="AD35" s="6">
        <f>AA35/AA46-1</f>
        <v>-0.53723339042955276</v>
      </c>
      <c r="AE35" s="6">
        <f>AB35/AB46-1</f>
        <v>-0.8280743646597305</v>
      </c>
      <c r="AF35" s="6">
        <f>AC35/AC46-1</f>
        <v>-0.90943891501695284</v>
      </c>
      <c r="AG35" s="3"/>
    </row>
    <row r="36" spans="1:33">
      <c r="A36" s="3">
        <v>1500</v>
      </c>
      <c r="B36" s="6">
        <v>30</v>
      </c>
      <c r="C36" s="27">
        <v>22.06</v>
      </c>
      <c r="D36" s="27">
        <v>0.7</v>
      </c>
      <c r="E36" s="27">
        <v>3.1</v>
      </c>
      <c r="F36" s="27">
        <v>0.28999999999999998</v>
      </c>
      <c r="G36" s="27">
        <v>0.17</v>
      </c>
      <c r="H36" s="27">
        <v>2E-3</v>
      </c>
      <c r="I36" s="3">
        <f t="shared" si="1"/>
        <v>5.8373754413495496</v>
      </c>
      <c r="J36" s="3">
        <f t="shared" si="2"/>
        <v>0.4221251277776123</v>
      </c>
      <c r="K36" s="6">
        <f t="shared" si="3"/>
        <v>1.8579583302030902</v>
      </c>
      <c r="L36" s="6">
        <f t="shared" si="4"/>
        <v>0.20726032234019409</v>
      </c>
      <c r="M36" s="6">
        <f t="shared" si="5"/>
        <v>7.0559564755838647E-2</v>
      </c>
      <c r="N36" s="6">
        <f t="shared" si="6"/>
        <v>7.4185792261559976E-4</v>
      </c>
      <c r="O36" s="6">
        <f t="shared" si="7"/>
        <v>95.445313832857309</v>
      </c>
      <c r="P36" s="6">
        <f t="shared" si="8"/>
        <v>96.559318651672029</v>
      </c>
      <c r="Q36" s="6">
        <f>(I36/I46-1)*100</f>
        <v>16.166403370194836</v>
      </c>
      <c r="R36" s="6">
        <f>(J36/J46-1)*100</f>
        <v>-76.588628762541816</v>
      </c>
      <c r="S36" s="6">
        <f>(K36/K46-1)*100</f>
        <v>12.318840579710177</v>
      </c>
      <c r="T36" s="6">
        <f t="shared" si="17"/>
        <v>589.14329817339853</v>
      </c>
      <c r="U36" s="6">
        <f t="shared" si="18"/>
        <v>1.0604579367121174</v>
      </c>
      <c r="V36" s="6">
        <f t="shared" si="19"/>
        <v>8.8371494726009775E-2</v>
      </c>
      <c r="W36" s="6">
        <f>I46*(100-U36)/100</f>
        <v>4.9717236331928172</v>
      </c>
      <c r="X36" s="6">
        <f>K46*(100-V36)/100</f>
        <v>1.6527204296931084</v>
      </c>
      <c r="Y36" s="6">
        <f t="shared" si="16"/>
        <v>3.0082060727693736</v>
      </c>
      <c r="Z36" s="6">
        <f>Y36/AA46-1</f>
        <v>-9.7294624912933614E-3</v>
      </c>
      <c r="AA36" s="3">
        <f t="shared" si="12"/>
        <v>3.1418225836698266</v>
      </c>
      <c r="AB36" s="3">
        <f t="shared" si="13"/>
        <v>0.22719838271694207</v>
      </c>
      <c r="AC36" s="3">
        <f t="shared" si="14"/>
        <v>0.1115527291279664</v>
      </c>
      <c r="AD36" s="6">
        <f>AA36/AA46-1</f>
        <v>3.4255720328186134E-2</v>
      </c>
      <c r="AE36" s="6">
        <f>AB36/AB46-1</f>
        <v>-0.79156327543424321</v>
      </c>
      <c r="AF36" s="6">
        <f>AC36/AC46-1</f>
        <v>-0.94210906986836396</v>
      </c>
      <c r="AG36" s="3"/>
    </row>
    <row r="37" spans="1:33">
      <c r="A37" s="3">
        <v>1500</v>
      </c>
      <c r="B37" s="6">
        <v>50</v>
      </c>
      <c r="C37" s="27">
        <v>24.73</v>
      </c>
      <c r="D37" s="27">
        <v>0.91</v>
      </c>
      <c r="E37" s="27">
        <v>2.88</v>
      </c>
      <c r="F37" s="27">
        <v>0.14000000000000001</v>
      </c>
      <c r="G37" s="27">
        <v>0.09</v>
      </c>
      <c r="H37" s="27">
        <v>7.0000000000000001E-3</v>
      </c>
      <c r="I37" s="3">
        <f t="shared" si="1"/>
        <v>6.5438936837975685</v>
      </c>
      <c r="J37" s="3">
        <f t="shared" si="2"/>
        <v>0.54876266611089608</v>
      </c>
      <c r="K37" s="6">
        <f t="shared" si="3"/>
        <v>1.7261032228983546</v>
      </c>
      <c r="L37" s="6">
        <f t="shared" si="4"/>
        <v>0.10005670733664544</v>
      </c>
      <c r="M37" s="6">
        <f t="shared" si="5"/>
        <v>3.7355063694267512E-2</v>
      </c>
      <c r="N37" s="6">
        <f t="shared" si="6"/>
        <v>2.5965027291545992E-3</v>
      </c>
      <c r="O37" s="6">
        <f t="shared" si="7"/>
        <v>97.905291330586365</v>
      </c>
      <c r="P37" s="6">
        <f t="shared" si="8"/>
        <v>98.455540723551081</v>
      </c>
      <c r="Q37" s="6">
        <f>(I37/I46-1)*100</f>
        <v>30.226434965771464</v>
      </c>
      <c r="R37" s="6">
        <f>(J37/J46-1)*100</f>
        <v>-69.565217391304344</v>
      </c>
      <c r="S37" s="6">
        <f>(K37/K46-1)*100</f>
        <v>4.347826086956541</v>
      </c>
      <c r="T37" s="6">
        <f t="shared" si="17"/>
        <v>535.11705685618722</v>
      </c>
      <c r="U37" s="6">
        <f t="shared" si="18"/>
        <v>0.96321070234113693</v>
      </c>
      <c r="V37" s="6">
        <f t="shared" si="19"/>
        <v>8.0267558528428082E-2</v>
      </c>
      <c r="W37" s="6">
        <f>I46*(100-U37)/100</f>
        <v>4.9766103181652976</v>
      </c>
      <c r="X37" s="6">
        <f>K46*(100-V37)/100</f>
        <v>1.6528544835676677</v>
      </c>
      <c r="Y37" s="6">
        <f t="shared" si="16"/>
        <v>3.0109186063514439</v>
      </c>
      <c r="Z37" s="6">
        <f>Y37/AA46-1</f>
        <v>-8.8365243004419058E-3</v>
      </c>
      <c r="AA37" s="3">
        <f t="shared" si="12"/>
        <v>3.7911369360689271</v>
      </c>
      <c r="AB37" s="3">
        <f t="shared" si="13"/>
        <v>0.31791995914905441</v>
      </c>
      <c r="AC37" s="3">
        <f t="shared" si="14"/>
        <v>5.7966815662760338E-2</v>
      </c>
      <c r="AD37" s="6">
        <f>AA37/AA46-1</f>
        <v>0.24800333508864303</v>
      </c>
      <c r="AE37" s="6">
        <f>AB37/AB46-1</f>
        <v>-0.70833333333333348</v>
      </c>
      <c r="AF37" s="6">
        <f>AC37/AC46-1</f>
        <v>-0.96991778774289983</v>
      </c>
      <c r="AG37" s="3"/>
    </row>
    <row r="38" spans="1:33">
      <c r="A38" s="3">
        <v>1500</v>
      </c>
      <c r="B38" s="6">
        <v>70</v>
      </c>
      <c r="C38" s="27">
        <v>25.25</v>
      </c>
      <c r="D38" s="27">
        <v>2.46</v>
      </c>
      <c r="E38" s="27">
        <v>3.39</v>
      </c>
      <c r="F38" s="27">
        <v>0.6</v>
      </c>
      <c r="G38" s="27">
        <v>0.03</v>
      </c>
      <c r="H38" s="27">
        <v>2E-3</v>
      </c>
      <c r="I38" s="3">
        <f t="shared" si="1"/>
        <v>6.681492742251864</v>
      </c>
      <c r="J38" s="3">
        <f t="shared" si="2"/>
        <v>1.4834683061898948</v>
      </c>
      <c r="K38" s="6">
        <f t="shared" si="3"/>
        <v>2.031767335286605</v>
      </c>
      <c r="L38" s="6">
        <f t="shared" si="4"/>
        <v>0.42881446001419471</v>
      </c>
      <c r="M38" s="6">
        <f t="shared" si="5"/>
        <v>1.2451687898089172E-2</v>
      </c>
      <c r="N38" s="6">
        <f t="shared" si="6"/>
        <v>7.4185792261559976E-4</v>
      </c>
      <c r="O38" s="6">
        <f t="shared" si="7"/>
        <v>93.79507321658366</v>
      </c>
      <c r="P38" s="6">
        <f t="shared" si="8"/>
        <v>93.959311568504162</v>
      </c>
      <c r="Q38" s="6">
        <f>(I38/I46-1)*100</f>
        <v>32.964718272775137</v>
      </c>
      <c r="R38" s="6">
        <f>(J38/J46-1)*100</f>
        <v>-17.725752508361214</v>
      </c>
      <c r="S38" s="6">
        <f>(K38/K46-1)*100</f>
        <v>22.826086956521774</v>
      </c>
      <c r="T38" s="6">
        <f t="shared" si="17"/>
        <v>136.35194237200935</v>
      </c>
      <c r="U38" s="6">
        <f t="shared" si="18"/>
        <v>0.24543349626961683</v>
      </c>
      <c r="V38" s="6">
        <f t="shared" si="19"/>
        <v>2.04527913558014E-2</v>
      </c>
      <c r="W38" s="6">
        <f>I46*(100-U38)/100</f>
        <v>5.0126787072478978</v>
      </c>
      <c r="X38" s="6">
        <f>K46*(100-V38)/100</f>
        <v>1.6538439288322728</v>
      </c>
      <c r="Y38" s="6">
        <f t="shared" si="16"/>
        <v>3.0309260867119381</v>
      </c>
      <c r="Z38" s="6">
        <f>Y38/AA46-1</f>
        <v>-2.2502672916121513E-3</v>
      </c>
      <c r="AA38" s="3">
        <f t="shared" si="12"/>
        <v>3.2885127279149606</v>
      </c>
      <c r="AB38" s="3">
        <f t="shared" si="13"/>
        <v>0.73013690122182906</v>
      </c>
      <c r="AC38" s="3">
        <f t="shared" si="14"/>
        <v>0.21105490405657365</v>
      </c>
      <c r="AD38" s="6">
        <f>AA38/AA46-1</f>
        <v>8.254460894648763E-2</v>
      </c>
      <c r="AE38" s="6">
        <f>AB38/AB46-1</f>
        <v>-0.33015656909462243</v>
      </c>
      <c r="AF38" s="6">
        <f>AC38/AC46-1</f>
        <v>-0.89047184412079849</v>
      </c>
      <c r="AG38" s="3"/>
    </row>
    <row r="39" spans="1:33">
      <c r="A39" s="3">
        <v>1500</v>
      </c>
      <c r="B39" s="6">
        <v>105</v>
      </c>
      <c r="C39" s="25">
        <v>25.87</v>
      </c>
      <c r="D39" s="26">
        <v>1.18</v>
      </c>
      <c r="E39" s="26">
        <v>4.24</v>
      </c>
      <c r="F39" s="26">
        <v>0.14000000000000001</v>
      </c>
      <c r="G39" s="26">
        <v>0.31</v>
      </c>
      <c r="H39" s="25">
        <v>0.04</v>
      </c>
      <c r="I39" s="3">
        <f t="shared" si="1"/>
        <v>6.8455531581012172</v>
      </c>
      <c r="J39" s="3">
        <f t="shared" si="2"/>
        <v>0.71158235825368932</v>
      </c>
      <c r="K39" s="6">
        <f t="shared" si="3"/>
        <v>2.5412075226003554</v>
      </c>
      <c r="L39" s="6">
        <f t="shared" si="4"/>
        <v>0.10005670733664544</v>
      </c>
      <c r="M39" s="6">
        <f t="shared" si="5"/>
        <v>0.12866744161358812</v>
      </c>
      <c r="N39" s="6">
        <f t="shared" si="6"/>
        <v>1.4837158452311995E-2</v>
      </c>
      <c r="O39" s="6">
        <f t="shared" si="7"/>
        <v>96.564291512180603</v>
      </c>
      <c r="P39" s="6">
        <f t="shared" si="8"/>
        <v>98.349332084640395</v>
      </c>
      <c r="Q39" s="6">
        <f>(I39/I46-1)*100</f>
        <v>36.229594523433391</v>
      </c>
      <c r="R39" s="6">
        <f>(J39/J46-1)*100</f>
        <v>-60.535117056856194</v>
      </c>
      <c r="S39" s="6">
        <f>(K39/K46-1)*100</f>
        <v>53.623188405797137</v>
      </c>
      <c r="T39" s="6">
        <f t="shared" si="17"/>
        <v>465.6547465912015</v>
      </c>
      <c r="U39" s="6">
        <f t="shared" si="18"/>
        <v>0.83817854386416268</v>
      </c>
      <c r="V39" s="6">
        <f t="shared" si="19"/>
        <v>6.9848211988680214E-2</v>
      </c>
      <c r="W39" s="6">
        <f>I46*(100-U39)/100</f>
        <v>4.9828931988442031</v>
      </c>
      <c r="X39" s="6">
        <f>K46*(100-V39)/100</f>
        <v>1.6530268385492439</v>
      </c>
      <c r="Y39" s="6">
        <f t="shared" si="16"/>
        <v>3.0144055030693697</v>
      </c>
      <c r="Z39" s="6">
        <f>Y39/AA46-1</f>
        <v>-7.6886737198734734E-3</v>
      </c>
      <c r="AA39" s="3">
        <f t="shared" si="12"/>
        <v>2.693819019981623</v>
      </c>
      <c r="AB39" s="3">
        <f t="shared" si="13"/>
        <v>0.28001741373941175</v>
      </c>
      <c r="AC39" s="3">
        <f t="shared" si="14"/>
        <v>3.9373686110554189E-2</v>
      </c>
      <c r="AD39" s="6">
        <f>AA39/AA46-1</f>
        <v>-0.11322245074368831</v>
      </c>
      <c r="AE39" s="6">
        <f>AB39/AB46-1</f>
        <v>-0.74310595065312057</v>
      </c>
      <c r="AF39" s="6">
        <f>AC39/AC46-1</f>
        <v>-0.9795667992215924</v>
      </c>
      <c r="AG39" s="3"/>
    </row>
    <row r="40" spans="1:33">
      <c r="A40" s="3">
        <v>1500</v>
      </c>
      <c r="B40" s="6">
        <v>155</v>
      </c>
      <c r="C40" s="25">
        <v>26.81</v>
      </c>
      <c r="D40" s="26">
        <v>3.35</v>
      </c>
      <c r="E40" s="26">
        <v>3.73</v>
      </c>
      <c r="F40" s="26">
        <v>1.02</v>
      </c>
      <c r="G40" s="26">
        <v>0.04</v>
      </c>
      <c r="H40" s="25">
        <v>7.0000000000000007E-2</v>
      </c>
      <c r="I40" s="3">
        <f t="shared" si="1"/>
        <v>7.0942899176147511</v>
      </c>
      <c r="J40" s="3">
        <f t="shared" si="2"/>
        <v>2.0201702543642877</v>
      </c>
      <c r="K40" s="6">
        <f t="shared" si="3"/>
        <v>2.235543410212105</v>
      </c>
      <c r="L40" s="6">
        <f t="shared" si="4"/>
        <v>0.72898458202413108</v>
      </c>
      <c r="M40" s="6">
        <f t="shared" si="5"/>
        <v>1.6602250530785564E-2</v>
      </c>
      <c r="N40" s="6">
        <f t="shared" si="6"/>
        <v>2.5965027291545994E-2</v>
      </c>
      <c r="O40" s="6">
        <f t="shared" si="7"/>
        <v>90.191108826301758</v>
      </c>
      <c r="P40" s="6">
        <f t="shared" si="8"/>
        <v>90.381875763563144</v>
      </c>
      <c r="Q40" s="6">
        <f>(I40/I46-1)*100</f>
        <v>41.17956819378621</v>
      </c>
      <c r="R40" s="6">
        <f>(J40/J46-1)*100</f>
        <v>12.040133779264206</v>
      </c>
      <c r="S40" s="6">
        <f>(K40/K46-1)*100</f>
        <v>35.144927536231904</v>
      </c>
      <c r="T40" s="6">
        <f t="shared" si="17"/>
        <v>-92.616413686647732</v>
      </c>
      <c r="U40" s="6">
        <f t="shared" si="18"/>
        <v>-0.16670954463596591</v>
      </c>
      <c r="V40" s="6">
        <f t="shared" si="19"/>
        <v>-1.3892462052997158E-2</v>
      </c>
      <c r="W40" s="6">
        <f>I46*(100-U40)/100</f>
        <v>5.0333889435598413</v>
      </c>
      <c r="X40" s="6">
        <f>K46*(100-V40)/100</f>
        <v>1.6544120619196914</v>
      </c>
      <c r="Y40" s="6">
        <f t="shared" ref="Y40:Y77" si="20">W40/X40</f>
        <v>3.0424034370973851</v>
      </c>
      <c r="Z40" s="6">
        <f>Y40/AA46-1</f>
        <v>1.5279585547671726E-3</v>
      </c>
      <c r="AA40" s="3">
        <f t="shared" si="12"/>
        <v>3.1734073627054533</v>
      </c>
      <c r="AB40" s="3">
        <f t="shared" si="13"/>
        <v>0.90365959575467014</v>
      </c>
      <c r="AC40" s="3">
        <f t="shared" si="14"/>
        <v>0.32608831423003598</v>
      </c>
      <c r="AD40" s="6">
        <f>AA40/AA46-1</f>
        <v>4.4653105133645843E-2</v>
      </c>
      <c r="AE40" s="6">
        <f>AB40/AB46-1</f>
        <v>-0.17096308517220071</v>
      </c>
      <c r="AF40" s="6">
        <f>AC40/AC46-1</f>
        <v>-0.83077459454910496</v>
      </c>
      <c r="AG40" s="3"/>
    </row>
    <row r="41" spans="1:33">
      <c r="A41" s="3">
        <v>1500</v>
      </c>
      <c r="B41" s="6">
        <v>205</v>
      </c>
      <c r="C41" s="25">
        <v>27.21</v>
      </c>
      <c r="D41" s="26">
        <v>3.63</v>
      </c>
      <c r="E41" s="26">
        <v>4.21</v>
      </c>
      <c r="F41" s="26">
        <v>0.68</v>
      </c>
      <c r="G41" s="26">
        <v>0.04</v>
      </c>
      <c r="H41" s="25">
        <v>0.06</v>
      </c>
      <c r="I41" s="3">
        <f t="shared" si="1"/>
        <v>7.2001353471949789</v>
      </c>
      <c r="J41" s="3">
        <f t="shared" si="2"/>
        <v>2.1890203054753323</v>
      </c>
      <c r="K41" s="6">
        <f t="shared" si="3"/>
        <v>2.5232272806951639</v>
      </c>
      <c r="L41" s="6">
        <f t="shared" si="4"/>
        <v>0.48598972134942076</v>
      </c>
      <c r="M41" s="6">
        <f t="shared" si="5"/>
        <v>1.6602250530785564E-2</v>
      </c>
      <c r="N41" s="6">
        <f t="shared" si="6"/>
        <v>2.2255737678467991E-2</v>
      </c>
      <c r="O41" s="6">
        <f t="shared" si="7"/>
        <v>93.205839990809807</v>
      </c>
      <c r="P41" s="6">
        <f t="shared" si="8"/>
        <v>93.406586002891942</v>
      </c>
      <c r="Q41" s="6">
        <f>(I41/I46-1)*100</f>
        <v>43.285939968404421</v>
      </c>
      <c r="R41" s="6">
        <f>(J41/J46-1)*100</f>
        <v>21.404682274247456</v>
      </c>
      <c r="S41" s="6">
        <f>(K41/K46-1)*100</f>
        <v>52.536231884057983</v>
      </c>
      <c r="T41" s="6">
        <f t="shared" si="17"/>
        <v>-164.65140210959581</v>
      </c>
      <c r="U41" s="6">
        <f t="shared" si="18"/>
        <v>-0.29637252379727247</v>
      </c>
      <c r="V41" s="6">
        <f t="shared" si="19"/>
        <v>-2.4697710316439369E-2</v>
      </c>
      <c r="W41" s="6">
        <f>I46*(100-U41)/100</f>
        <v>5.039904523523151</v>
      </c>
      <c r="X41" s="6">
        <f>K46*(100-V41)/100</f>
        <v>1.6545908004191039</v>
      </c>
      <c r="Y41" s="6">
        <f t="shared" si="20"/>
        <v>3.0460126589888903</v>
      </c>
      <c r="Z41" s="6">
        <f>Y41/AA46-1</f>
        <v>2.7160773258987359E-3</v>
      </c>
      <c r="AA41" s="3">
        <f t="shared" si="12"/>
        <v>2.8535421292731504</v>
      </c>
      <c r="AB41" s="3">
        <f t="shared" si="13"/>
        <v>0.86754781157575489</v>
      </c>
      <c r="AC41" s="3">
        <f t="shared" si="14"/>
        <v>0.19260639937894447</v>
      </c>
      <c r="AD41" s="6">
        <f>AA41/AA46-1</f>
        <v>-6.0643243912598011E-2</v>
      </c>
      <c r="AE41" s="6">
        <f>AB41/AB46-1</f>
        <v>-0.20409281929471979</v>
      </c>
      <c r="AF41" s="6">
        <f>AC41/AC46-1</f>
        <v>-0.90004580168933668</v>
      </c>
    </row>
    <row r="42" spans="1:33">
      <c r="A42" s="3">
        <v>1500</v>
      </c>
      <c r="B42" s="6">
        <v>240</v>
      </c>
      <c r="C42" s="25">
        <v>26.87</v>
      </c>
      <c r="D42" s="26">
        <v>1.4</v>
      </c>
      <c r="E42" s="26">
        <v>3.99</v>
      </c>
      <c r="F42" s="26">
        <v>0.1</v>
      </c>
      <c r="G42" s="26">
        <v>0.08</v>
      </c>
      <c r="H42" s="25">
        <v>0.02</v>
      </c>
      <c r="I42" s="3">
        <f t="shared" si="1"/>
        <v>7.1101667320517858</v>
      </c>
      <c r="J42" s="3">
        <f t="shared" si="2"/>
        <v>0.84425025555522459</v>
      </c>
      <c r="K42" s="6">
        <f t="shared" si="3"/>
        <v>2.3913721733904287</v>
      </c>
      <c r="L42" s="6">
        <f t="shared" si="4"/>
        <v>7.1469076669032461E-2</v>
      </c>
      <c r="M42" s="6">
        <f t="shared" si="5"/>
        <v>3.3204501061571128E-2</v>
      </c>
      <c r="N42" s="6">
        <f t="shared" si="6"/>
        <v>7.4185792261559974E-3</v>
      </c>
      <c r="O42" s="6">
        <f t="shared" si="7"/>
        <v>98.447962629429526</v>
      </c>
      <c r="P42" s="6">
        <f t="shared" si="8"/>
        <v>98.902669925164972</v>
      </c>
      <c r="Q42" s="6">
        <f>(I42/I46-1)*100</f>
        <v>41.495523959978954</v>
      </c>
      <c r="R42" s="6">
        <f>(J42/J46-1)*100</f>
        <v>-53.177257525083618</v>
      </c>
      <c r="S42" s="6">
        <f>(K42/K46-1)*100</f>
        <v>44.565217391304365</v>
      </c>
      <c r="T42" s="6">
        <f t="shared" si="17"/>
        <v>409.05582711602784</v>
      </c>
      <c r="U42" s="6">
        <f t="shared" si="18"/>
        <v>0.73630048880885013</v>
      </c>
      <c r="V42" s="6">
        <f t="shared" si="19"/>
        <v>6.1358374067404173E-2</v>
      </c>
      <c r="W42" s="6">
        <f>I46*(100-U42)/100</f>
        <v>4.9880125831010877</v>
      </c>
      <c r="X42" s="6">
        <f>K46*(100-V42)/100</f>
        <v>1.6531672759416396</v>
      </c>
      <c r="Y42" s="6">
        <f t="shared" si="20"/>
        <v>3.0172461405999762</v>
      </c>
      <c r="Z42" s="6">
        <f>Y42/AA46-1</f>
        <v>-6.7535650251052681E-3</v>
      </c>
      <c r="AA42" s="3">
        <f t="shared" si="12"/>
        <v>2.9732581198229657</v>
      </c>
      <c r="AB42" s="3">
        <f t="shared" si="13"/>
        <v>0.35304009344487242</v>
      </c>
      <c r="AC42" s="3">
        <f t="shared" si="14"/>
        <v>2.9886220749865695E-2</v>
      </c>
      <c r="AD42" s="6">
        <f>AA42/AA46-1</f>
        <v>-2.1233969600145786E-2</v>
      </c>
      <c r="AE42" s="6">
        <f>AB42/AB46-1</f>
        <v>-0.67611336032388669</v>
      </c>
      <c r="AF42" s="6">
        <f>AC42/AC46-1</f>
        <v>-0.9844903739168549</v>
      </c>
    </row>
    <row r="43" spans="1:33">
      <c r="A43" s="3">
        <v>1500</v>
      </c>
      <c r="B43" s="6">
        <v>265</v>
      </c>
      <c r="C43" s="25">
        <v>24.64</v>
      </c>
      <c r="D43" s="26">
        <v>1.4</v>
      </c>
      <c r="E43" s="26">
        <v>4.04</v>
      </c>
      <c r="F43" s="26">
        <v>0.1</v>
      </c>
      <c r="G43" s="26">
        <v>0.13</v>
      </c>
      <c r="H43" s="25">
        <v>0.22</v>
      </c>
      <c r="I43" s="3">
        <f t="shared" si="1"/>
        <v>6.5200784621420169</v>
      </c>
      <c r="J43" s="3">
        <f t="shared" si="2"/>
        <v>0.84425025555522459</v>
      </c>
      <c r="K43" s="6">
        <f t="shared" si="3"/>
        <v>2.4213392432324143</v>
      </c>
      <c r="L43" s="6">
        <f t="shared" si="4"/>
        <v>7.1469076669032461E-2</v>
      </c>
      <c r="M43" s="6">
        <f t="shared" si="5"/>
        <v>5.395731422505308E-2</v>
      </c>
      <c r="N43" s="6">
        <f t="shared" si="6"/>
        <v>8.1604371487715974E-2</v>
      </c>
      <c r="O43" s="6">
        <f t="shared" si="7"/>
        <v>96.922440895904202</v>
      </c>
      <c r="P43" s="6">
        <f t="shared" si="8"/>
        <v>97.706129723789019</v>
      </c>
      <c r="Q43" s="6">
        <f>(I43/I46-1)*100</f>
        <v>29.752501316482348</v>
      </c>
      <c r="R43" s="6">
        <f>(J43/J46-1)*100</f>
        <v>-53.177257525083618</v>
      </c>
      <c r="S43" s="6">
        <f>(K43/K46-1)*100</f>
        <v>46.376811594202927</v>
      </c>
      <c r="T43" s="6">
        <f t="shared" si="17"/>
        <v>409.05582711602784</v>
      </c>
      <c r="U43" s="6">
        <f t="shared" si="18"/>
        <v>0.73630048880885013</v>
      </c>
      <c r="V43" s="6">
        <f t="shared" si="19"/>
        <v>6.1358374067404173E-2</v>
      </c>
      <c r="W43" s="6">
        <f>I46*(100-U43)/100</f>
        <v>4.9880125831010877</v>
      </c>
      <c r="X43" s="6">
        <f>K46*(100-V43)/100</f>
        <v>1.6531672759416396</v>
      </c>
      <c r="Y43" s="6">
        <f t="shared" si="20"/>
        <v>3.0172461405999762</v>
      </c>
      <c r="Z43" s="6">
        <f>Y43/AA46-1</f>
        <v>-6.7535650251052681E-3</v>
      </c>
      <c r="AA43" s="3">
        <f t="shared" si="12"/>
        <v>2.6927571096720468</v>
      </c>
      <c r="AB43" s="3">
        <f t="shared" si="13"/>
        <v>0.34867078535768337</v>
      </c>
      <c r="AC43" s="3">
        <f t="shared" si="14"/>
        <v>2.9516341780189137E-2</v>
      </c>
      <c r="AD43" s="6">
        <f>AA43/AA46-1</f>
        <v>-0.11357202070918004</v>
      </c>
      <c r="AE43" s="6">
        <f>AB43/AB46-1</f>
        <v>-0.6801218583396802</v>
      </c>
      <c r="AF43" s="6">
        <f>AC43/AC46-1</f>
        <v>-0.98468232473471562</v>
      </c>
    </row>
    <row r="44" spans="1:33">
      <c r="A44" s="3">
        <v>1500</v>
      </c>
      <c r="B44" s="6">
        <v>305</v>
      </c>
      <c r="C44" s="25">
        <v>24.08</v>
      </c>
      <c r="D44" s="26">
        <v>0.86</v>
      </c>
      <c r="E44" s="26">
        <v>4.2</v>
      </c>
      <c r="F44" s="26">
        <v>0.03</v>
      </c>
      <c r="G44" s="26">
        <v>0.3</v>
      </c>
      <c r="H44" s="26">
        <v>4.0000000000000001E-3</v>
      </c>
      <c r="I44" s="3">
        <f t="shared" si="1"/>
        <v>6.3718948607296984</v>
      </c>
      <c r="J44" s="3">
        <f t="shared" si="2"/>
        <v>0.51861087126963801</v>
      </c>
      <c r="K44" s="6">
        <f t="shared" si="3"/>
        <v>2.5172338667267673</v>
      </c>
      <c r="L44" s="6">
        <f t="shared" si="4"/>
        <v>2.1440723000709733E-2</v>
      </c>
      <c r="M44" s="6">
        <f t="shared" si="5"/>
        <v>0.12451687898089171</v>
      </c>
      <c r="N44" s="6">
        <f t="shared" si="6"/>
        <v>1.4837158452311995E-3</v>
      </c>
      <c r="O44" s="6">
        <f t="shared" si="7"/>
        <v>97.738399834145724</v>
      </c>
      <c r="P44" s="6">
        <f t="shared" si="8"/>
        <v>99.641515455370836</v>
      </c>
      <c r="Q44" s="6">
        <f>(I44/I46-1)*100</f>
        <v>26.803580832016859</v>
      </c>
      <c r="R44" s="6">
        <f>(J44/J46-1)*100</f>
        <v>-71.237458193979947</v>
      </c>
      <c r="S44" s="6">
        <f>(K44/K46-1)*100</f>
        <v>52.173913043478294</v>
      </c>
      <c r="T44" s="6">
        <f t="shared" si="17"/>
        <v>547.98044764599956</v>
      </c>
      <c r="U44" s="6">
        <f t="shared" si="18"/>
        <v>0.98636480576279917</v>
      </c>
      <c r="V44" s="6">
        <f t="shared" si="19"/>
        <v>8.2197067146899921E-2</v>
      </c>
      <c r="W44" s="6">
        <f>I46*(100-U44)/100</f>
        <v>4.9754468217432786</v>
      </c>
      <c r="X44" s="6">
        <f>K46*(100-V44)/100</f>
        <v>1.6528225659784872</v>
      </c>
      <c r="Y44" s="6">
        <f t="shared" si="20"/>
        <v>3.010272804932189</v>
      </c>
      <c r="Z44" s="6">
        <f>Y44/AA46-1</f>
        <v>-9.0491154936976903E-3</v>
      </c>
      <c r="AA44" s="3">
        <f t="shared" si="12"/>
        <v>2.5313082526635711</v>
      </c>
      <c r="AB44" s="3">
        <f t="shared" si="13"/>
        <v>0.20602411167461482</v>
      </c>
      <c r="AC44" s="3">
        <f t="shared" si="14"/>
        <v>8.5175729137117202E-3</v>
      </c>
      <c r="AD44" s="6">
        <f>AA44/AA46-1</f>
        <v>-0.16671932596103234</v>
      </c>
      <c r="AE44" s="6">
        <f>AB44/AB46-1</f>
        <v>-0.81098901098901111</v>
      </c>
      <c r="AF44" s="6">
        <f>AC44/AC46-1</f>
        <v>-0.9955797565663036</v>
      </c>
    </row>
    <row r="45" spans="1:33">
      <c r="A45" s="3">
        <v>1500</v>
      </c>
      <c r="B45" s="6">
        <v>340</v>
      </c>
      <c r="C45" s="25">
        <v>28.61</v>
      </c>
      <c r="D45" s="26">
        <v>0.99</v>
      </c>
      <c r="E45" s="26">
        <v>2.83</v>
      </c>
      <c r="F45" s="26">
        <v>0.04</v>
      </c>
      <c r="G45" s="26">
        <v>0.13</v>
      </c>
      <c r="H45" s="25">
        <v>0.01</v>
      </c>
      <c r="I45" s="3">
        <f t="shared" si="1"/>
        <v>7.5705943507257745</v>
      </c>
      <c r="J45" s="3">
        <f t="shared" si="2"/>
        <v>0.59700553785690891</v>
      </c>
      <c r="K45" s="6">
        <f t="shared" si="3"/>
        <v>1.6961361530563692</v>
      </c>
      <c r="L45" s="6">
        <f t="shared" si="4"/>
        <v>2.8587630667612982E-2</v>
      </c>
      <c r="M45" s="6">
        <f t="shared" si="5"/>
        <v>5.395731422505308E-2</v>
      </c>
      <c r="N45" s="6">
        <f t="shared" si="6"/>
        <v>3.7092896130779987E-3</v>
      </c>
      <c r="O45" s="6">
        <f t="shared" si="7"/>
        <v>98.87350215241149</v>
      </c>
      <c r="P45" s="6">
        <f t="shared" si="8"/>
        <v>99.575202128644719</v>
      </c>
      <c r="Q45" s="6">
        <f>(I45/I46-1)*100</f>
        <v>50.658241179568186</v>
      </c>
      <c r="R45" s="6">
        <f>(J45/J46-1)*100</f>
        <v>-66.889632107023417</v>
      </c>
      <c r="S45" s="6">
        <f>(K45/K46-1)*100</f>
        <v>2.5362318840579823</v>
      </c>
      <c r="T45" s="6">
        <f t="shared" si="17"/>
        <v>514.53563159248779</v>
      </c>
      <c r="U45" s="6">
        <f t="shared" si="18"/>
        <v>0.92616413686647803</v>
      </c>
      <c r="V45" s="6">
        <f t="shared" si="19"/>
        <v>7.7180344738873155E-2</v>
      </c>
      <c r="W45" s="6">
        <f>I46*(100-U45)/100</f>
        <v>4.9784719124405292</v>
      </c>
      <c r="X45" s="6">
        <f>K46*(100-V45)/100</f>
        <v>1.652905551710357</v>
      </c>
      <c r="Y45" s="6">
        <f t="shared" si="20"/>
        <v>3.0119518367453098</v>
      </c>
      <c r="Z45" s="6">
        <f>Y45/AA46-1</f>
        <v>-8.4963954685889354E-3</v>
      </c>
      <c r="AA45" s="3">
        <f t="shared" si="12"/>
        <v>4.4634355190671853</v>
      </c>
      <c r="AB45" s="3">
        <f t="shared" si="13"/>
        <v>0.35197972567304159</v>
      </c>
      <c r="AC45" s="3">
        <f t="shared" si="14"/>
        <v>1.6854561242680442E-2</v>
      </c>
      <c r="AD45" s="6">
        <f>AA45/AA46-1</f>
        <v>0.4693171224579793</v>
      </c>
      <c r="AE45" s="6">
        <f>AB45/AB46-1</f>
        <v>-0.67708616471867367</v>
      </c>
      <c r="AF45" s="6">
        <f>AC45/AC46-1</f>
        <v>-0.99125322854109554</v>
      </c>
    </row>
    <row r="46" spans="1:33" s="2" customFormat="1">
      <c r="A46" s="2">
        <v>1500</v>
      </c>
      <c r="B46" s="2">
        <v>370</v>
      </c>
      <c r="C46" s="29">
        <v>18.989999999999998</v>
      </c>
      <c r="D46" s="30">
        <v>2.99</v>
      </c>
      <c r="E46" s="30">
        <v>2.76</v>
      </c>
      <c r="F46" s="30">
        <v>4.46</v>
      </c>
      <c r="G46" s="30">
        <v>1.8</v>
      </c>
      <c r="H46" s="29">
        <v>3.78</v>
      </c>
      <c r="I46" s="2">
        <f t="shared" si="1"/>
        <v>5.0250117693213028</v>
      </c>
      <c r="J46" s="2">
        <f t="shared" si="2"/>
        <v>1.8030773315072302</v>
      </c>
      <c r="K46" s="2">
        <f t="shared" si="3"/>
        <v>1.6541822552775896</v>
      </c>
      <c r="L46" s="2">
        <f t="shared" si="4"/>
        <v>3.1875208194388471</v>
      </c>
      <c r="M46" s="2">
        <f t="shared" si="5"/>
        <v>0.7471012738853503</v>
      </c>
      <c r="N46" s="2">
        <f t="shared" si="6"/>
        <v>1.4021114737434834</v>
      </c>
      <c r="AA46" s="2">
        <f t="shared" si="12"/>
        <v>3.0377618628716649</v>
      </c>
      <c r="AB46" s="2">
        <f t="shared" si="13"/>
        <v>1.090011288511044</v>
      </c>
      <c r="AC46" s="2">
        <f t="shared" si="14"/>
        <v>1.926946567870145</v>
      </c>
    </row>
    <row r="47" spans="1:33" s="3" customFormat="1">
      <c r="A47" s="3">
        <v>1800</v>
      </c>
      <c r="B47" s="3">
        <v>10</v>
      </c>
      <c r="C47" s="27">
        <v>7.64</v>
      </c>
      <c r="D47" s="27">
        <v>0.78</v>
      </c>
      <c r="E47" s="27">
        <v>5.69</v>
      </c>
      <c r="F47" s="27">
        <v>0.41</v>
      </c>
      <c r="G47" s="27">
        <v>1.05</v>
      </c>
      <c r="H47" s="27">
        <v>4.0000000000000001E-3</v>
      </c>
      <c r="I47" s="3">
        <f t="shared" si="1"/>
        <v>2.021647704982346</v>
      </c>
      <c r="J47" s="3">
        <f t="shared" si="2"/>
        <v>0.47036799952362524</v>
      </c>
      <c r="K47" s="6">
        <f t="shared" si="3"/>
        <v>3.41025254801793</v>
      </c>
      <c r="L47" s="6">
        <f t="shared" si="4"/>
        <v>0.29302321434303302</v>
      </c>
      <c r="M47" s="6">
        <f t="shared" si="5"/>
        <v>0.435809076433121</v>
      </c>
      <c r="N47" s="6">
        <f t="shared" si="6"/>
        <v>1.4837158452311995E-3</v>
      </c>
      <c r="O47" s="6">
        <f t="shared" si="7"/>
        <v>73.462004475495533</v>
      </c>
      <c r="P47" s="6">
        <f t="shared" si="8"/>
        <v>87.284660284930837</v>
      </c>
      <c r="Q47" s="3">
        <f>(I47/I61-1)*100</f>
        <v>-60.496380558428122</v>
      </c>
      <c r="R47" s="3">
        <f>(J47/J61-1)*100</f>
        <v>-76.219512195121951</v>
      </c>
      <c r="S47" s="3">
        <f>(K47/K61-1)*100</f>
        <v>100.35211267605635</v>
      </c>
      <c r="T47" s="6">
        <f t="shared" si="17"/>
        <v>586.30393996247653</v>
      </c>
      <c r="U47" s="6">
        <f t="shared" si="18"/>
        <v>1.0553470919324577</v>
      </c>
      <c r="V47" s="6">
        <f t="shared" si="19"/>
        <v>8.7945590994371478E-2</v>
      </c>
      <c r="W47" s="3">
        <f>I61*(100-U47)/100</f>
        <v>5.0636177975470638</v>
      </c>
      <c r="X47" s="3">
        <f>K61*(100-V47)/100</f>
        <v>1.7006326191175567</v>
      </c>
      <c r="Y47" s="6">
        <f t="shared" si="20"/>
        <v>2.9774906941244783</v>
      </c>
      <c r="Z47" s="3">
        <f>Y47/AA61-1</f>
        <v>-9.6825303679365371E-3</v>
      </c>
      <c r="AA47" s="3">
        <f t="shared" si="12"/>
        <v>0.5928146600630344</v>
      </c>
      <c r="AB47" s="3">
        <f t="shared" si="13"/>
        <v>0.13792761471492995</v>
      </c>
      <c r="AC47" s="3">
        <f t="shared" si="14"/>
        <v>8.5924197758708756E-2</v>
      </c>
      <c r="AD47" s="3">
        <f>AA47/AA61-1</f>
        <v>-0.8028290347731738</v>
      </c>
      <c r="AE47" s="3">
        <f>AB47/AB61-1</f>
        <v>-0.88130652835526602</v>
      </c>
      <c r="AF47" s="3">
        <f>AC47/AC61-1</f>
        <v>-0.95551310460762584</v>
      </c>
    </row>
    <row r="48" spans="1:33">
      <c r="A48" s="3">
        <v>1800</v>
      </c>
      <c r="B48" s="6">
        <v>20</v>
      </c>
      <c r="C48" s="27">
        <v>9.27</v>
      </c>
      <c r="D48" s="27">
        <v>0.9</v>
      </c>
      <c r="E48" s="27">
        <v>7.54</v>
      </c>
      <c r="F48" s="27">
        <v>0.14000000000000001</v>
      </c>
      <c r="G48" s="27">
        <v>1.72</v>
      </c>
      <c r="H48" s="27">
        <v>8.9999999999999993E-3</v>
      </c>
      <c r="I48" s="3">
        <f t="shared" si="1"/>
        <v>2.4529678305217733</v>
      </c>
      <c r="J48" s="3">
        <f t="shared" si="2"/>
        <v>0.54273230714264453</v>
      </c>
      <c r="K48" s="6">
        <f t="shared" si="3"/>
        <v>4.5190341321713872</v>
      </c>
      <c r="L48" s="6">
        <f t="shared" si="4"/>
        <v>0.10005670733664544</v>
      </c>
      <c r="M48" s="6">
        <f t="shared" si="5"/>
        <v>0.71389677282377917</v>
      </c>
      <c r="N48" s="6">
        <f t="shared" si="6"/>
        <v>3.3383606517701984E-3</v>
      </c>
      <c r="O48" s="6">
        <f t="shared" si="7"/>
        <v>75.00835031614433</v>
      </c>
      <c r="P48" s="6">
        <f t="shared" si="8"/>
        <v>95.955383797477538</v>
      </c>
      <c r="Q48" s="6">
        <f>(I48/I61-1)*100</f>
        <v>-52.06825232678387</v>
      </c>
      <c r="R48" s="6">
        <f>(J48/J61-1)*100</f>
        <v>-72.560975609756099</v>
      </c>
      <c r="S48" s="6">
        <f>(K48/K61-1)*100</f>
        <v>165.49295774647891</v>
      </c>
      <c r="T48" s="6">
        <f t="shared" si="17"/>
        <v>558.16135084427765</v>
      </c>
      <c r="U48" s="6">
        <f t="shared" si="18"/>
        <v>1.0046904315196998</v>
      </c>
      <c r="V48" s="6">
        <f t="shared" si="19"/>
        <v>8.3724202626641639E-2</v>
      </c>
      <c r="W48" s="6">
        <f>I61*(100-U48)/100</f>
        <v>5.0662102162345972</v>
      </c>
      <c r="X48" s="6">
        <f>K61*(100-V48)/100</f>
        <v>1.7007044726171026</v>
      </c>
      <c r="Y48" s="6">
        <f t="shared" si="20"/>
        <v>2.978889217853669</v>
      </c>
      <c r="Z48" s="6">
        <f>Y48/AA61-1</f>
        <v>-9.2173794663918951E-3</v>
      </c>
      <c r="AA48" s="3">
        <f t="shared" si="12"/>
        <v>0.54280798922470785</v>
      </c>
      <c r="AB48" s="3">
        <f t="shared" si="13"/>
        <v>0.12009918298224109</v>
      </c>
      <c r="AC48" s="3">
        <f t="shared" si="14"/>
        <v>2.2141170969330208E-2</v>
      </c>
      <c r="AD48" s="6">
        <f>AA48/AA61-1</f>
        <v>-0.81946132176136099</v>
      </c>
      <c r="AE48" s="6">
        <f>AB48/AB61-1</f>
        <v>-0.89664876754868339</v>
      </c>
      <c r="AF48" s="6">
        <f>AC48/AC61-1</f>
        <v>-0.98853650098027912</v>
      </c>
      <c r="AG48" s="3"/>
    </row>
    <row r="49" spans="1:33">
      <c r="A49" s="3">
        <v>1800</v>
      </c>
      <c r="B49" s="6">
        <v>30</v>
      </c>
      <c r="C49" s="27">
        <v>8.43</v>
      </c>
      <c r="D49" s="27">
        <v>0.65</v>
      </c>
      <c r="E49" s="27">
        <v>6.75</v>
      </c>
      <c r="F49" s="27">
        <v>0.17</v>
      </c>
      <c r="G49" s="27">
        <v>0.62</v>
      </c>
      <c r="H49" s="27">
        <v>1.2E-2</v>
      </c>
      <c r="I49" s="3">
        <f t="shared" si="1"/>
        <v>2.2306924284032954</v>
      </c>
      <c r="J49" s="3">
        <f t="shared" si="2"/>
        <v>0.39197333293635439</v>
      </c>
      <c r="K49" s="6">
        <f t="shared" si="3"/>
        <v>4.0455544286680185</v>
      </c>
      <c r="L49" s="6">
        <f t="shared" si="4"/>
        <v>0.12149743033735519</v>
      </c>
      <c r="M49" s="6">
        <f t="shared" si="5"/>
        <v>0.25733488322717624</v>
      </c>
      <c r="N49" s="6">
        <f t="shared" si="6"/>
        <v>4.4511475356935979E-3</v>
      </c>
      <c r="O49" s="6">
        <f t="shared" si="7"/>
        <v>85.337146274404887</v>
      </c>
      <c r="P49" s="6">
        <f t="shared" si="8"/>
        <v>94.655589139898055</v>
      </c>
      <c r="Q49" s="6">
        <f>(I49/I61-1)*100</f>
        <v>-56.411582213029988</v>
      </c>
      <c r="R49" s="6">
        <f>(J49/J61-1)*100</f>
        <v>-80.182926829268283</v>
      </c>
      <c r="S49" s="6">
        <f>(K49/K61-1)*100</f>
        <v>137.67605633802819</v>
      </c>
      <c r="T49" s="6">
        <f t="shared" si="17"/>
        <v>616.79174484052521</v>
      </c>
      <c r="U49" s="6">
        <f t="shared" si="18"/>
        <v>1.1102251407129453</v>
      </c>
      <c r="V49" s="6">
        <f t="shared" si="19"/>
        <v>9.2518761726078771E-2</v>
      </c>
      <c r="W49" s="6">
        <f>I61*(100-U49)/100</f>
        <v>5.0608093439689039</v>
      </c>
      <c r="X49" s="6">
        <f>K61*(100-V49)/100</f>
        <v>1.7005547778263814</v>
      </c>
      <c r="Y49" s="6">
        <f t="shared" si="20"/>
        <v>2.9759754933843059</v>
      </c>
      <c r="Z49" s="6">
        <f>Y49/AA61-1</f>
        <v>-1.0186488202616917E-2</v>
      </c>
      <c r="AA49" s="3">
        <f t="shared" si="12"/>
        <v>0.55139350309958413</v>
      </c>
      <c r="AB49" s="3">
        <f t="shared" si="13"/>
        <v>9.6889892312092787E-2</v>
      </c>
      <c r="AC49" s="3">
        <f t="shared" si="14"/>
        <v>3.0032331162420597E-2</v>
      </c>
      <c r="AD49" s="6">
        <f>AA49/AA61-1</f>
        <v>-0.81660576812593355</v>
      </c>
      <c r="AE49" s="6">
        <f>AB49/AB61-1</f>
        <v>-0.91662149954832883</v>
      </c>
      <c r="AF49" s="6">
        <f>AC49/AC61-1</f>
        <v>-0.98445088566827699</v>
      </c>
      <c r="AG49" s="3"/>
    </row>
    <row r="50" spans="1:33">
      <c r="A50" s="3">
        <v>1800</v>
      </c>
      <c r="B50" s="6">
        <v>40</v>
      </c>
      <c r="C50" s="27">
        <v>18.100000000000001</v>
      </c>
      <c r="D50" s="27">
        <v>0.6</v>
      </c>
      <c r="E50" s="27">
        <v>4.92</v>
      </c>
      <c r="F50" s="27">
        <v>7.0000000000000007E-2</v>
      </c>
      <c r="G50" s="27">
        <v>0.32</v>
      </c>
      <c r="H50" s="27">
        <v>6.0000000000000001E-3</v>
      </c>
      <c r="I50" s="3">
        <f t="shared" si="1"/>
        <v>4.7895056885052965</v>
      </c>
      <c r="J50" s="3">
        <f t="shared" si="2"/>
        <v>0.36182153809509626</v>
      </c>
      <c r="K50" s="6">
        <f t="shared" si="3"/>
        <v>2.9487596724513558</v>
      </c>
      <c r="L50" s="6">
        <f t="shared" si="4"/>
        <v>5.0028353668322721E-2</v>
      </c>
      <c r="M50" s="6">
        <f t="shared" si="5"/>
        <v>0.13281800424628451</v>
      </c>
      <c r="N50" s="6">
        <f t="shared" si="6"/>
        <v>2.225573767846799E-3</v>
      </c>
      <c r="O50" s="6">
        <f t="shared" si="7"/>
        <v>96.279645312369894</v>
      </c>
      <c r="P50" s="6">
        <f t="shared" si="8"/>
        <v>98.920765763254266</v>
      </c>
      <c r="Q50" s="6">
        <f>(I50/I61-1)*100</f>
        <v>-6.411582213029976</v>
      </c>
      <c r="R50" s="6">
        <f>(J50/J61-1)*100</f>
        <v>-81.707317073170742</v>
      </c>
      <c r="S50" s="6">
        <f>(K50/K61-1)*100</f>
        <v>73.239436619718319</v>
      </c>
      <c r="T50" s="6">
        <f t="shared" si="17"/>
        <v>628.51782363977497</v>
      </c>
      <c r="U50" s="6">
        <f t="shared" si="18"/>
        <v>1.1313320825515949</v>
      </c>
      <c r="V50" s="6">
        <f t="shared" si="19"/>
        <v>9.4277673545966237E-2</v>
      </c>
      <c r="W50" s="6">
        <f>I61*(100-U50)/100</f>
        <v>5.0597291695157649</v>
      </c>
      <c r="X50" s="6">
        <f>K61*(100-V50)/100</f>
        <v>1.7005248388682375</v>
      </c>
      <c r="Y50" s="6">
        <f t="shared" si="20"/>
        <v>2.9753926869325844</v>
      </c>
      <c r="Z50" s="6">
        <f>Y50/AA61-1</f>
        <v>-1.0380330424086481E-2</v>
      </c>
      <c r="AA50" s="3">
        <f t="shared" si="12"/>
        <v>1.6242441638262421</v>
      </c>
      <c r="AB50" s="3">
        <f t="shared" si="13"/>
        <v>0.12270295930705931</v>
      </c>
      <c r="AC50" s="3">
        <f t="shared" si="14"/>
        <v>1.6965897267149366E-2</v>
      </c>
      <c r="AD50" s="6">
        <f>AA50/AA61-1</f>
        <v>-0.45977417375001051</v>
      </c>
      <c r="AE50" s="6">
        <f>AB50/AB61-1</f>
        <v>-0.89440809042236769</v>
      </c>
      <c r="AF50" s="6">
        <f>AC50/AC61-1</f>
        <v>-0.99121597737716505</v>
      </c>
      <c r="AG50" s="3"/>
    </row>
    <row r="51" spans="1:33">
      <c r="A51" s="3">
        <v>1800</v>
      </c>
      <c r="B51" s="6">
        <v>50</v>
      </c>
      <c r="C51" s="27">
        <v>22.28</v>
      </c>
      <c r="D51" s="27">
        <v>1.97</v>
      </c>
      <c r="E51" s="27">
        <v>3.88</v>
      </c>
      <c r="F51" s="27">
        <v>0.09</v>
      </c>
      <c r="G51" s="27">
        <v>0.15</v>
      </c>
      <c r="H51" s="27">
        <v>8.0000000000000002E-3</v>
      </c>
      <c r="I51" s="3">
        <f t="shared" si="1"/>
        <v>5.895590427618675</v>
      </c>
      <c r="J51" s="3">
        <f t="shared" si="2"/>
        <v>1.187980716745566</v>
      </c>
      <c r="K51" s="6">
        <f t="shared" si="3"/>
        <v>2.3254446197380609</v>
      </c>
      <c r="L51" s="6">
        <f t="shared" si="4"/>
        <v>6.4322169002129212E-2</v>
      </c>
      <c r="M51" s="6">
        <f t="shared" si="5"/>
        <v>6.2258439490445856E-2</v>
      </c>
      <c r="N51" s="6">
        <f t="shared" si="6"/>
        <v>2.967431690462399E-3</v>
      </c>
      <c r="O51" s="6">
        <f t="shared" si="7"/>
        <v>97.849874473834248</v>
      </c>
      <c r="P51" s="6">
        <f t="shared" si="8"/>
        <v>98.871525162788686</v>
      </c>
      <c r="Q51" s="6">
        <f>(I51/I61-1)*100</f>
        <v>15.201654601861447</v>
      </c>
      <c r="R51" s="6">
        <f>(J51/J61-1)*100</f>
        <v>-39.939024390243901</v>
      </c>
      <c r="S51" s="6">
        <f>(K51/K61-1)*100</f>
        <v>36.619718309859152</v>
      </c>
      <c r="T51" s="6">
        <f t="shared" si="17"/>
        <v>307.22326454033771</v>
      </c>
      <c r="U51" s="6">
        <f t="shared" si="18"/>
        <v>0.55300187617260788</v>
      </c>
      <c r="V51" s="6">
        <f t="shared" si="19"/>
        <v>4.6083489681050652E-2</v>
      </c>
      <c r="W51" s="6">
        <f>I61*(100-U51)/100</f>
        <v>5.0893259495317666</v>
      </c>
      <c r="X51" s="6">
        <f>K61*(100-V51)/100</f>
        <v>1.7013451663213883</v>
      </c>
      <c r="Y51" s="6">
        <f t="shared" si="20"/>
        <v>2.991354165090319</v>
      </c>
      <c r="Z51" s="6">
        <f>Y51/AA61-1</f>
        <v>-5.071520998771728E-3</v>
      </c>
      <c r="AA51" s="3">
        <f t="shared" si="12"/>
        <v>2.5352529910098469</v>
      </c>
      <c r="AB51" s="3">
        <f t="shared" si="13"/>
        <v>0.51086175377480314</v>
      </c>
      <c r="AC51" s="3">
        <f t="shared" si="14"/>
        <v>2.7660159462053534E-2</v>
      </c>
      <c r="AD51" s="6">
        <f>AA51/AA61-1</f>
        <v>-0.15677139415132335</v>
      </c>
      <c r="AE51" s="6">
        <f>AB51/AB61-1</f>
        <v>-0.56037842594920795</v>
      </c>
      <c r="AF51" s="6">
        <f>AC51/AC61-1</f>
        <v>-0.98567906768265356</v>
      </c>
      <c r="AG51" s="3"/>
    </row>
    <row r="52" spans="1:33">
      <c r="A52" s="3">
        <v>1800</v>
      </c>
      <c r="B52" s="6">
        <v>70</v>
      </c>
      <c r="C52" s="27">
        <v>24.97</v>
      </c>
      <c r="D52" s="27">
        <v>2.4500000000000002</v>
      </c>
      <c r="E52" s="27">
        <v>3.54</v>
      </c>
      <c r="F52" s="27">
        <v>0.28000000000000003</v>
      </c>
      <c r="G52" s="27">
        <v>0.05</v>
      </c>
      <c r="H52" s="27">
        <v>3.0000000000000001E-3</v>
      </c>
      <c r="I52" s="3">
        <f t="shared" si="1"/>
        <v>6.6074009415457047</v>
      </c>
      <c r="J52" s="3">
        <f t="shared" si="2"/>
        <v>1.4774379472216435</v>
      </c>
      <c r="K52" s="6">
        <f t="shared" si="3"/>
        <v>2.121668544812561</v>
      </c>
      <c r="L52" s="6">
        <f t="shared" si="4"/>
        <v>0.20011341467329088</v>
      </c>
      <c r="M52" s="6">
        <f t="shared" si="5"/>
        <v>2.0752813163481956E-2</v>
      </c>
      <c r="N52" s="6">
        <f t="shared" si="6"/>
        <v>1.1127868839233995E-3</v>
      </c>
      <c r="O52" s="6">
        <f t="shared" si="7"/>
        <v>96.749646144420225</v>
      </c>
      <c r="P52" s="6">
        <f t="shared" si="8"/>
        <v>97.044540737392921</v>
      </c>
      <c r="Q52" s="6">
        <f>(I52/I61-1)*100</f>
        <v>29.110651499482955</v>
      </c>
      <c r="R52" s="6">
        <f>(J52/J61-1)*100</f>
        <v>-25.304878048780477</v>
      </c>
      <c r="S52" s="6">
        <f>(K52/K61-1)*100</f>
        <v>24.647887323943674</v>
      </c>
      <c r="T52" s="6">
        <f t="shared" si="17"/>
        <v>194.65290806754211</v>
      </c>
      <c r="U52" s="6">
        <f t="shared" si="18"/>
        <v>0.35037523452157582</v>
      </c>
      <c r="V52" s="6">
        <f t="shared" si="19"/>
        <v>2.9197936210131316E-2</v>
      </c>
      <c r="W52" s="6">
        <f>I61*(100-U52)/100</f>
        <v>5.0996956242818978</v>
      </c>
      <c r="X52" s="6">
        <f>K61*(100-V52)/100</f>
        <v>1.7016325803195727</v>
      </c>
      <c r="Y52" s="6">
        <f t="shared" si="20"/>
        <v>2.9969428672576055</v>
      </c>
      <c r="Z52" s="6">
        <f>Y52/AA61-1</f>
        <v>-3.2127110284312366E-3</v>
      </c>
      <c r="AA52" s="3">
        <f t="shared" si="12"/>
        <v>3.1142474905897406</v>
      </c>
      <c r="AB52" s="3">
        <f t="shared" si="13"/>
        <v>0.69635662499401751</v>
      </c>
      <c r="AC52" s="3">
        <f t="shared" si="14"/>
        <v>9.4318886502118518E-2</v>
      </c>
      <c r="AD52" s="6">
        <f>AA52/AA61-1</f>
        <v>3.5802966832009897E-2</v>
      </c>
      <c r="AE52" s="6">
        <f>AB52/AB61-1</f>
        <v>-0.40075099903541411</v>
      </c>
      <c r="AF52" s="6">
        <f>AC52/AC61-1</f>
        <v>-0.9511667894866126</v>
      </c>
      <c r="AG52" s="3"/>
    </row>
    <row r="53" spans="1:33">
      <c r="A53" s="3">
        <v>1800</v>
      </c>
      <c r="B53" s="6">
        <v>90</v>
      </c>
      <c r="C53" s="27">
        <v>24.37</v>
      </c>
      <c r="D53" s="27">
        <v>0.72</v>
      </c>
      <c r="E53" s="27">
        <v>3.04</v>
      </c>
      <c r="F53" s="27">
        <v>0.04</v>
      </c>
      <c r="G53" s="27">
        <v>0.14000000000000001</v>
      </c>
      <c r="H53" s="27">
        <v>2E-3</v>
      </c>
      <c r="I53" s="3">
        <f t="shared" si="1"/>
        <v>6.4486327971753639</v>
      </c>
      <c r="J53" s="3">
        <f t="shared" si="2"/>
        <v>0.4341858457141155</v>
      </c>
      <c r="K53" s="6">
        <f t="shared" si="3"/>
        <v>1.8219978463927078</v>
      </c>
      <c r="L53" s="6">
        <f t="shared" si="4"/>
        <v>2.8587630667612982E-2</v>
      </c>
      <c r="M53" s="6">
        <f t="shared" si="5"/>
        <v>5.8107876857749471E-2</v>
      </c>
      <c r="N53" s="6">
        <f t="shared" si="6"/>
        <v>7.4185792261559976E-4</v>
      </c>
      <c r="O53" s="6">
        <f t="shared" si="7"/>
        <v>98.662233371545028</v>
      </c>
      <c r="P53" s="6">
        <f t="shared" si="8"/>
        <v>99.547242060135545</v>
      </c>
      <c r="Q53" s="6">
        <f>(I53/I61-1)*100</f>
        <v>26.008273009307171</v>
      </c>
      <c r="R53" s="6">
        <f>(J53/J61-1)*100</f>
        <v>-78.048780487804876</v>
      </c>
      <c r="S53" s="6">
        <f>(K53/K61-1)*100</f>
        <v>7.0422535211267734</v>
      </c>
      <c r="T53" s="6">
        <f t="shared" si="17"/>
        <v>600.37523452157598</v>
      </c>
      <c r="U53" s="6">
        <f t="shared" si="18"/>
        <v>1.0806754221388368</v>
      </c>
      <c r="V53" s="6">
        <f t="shared" si="19"/>
        <v>9.0056285178236384E-2</v>
      </c>
      <c r="W53" s="6">
        <f>I61*(100-U53)/100</f>
        <v>5.0623215882032975</v>
      </c>
      <c r="X53" s="6">
        <f>K61*(100-V53)/100</f>
        <v>1.7005966923677835</v>
      </c>
      <c r="Y53" s="6">
        <f t="shared" si="20"/>
        <v>2.9767913879421344</v>
      </c>
      <c r="Z53" s="6">
        <f>Y53/AA61-1</f>
        <v>-9.9151205588524638E-3</v>
      </c>
      <c r="AA53" s="3">
        <f t="shared" si="12"/>
        <v>3.5393196594291942</v>
      </c>
      <c r="AB53" s="3">
        <f t="shared" si="13"/>
        <v>0.23830206307528887</v>
      </c>
      <c r="AC53" s="3">
        <f t="shared" si="14"/>
        <v>1.5690265893679486E-2</v>
      </c>
      <c r="AD53" s="6">
        <f>AA53/AA61-1</f>
        <v>0.17718255048168507</v>
      </c>
      <c r="AE53" s="6">
        <f>AB53/AB61-1</f>
        <v>-0.79492939666238771</v>
      </c>
      <c r="AF53" s="6">
        <f>AC53/AC61-1</f>
        <v>-0.99187643020594962</v>
      </c>
      <c r="AG53" s="3"/>
    </row>
    <row r="54" spans="1:33">
      <c r="A54" s="3">
        <v>1800</v>
      </c>
      <c r="B54" s="6">
        <v>134</v>
      </c>
      <c r="C54" s="25">
        <v>27.23</v>
      </c>
      <c r="D54" s="26">
        <v>2.87</v>
      </c>
      <c r="E54" s="26">
        <v>3.66</v>
      </c>
      <c r="F54" s="26">
        <v>0.48</v>
      </c>
      <c r="G54" s="25">
        <v>0.02</v>
      </c>
      <c r="H54" s="25">
        <v>0.02</v>
      </c>
      <c r="I54" s="3">
        <f t="shared" si="1"/>
        <v>7.2054276186739896</v>
      </c>
      <c r="J54" s="3">
        <f t="shared" si="2"/>
        <v>1.7307130238882109</v>
      </c>
      <c r="K54" s="6">
        <f t="shared" si="3"/>
        <v>2.1935895124333258</v>
      </c>
      <c r="L54" s="6">
        <f t="shared" si="4"/>
        <v>0.34305156801135572</v>
      </c>
      <c r="M54" s="6">
        <f t="shared" si="5"/>
        <v>8.3011252653927819E-3</v>
      </c>
      <c r="N54" s="6">
        <f t="shared" si="6"/>
        <v>7.4185792261559974E-3</v>
      </c>
      <c r="O54" s="6">
        <f t="shared" si="7"/>
        <v>95.256982561347158</v>
      </c>
      <c r="P54" s="6">
        <f t="shared" si="8"/>
        <v>95.361634605239615</v>
      </c>
      <c r="Q54" s="6">
        <f>(I54/I61-1)*100</f>
        <v>40.7962771458118</v>
      </c>
      <c r="R54" s="6">
        <f>(J54/J61-1)*100</f>
        <v>-12.499999999999979</v>
      </c>
      <c r="S54" s="6">
        <f>(K54/K61-1)*100</f>
        <v>28.873239436619723</v>
      </c>
      <c r="T54" s="6">
        <f t="shared" si="17"/>
        <v>96.15384615384599</v>
      </c>
      <c r="U54" s="6">
        <f t="shared" si="18"/>
        <v>0.17307692307692277</v>
      </c>
      <c r="V54" s="6">
        <f t="shared" si="19"/>
        <v>1.4423076923076898E-2</v>
      </c>
      <c r="W54" s="6">
        <f>I61*(100-U54)/100</f>
        <v>5.1087690896882636</v>
      </c>
      <c r="X54" s="6">
        <f>K61*(100-V54)/100</f>
        <v>1.7018840675679838</v>
      </c>
      <c r="Y54" s="6">
        <f t="shared" si="20"/>
        <v>3.0018314332002451</v>
      </c>
      <c r="Z54" s="6">
        <f>Y54/AA61-1</f>
        <v>-1.5867673222098588E-3</v>
      </c>
      <c r="AA54" s="3">
        <f t="shared" si="12"/>
        <v>3.2847657129255166</v>
      </c>
      <c r="AB54" s="3">
        <f t="shared" si="13"/>
        <v>0.78898673342413506</v>
      </c>
      <c r="AC54" s="3">
        <f t="shared" si="14"/>
        <v>0.15638822398946109</v>
      </c>
      <c r="AD54" s="6">
        <f>AA54/AA61-1</f>
        <v>9.2517560366408347E-2</v>
      </c>
      <c r="AE54" s="6">
        <f>AB54/AB61-1</f>
        <v>-0.32103825136612019</v>
      </c>
      <c r="AF54" s="6">
        <f>AC54/AC61-1</f>
        <v>-0.91903064861012118</v>
      </c>
      <c r="AG54" s="3"/>
    </row>
    <row r="55" spans="1:33">
      <c r="A55" s="3">
        <v>1800</v>
      </c>
      <c r="B55" s="6">
        <v>165</v>
      </c>
      <c r="C55" s="25">
        <v>27.86</v>
      </c>
      <c r="D55" s="26">
        <v>2.97</v>
      </c>
      <c r="E55" s="26">
        <v>3.59</v>
      </c>
      <c r="F55" s="26">
        <v>0.61</v>
      </c>
      <c r="G55" s="25">
        <v>0.02</v>
      </c>
      <c r="H55" s="25">
        <v>0.06</v>
      </c>
      <c r="I55" s="3">
        <f t="shared" si="1"/>
        <v>7.3721341702628482</v>
      </c>
      <c r="J55" s="3">
        <f t="shared" si="2"/>
        <v>1.7910166135707268</v>
      </c>
      <c r="K55" s="6">
        <f t="shared" si="3"/>
        <v>2.1516356146545461</v>
      </c>
      <c r="L55" s="6">
        <f t="shared" si="4"/>
        <v>0.43596136768109794</v>
      </c>
      <c r="M55" s="6">
        <f t="shared" si="5"/>
        <v>8.3011252653927819E-3</v>
      </c>
      <c r="N55" s="6">
        <f t="shared" si="6"/>
        <v>2.2255737678467991E-2</v>
      </c>
      <c r="O55" s="6">
        <f t="shared" si="7"/>
        <v>94.048489373350435</v>
      </c>
      <c r="P55" s="6">
        <f t="shared" si="8"/>
        <v>94.148192217300704</v>
      </c>
      <c r="Q55" s="6">
        <f>(I55/I61-1)*100</f>
        <v>44.053774560496393</v>
      </c>
      <c r="R55" s="6">
        <f>(J55/J61-1)*100</f>
        <v>-9.4512195121951077</v>
      </c>
      <c r="S55" s="6">
        <f>(K55/K61-1)*100</f>
        <v>26.408450704225352</v>
      </c>
      <c r="T55" s="6">
        <f t="shared" si="17"/>
        <v>72.701688555346976</v>
      </c>
      <c r="U55" s="6">
        <f t="shared" si="18"/>
        <v>0.13086303939962454</v>
      </c>
      <c r="V55" s="6">
        <f t="shared" si="19"/>
        <v>1.0905253283302045E-2</v>
      </c>
      <c r="W55" s="6">
        <f>I61*(100-U55)/100</f>
        <v>5.1109294385945407</v>
      </c>
      <c r="X55" s="6">
        <f>K61*(100-V55)/100</f>
        <v>1.7019439454842722</v>
      </c>
      <c r="Y55" s="6">
        <f t="shared" si="20"/>
        <v>3.0029951645324453</v>
      </c>
      <c r="Z55" s="6">
        <f>Y55/AA61-1</f>
        <v>-1.1997086924347977E-3</v>
      </c>
      <c r="AA55" s="3">
        <f t="shared" si="12"/>
        <v>3.4262930581981812</v>
      </c>
      <c r="AB55" s="3">
        <f t="shared" si="13"/>
        <v>0.83239773564460262</v>
      </c>
      <c r="AC55" s="3">
        <f t="shared" si="14"/>
        <v>0.20261858686099751</v>
      </c>
      <c r="AD55" s="6">
        <f>AA55/AA61-1</f>
        <v>0.13958974861228346</v>
      </c>
      <c r="AE55" s="6">
        <f>AB55/AB61-1</f>
        <v>-0.28368095658672454</v>
      </c>
      <c r="AF55" s="6">
        <f>AC55/AC61-1</f>
        <v>-0.89509507084897666</v>
      </c>
      <c r="AG55" s="3"/>
    </row>
    <row r="56" spans="1:33">
      <c r="A56" s="3">
        <v>1800</v>
      </c>
      <c r="B56" s="6">
        <v>200</v>
      </c>
      <c r="C56" s="25">
        <v>29.73</v>
      </c>
      <c r="D56" s="26">
        <v>1</v>
      </c>
      <c r="E56" s="26">
        <v>3.55</v>
      </c>
      <c r="F56" s="26">
        <v>0.03</v>
      </c>
      <c r="G56" s="25">
        <v>0.04</v>
      </c>
      <c r="H56" s="26">
        <v>3.0000000000000001E-3</v>
      </c>
      <c r="I56" s="3">
        <f t="shared" si="1"/>
        <v>7.8669615535504125</v>
      </c>
      <c r="J56" s="3">
        <f t="shared" si="2"/>
        <v>0.60303589682516046</v>
      </c>
      <c r="K56" s="6">
        <f t="shared" si="3"/>
        <v>2.127661958780958</v>
      </c>
      <c r="L56" s="6">
        <f t="shared" si="4"/>
        <v>2.1440723000709733E-2</v>
      </c>
      <c r="M56" s="6">
        <f t="shared" si="5"/>
        <v>1.6602250530785564E-2</v>
      </c>
      <c r="N56" s="6">
        <f t="shared" si="6"/>
        <v>1.1127868839233995E-3</v>
      </c>
      <c r="O56" s="6">
        <f t="shared" si="7"/>
        <v>99.504740963731322</v>
      </c>
      <c r="P56" s="6">
        <f t="shared" si="8"/>
        <v>99.714133128547275</v>
      </c>
      <c r="Q56" s="6">
        <f>(I56/I61-1)*100</f>
        <v>53.722854188210988</v>
      </c>
      <c r="R56" s="6">
        <f>(J56/J61-1)*100</f>
        <v>-69.512195121951208</v>
      </c>
      <c r="S56" s="6">
        <f>(K56/K61-1)*100</f>
        <v>25</v>
      </c>
      <c r="T56" s="6">
        <f t="shared" si="17"/>
        <v>534.70919324577847</v>
      </c>
      <c r="U56" s="6">
        <f t="shared" si="18"/>
        <v>0.96247654784240122</v>
      </c>
      <c r="V56" s="6">
        <f t="shared" si="19"/>
        <v>8.0206378986866764E-2</v>
      </c>
      <c r="W56" s="6">
        <f>I61*(100-U56)/100</f>
        <v>5.0683705651408744</v>
      </c>
      <c r="X56" s="6">
        <f>K61*(100-V56)/100</f>
        <v>1.7007643505333909</v>
      </c>
      <c r="Y56" s="6">
        <f t="shared" si="20"/>
        <v>2.9800545640266627</v>
      </c>
      <c r="Z56" s="6">
        <f>Y56/AA61-1</f>
        <v>-8.8297837383642941E-3</v>
      </c>
      <c r="AA56" s="3">
        <f t="shared" si="12"/>
        <v>3.6974677866862748</v>
      </c>
      <c r="AB56" s="3">
        <f t="shared" si="13"/>
        <v>0.28342655389236238</v>
      </c>
      <c r="AC56" s="3">
        <f t="shared" si="14"/>
        <v>1.0077128517630769E-2</v>
      </c>
      <c r="AD56" s="6">
        <f>AA56/AA61-1</f>
        <v>0.22978283350568773</v>
      </c>
      <c r="AE56" s="6">
        <f>AB56/AB61-1</f>
        <v>-0.75609756097560976</v>
      </c>
      <c r="AF56" s="6">
        <f>AC56/AC61-1</f>
        <v>-0.99478260869565216</v>
      </c>
    </row>
    <row r="57" spans="1:33">
      <c r="A57" s="3">
        <v>1800</v>
      </c>
      <c r="B57" s="6">
        <v>250</v>
      </c>
      <c r="C57" s="25">
        <v>22.63</v>
      </c>
      <c r="D57" s="26">
        <v>0.81</v>
      </c>
      <c r="E57" s="26">
        <v>4.16</v>
      </c>
      <c r="F57" s="26">
        <v>0.02</v>
      </c>
      <c r="G57" s="25">
        <v>0.24</v>
      </c>
      <c r="H57" s="26">
        <v>4.0000000000000001E-3</v>
      </c>
      <c r="I57" s="3">
        <f t="shared" si="1"/>
        <v>5.9882051785013735</v>
      </c>
      <c r="J57" s="3">
        <f t="shared" si="2"/>
        <v>0.4884590764283801</v>
      </c>
      <c r="K57" s="6">
        <f t="shared" si="3"/>
        <v>2.4932602108531792</v>
      </c>
      <c r="L57" s="6">
        <f t="shared" si="4"/>
        <v>1.4293815333806491E-2</v>
      </c>
      <c r="M57" s="6">
        <f t="shared" si="5"/>
        <v>9.9613503184713376E-2</v>
      </c>
      <c r="N57" s="6">
        <f t="shared" si="6"/>
        <v>1.4837158452311995E-3</v>
      </c>
      <c r="O57" s="6">
        <f t="shared" si="7"/>
        <v>98.109458254782155</v>
      </c>
      <c r="P57" s="6">
        <f t="shared" si="8"/>
        <v>99.73721557935869</v>
      </c>
      <c r="Q57" s="6">
        <f>(I57/I61-1)*100</f>
        <v>17.011375387797333</v>
      </c>
      <c r="R57" s="6">
        <f>(J57/J61-1)*100</f>
        <v>-75.304878048780481</v>
      </c>
      <c r="S57" s="6">
        <f>(K57/K61-1)*100</f>
        <v>46.478873239436645</v>
      </c>
      <c r="T57" s="6">
        <f t="shared" si="17"/>
        <v>579.2682926829267</v>
      </c>
      <c r="U57" s="6">
        <f t="shared" si="18"/>
        <v>1.0426829268292681</v>
      </c>
      <c r="V57" s="6">
        <f t="shared" si="19"/>
        <v>8.6890243902438991E-2</v>
      </c>
      <c r="W57" s="6">
        <f>I61*(100-U57)/100</f>
        <v>5.0642659022189465</v>
      </c>
      <c r="X57" s="6">
        <f>K61*(100-V57)/100</f>
        <v>1.7006505824924429</v>
      </c>
      <c r="Y57" s="6">
        <f t="shared" si="20"/>
        <v>2.9778403361358623</v>
      </c>
      <c r="Z57" s="6">
        <f>Y57/AA61-1</f>
        <v>-9.5662389576310902E-3</v>
      </c>
      <c r="AA57" s="3">
        <f t="shared" si="12"/>
        <v>2.4017570057207323</v>
      </c>
      <c r="AB57" s="3">
        <f t="shared" si="13"/>
        <v>0.19591179223978081</v>
      </c>
      <c r="AC57" s="3">
        <f t="shared" si="14"/>
        <v>5.7329817688444281E-3</v>
      </c>
      <c r="AD57" s="6">
        <f>AA57/AA61-1</f>
        <v>-0.20117234110253768</v>
      </c>
      <c r="AE57" s="6">
        <f>AB57/AB61-1</f>
        <v>-0.83140830206378991</v>
      </c>
      <c r="AF57" s="6">
        <f>AC57/AC61-1</f>
        <v>-0.99703177257525089</v>
      </c>
    </row>
    <row r="58" spans="1:33">
      <c r="A58" s="3">
        <v>1800</v>
      </c>
      <c r="B58" s="6">
        <v>285</v>
      </c>
      <c r="C58" s="25">
        <v>33.03</v>
      </c>
      <c r="D58" s="26">
        <v>2.11</v>
      </c>
      <c r="E58" s="26">
        <v>3</v>
      </c>
      <c r="F58" s="26">
        <v>0.03</v>
      </c>
      <c r="G58" s="25">
        <v>0.03</v>
      </c>
      <c r="H58" s="25">
        <v>0.01</v>
      </c>
      <c r="I58" s="3">
        <f t="shared" si="1"/>
        <v>8.7401863475872901</v>
      </c>
      <c r="J58" s="3">
        <f t="shared" si="2"/>
        <v>1.2724057423010886</v>
      </c>
      <c r="K58" s="6">
        <f t="shared" si="3"/>
        <v>1.7980241905191194</v>
      </c>
      <c r="L58" s="6">
        <f t="shared" si="4"/>
        <v>2.1440723000709733E-2</v>
      </c>
      <c r="M58" s="6">
        <f t="shared" si="5"/>
        <v>1.2451687898089172E-2</v>
      </c>
      <c r="N58" s="6">
        <f t="shared" si="6"/>
        <v>3.7092896130779987E-3</v>
      </c>
      <c r="O58" s="6">
        <f t="shared" si="7"/>
        <v>99.571626697912592</v>
      </c>
      <c r="P58" s="6">
        <f t="shared" si="8"/>
        <v>99.713074186998909</v>
      </c>
      <c r="Q58" s="6">
        <f>(I58/I61-1)*100</f>
        <v>70.785935884177903</v>
      </c>
      <c r="R58" s="6">
        <f>(J58/J61-1)*100</f>
        <v>-35.670731707317074</v>
      </c>
      <c r="S58" s="6">
        <f>(K58/K61-1)*100</f>
        <v>5.6338028169014231</v>
      </c>
      <c r="T58" s="6">
        <f t="shared" si="17"/>
        <v>274.39024390243901</v>
      </c>
      <c r="U58" s="6">
        <f t="shared" si="18"/>
        <v>0.49390243902439018</v>
      </c>
      <c r="V58" s="6">
        <f t="shared" si="19"/>
        <v>4.1158536585365849E-2</v>
      </c>
      <c r="W58" s="6">
        <f>I61*(100-U58)/100</f>
        <v>5.0923504380005546</v>
      </c>
      <c r="X58" s="6">
        <f>K61*(100-V58)/100</f>
        <v>1.7014289954041919</v>
      </c>
      <c r="Y58" s="6">
        <f t="shared" si="20"/>
        <v>2.9929843982650679</v>
      </c>
      <c r="Z58" s="6">
        <f>Y58/AA61-1</f>
        <v>-4.5293032193128857E-3</v>
      </c>
      <c r="AA58" s="3">
        <f t="shared" si="12"/>
        <v>4.8609948596208001</v>
      </c>
      <c r="AB58" s="3">
        <f t="shared" si="13"/>
        <v>0.70766886731024681</v>
      </c>
      <c r="AC58" s="3">
        <f t="shared" si="14"/>
        <v>1.1924602079196409E-2</v>
      </c>
      <c r="AD58" s="6">
        <f>AA58/AA61-1</f>
        <v>0.61677352637021721</v>
      </c>
      <c r="AE58" s="6">
        <f>AB58/AB61-1</f>
        <v>-0.3910162601626016</v>
      </c>
      <c r="AF58" s="6">
        <f>AC58/AC61-1</f>
        <v>-0.99382608695652175</v>
      </c>
    </row>
    <row r="59" spans="1:33">
      <c r="A59" s="3">
        <v>1800</v>
      </c>
      <c r="B59" s="6">
        <v>335</v>
      </c>
      <c r="C59" s="25">
        <v>32.72</v>
      </c>
      <c r="D59" s="26">
        <v>2.4700000000000002</v>
      </c>
      <c r="E59" s="26">
        <v>3.04</v>
      </c>
      <c r="F59" s="26">
        <v>0.09</v>
      </c>
      <c r="G59" s="25">
        <v>0.05</v>
      </c>
      <c r="H59" s="25">
        <v>0.02</v>
      </c>
      <c r="I59" s="3">
        <f t="shared" si="1"/>
        <v>8.6581561396626121</v>
      </c>
      <c r="J59" s="3">
        <f t="shared" si="2"/>
        <v>1.4894986651581466</v>
      </c>
      <c r="K59" s="6">
        <f t="shared" si="3"/>
        <v>1.8219978463927078</v>
      </c>
      <c r="L59" s="6">
        <f t="shared" si="4"/>
        <v>6.4322169002129212E-2</v>
      </c>
      <c r="M59" s="6">
        <f t="shared" si="5"/>
        <v>2.0752813163481956E-2</v>
      </c>
      <c r="N59" s="6">
        <f t="shared" si="6"/>
        <v>7.4185792261559974E-3</v>
      </c>
      <c r="O59" s="6">
        <f t="shared" si="7"/>
        <v>98.943009210154742</v>
      </c>
      <c r="P59" s="6">
        <f t="shared" si="8"/>
        <v>99.178217690889397</v>
      </c>
      <c r="Q59" s="6">
        <f>(I59/I61-1)*100</f>
        <v>69.183040330920377</v>
      </c>
      <c r="R59" s="6">
        <f>(J59/J61-1)*100</f>
        <v>-24.695121951219502</v>
      </c>
      <c r="S59" s="6">
        <f>(K59/K61-1)*100</f>
        <v>7.0422535211267734</v>
      </c>
      <c r="T59" s="6">
        <f t="shared" si="17"/>
        <v>189.96247654784233</v>
      </c>
      <c r="U59" s="6">
        <f t="shared" si="18"/>
        <v>0.3419324577861162</v>
      </c>
      <c r="V59" s="6">
        <f t="shared" si="19"/>
        <v>2.8494371482176348E-2</v>
      </c>
      <c r="W59" s="6">
        <f>I61*(100-U59)/100</f>
        <v>5.1001276940631541</v>
      </c>
      <c r="X59" s="6">
        <f>K61*(100-V59)/100</f>
        <v>1.7016445559028301</v>
      </c>
      <c r="Y59" s="6">
        <f t="shared" si="20"/>
        <v>2.9971756888777596</v>
      </c>
      <c r="Z59" s="6">
        <f>Y59/AA61-1</f>
        <v>-3.1352742397280364E-3</v>
      </c>
      <c r="AA59" s="3">
        <f t="shared" si="12"/>
        <v>4.7520122797096107</v>
      </c>
      <c r="AB59" s="3">
        <f t="shared" si="13"/>
        <v>0.81750846638328278</v>
      </c>
      <c r="AC59" s="3">
        <f t="shared" si="14"/>
        <v>3.5303098260778848E-2</v>
      </c>
      <c r="AD59" s="6">
        <f>AA59/AA61-1</f>
        <v>0.58052577151254536</v>
      </c>
      <c r="AE59" s="6">
        <f>AB59/AB61-1</f>
        <v>-0.2964939024390244</v>
      </c>
      <c r="AF59" s="6">
        <f>AC59/AC61-1</f>
        <v>-0.98172196796338673</v>
      </c>
    </row>
    <row r="60" spans="1:33">
      <c r="A60" s="3">
        <v>1800</v>
      </c>
      <c r="B60" s="6">
        <v>425</v>
      </c>
      <c r="C60" s="25">
        <v>22.97</v>
      </c>
      <c r="D60" s="26">
        <v>3.86</v>
      </c>
      <c r="E60" s="26">
        <v>3.51</v>
      </c>
      <c r="F60" s="26">
        <v>2.44</v>
      </c>
      <c r="G60" s="25">
        <v>1.21</v>
      </c>
      <c r="H60" s="25">
        <v>2.02</v>
      </c>
      <c r="I60" s="3">
        <f t="shared" si="1"/>
        <v>6.0781737936445666</v>
      </c>
      <c r="J60" s="3">
        <f t="shared" si="2"/>
        <v>2.3277185617451193</v>
      </c>
      <c r="K60" s="6">
        <f t="shared" si="3"/>
        <v>2.1036883029073694</v>
      </c>
      <c r="L60" s="6">
        <f t="shared" si="4"/>
        <v>1.7438454707243918</v>
      </c>
      <c r="M60" s="6">
        <f t="shared" si="5"/>
        <v>0.50221807855626321</v>
      </c>
      <c r="N60" s="6">
        <f t="shared" si="6"/>
        <v>0.74927650184175576</v>
      </c>
      <c r="O60" s="6">
        <f t="shared" si="7"/>
        <v>66.988091908297136</v>
      </c>
      <c r="P60" s="6">
        <f t="shared" si="8"/>
        <v>70.913126316392038</v>
      </c>
      <c r="Q60" s="6">
        <f>(I60/I61-1)*100</f>
        <v>18.769389865563603</v>
      </c>
      <c r="R60" s="6">
        <f>(J60/J61-1)*100</f>
        <v>17.682926829268286</v>
      </c>
      <c r="S60" s="6">
        <f>(K60/K61-1)*100</f>
        <v>23.591549295774648</v>
      </c>
      <c r="T60" s="6">
        <f t="shared" si="17"/>
        <v>-136.02251407129449</v>
      </c>
      <c r="U60" s="6">
        <f t="shared" si="18"/>
        <v>-0.24484052532833009</v>
      </c>
      <c r="V60" s="6">
        <f t="shared" si="19"/>
        <v>-2.0403377110694173E-2</v>
      </c>
      <c r="W60" s="6">
        <f>I61*(100-U60)/100</f>
        <v>5.1301565438604113</v>
      </c>
      <c r="X60" s="6">
        <f>K61*(100-V60)/100</f>
        <v>1.7024768589392389</v>
      </c>
      <c r="Y60" s="6">
        <f t="shared" si="20"/>
        <v>3.0133487670762551</v>
      </c>
      <c r="Z60" s="6">
        <f>Y60/AA61-1</f>
        <v>2.2439136480127964E-3</v>
      </c>
      <c r="AA60" s="3">
        <f t="shared" si="12"/>
        <v>2.8892939059671159</v>
      </c>
      <c r="AB60" s="3">
        <f t="shared" si="13"/>
        <v>1.1064940364635447</v>
      </c>
      <c r="AC60" s="3">
        <f t="shared" si="14"/>
        <v>0.8289466972432834</v>
      </c>
      <c r="AD60" s="6">
        <f>AA60/AA61-1</f>
        <v>-3.9016902512248874E-2</v>
      </c>
      <c r="AE60" s="6">
        <f>AB60/AB61-1</f>
        <v>-4.7807657563755157E-2</v>
      </c>
      <c r="AF60" s="6">
        <f>AC60/AC61-1</f>
        <v>-0.57081630125108385</v>
      </c>
    </row>
    <row r="61" spans="1:33" s="2" customFormat="1">
      <c r="A61" s="2">
        <v>1800</v>
      </c>
      <c r="B61" s="2">
        <v>465</v>
      </c>
      <c r="C61" s="29">
        <v>19.34</v>
      </c>
      <c r="D61" s="30">
        <v>3.28</v>
      </c>
      <c r="E61" s="30">
        <v>2.84</v>
      </c>
      <c r="F61" s="30">
        <v>4.5999999999999996</v>
      </c>
      <c r="G61" s="29">
        <v>1.62</v>
      </c>
      <c r="H61" s="29">
        <v>3.89</v>
      </c>
      <c r="I61" s="2">
        <f t="shared" si="1"/>
        <v>5.1176265202040012</v>
      </c>
      <c r="J61" s="2">
        <f t="shared" si="2"/>
        <v>1.9779577415865264</v>
      </c>
      <c r="K61" s="2">
        <f t="shared" si="3"/>
        <v>1.7021295670247663</v>
      </c>
      <c r="L61" s="2">
        <f t="shared" si="4"/>
        <v>3.2875775267754928</v>
      </c>
      <c r="M61" s="2">
        <f t="shared" si="5"/>
        <v>0.67239114649681542</v>
      </c>
      <c r="N61" s="2">
        <f t="shared" si="6"/>
        <v>1.4429136594873415</v>
      </c>
      <c r="AA61" s="2">
        <f t="shared" si="12"/>
        <v>3.0066022113400837</v>
      </c>
      <c r="AB61" s="2">
        <f t="shared" si="13"/>
        <v>1.1620488709586858</v>
      </c>
      <c r="AC61" s="2">
        <f t="shared" si="14"/>
        <v>1.9314496325458976</v>
      </c>
    </row>
    <row r="62" spans="1:33" s="3" customFormat="1">
      <c r="A62" s="3">
        <v>2500</v>
      </c>
      <c r="B62" s="3">
        <v>0</v>
      </c>
      <c r="C62" s="28">
        <v>10.91</v>
      </c>
      <c r="D62" s="28">
        <v>0.6</v>
      </c>
      <c r="E62" s="28">
        <v>6.1</v>
      </c>
      <c r="F62" s="28">
        <v>0.17</v>
      </c>
      <c r="G62" s="28">
        <v>0.56000000000000005</v>
      </c>
      <c r="H62" s="28">
        <v>0.04</v>
      </c>
      <c r="I62" s="3">
        <f t="shared" si="1"/>
        <v>2.8869340918007067</v>
      </c>
      <c r="J62" s="3">
        <f t="shared" si="2"/>
        <v>0.36182153809509626</v>
      </c>
      <c r="K62" s="6">
        <f t="shared" si="3"/>
        <v>3.6559825207222096</v>
      </c>
      <c r="L62" s="6">
        <f t="shared" si="4"/>
        <v>0.12149743033735519</v>
      </c>
      <c r="M62" s="6">
        <f t="shared" si="5"/>
        <v>0.23243150743099789</v>
      </c>
      <c r="N62" s="6">
        <f t="shared" si="6"/>
        <v>1.4837158452311995E-2</v>
      </c>
      <c r="O62" s="6">
        <f t="shared" si="7"/>
        <v>88.673216975646028</v>
      </c>
      <c r="P62" s="6">
        <f t="shared" si="8"/>
        <v>95.490490485845797</v>
      </c>
      <c r="Q62" s="3">
        <f>(I62/I78-1)*100</f>
        <v>-43.675787299948375</v>
      </c>
      <c r="R62" s="3">
        <f>(J62/J78-1)*100</f>
        <v>-81.132075471698116</v>
      </c>
      <c r="S62" s="3">
        <f>(K62/K78-1)*100</f>
        <v>108.19112627986347</v>
      </c>
      <c r="T62" s="6">
        <f t="shared" si="17"/>
        <v>624.09288824383168</v>
      </c>
      <c r="U62" s="6">
        <f t="shared" si="18"/>
        <v>1.1233671988388969</v>
      </c>
      <c r="V62" s="6">
        <f t="shared" si="19"/>
        <v>9.3613933236574742E-2</v>
      </c>
      <c r="W62" s="3">
        <f>I78*(100-U62)/100</f>
        <v>5.067986012272665</v>
      </c>
      <c r="X62" s="3">
        <f>K78*(100-V62)/100</f>
        <v>1.754426366268907</v>
      </c>
      <c r="Y62" s="6">
        <f t="shared" si="20"/>
        <v>2.8886855041118764</v>
      </c>
      <c r="Z62" s="3">
        <f>Y62/AA78-1</f>
        <v>-1.0307181614137906E-2</v>
      </c>
      <c r="AA62" s="3">
        <f t="shared" si="12"/>
        <v>0.78964657939076155</v>
      </c>
      <c r="AB62" s="3">
        <f t="shared" si="13"/>
        <v>9.8966977014874058E-2</v>
      </c>
      <c r="AC62" s="3">
        <f t="shared" si="14"/>
        <v>3.3232497597760494E-2</v>
      </c>
      <c r="AD62" s="3">
        <f>AA62/AA78-1</f>
        <v>-0.72945910948991588</v>
      </c>
      <c r="AE62" s="3">
        <f>AB62/AB78-1</f>
        <v>-0.90937210021651715</v>
      </c>
      <c r="AF62" s="3">
        <f>AC62/AC78-1</f>
        <v>-0.97958606557377048</v>
      </c>
    </row>
    <row r="63" spans="1:33" s="3" customFormat="1">
      <c r="A63" s="3">
        <v>2500</v>
      </c>
      <c r="B63" s="3">
        <v>10</v>
      </c>
      <c r="C63" s="28">
        <v>11.58</v>
      </c>
      <c r="D63" s="28">
        <v>0.56000000000000005</v>
      </c>
      <c r="E63" s="28">
        <v>6.26</v>
      </c>
      <c r="F63" s="28">
        <v>0.14000000000000001</v>
      </c>
      <c r="G63" s="28">
        <v>0.59</v>
      </c>
      <c r="H63" s="28">
        <v>0.04</v>
      </c>
      <c r="I63" s="3">
        <f t="shared" si="1"/>
        <v>3.0642251863475876</v>
      </c>
      <c r="J63" s="3">
        <f t="shared" si="2"/>
        <v>0.3377001022220899</v>
      </c>
      <c r="K63" s="6">
        <f t="shared" si="3"/>
        <v>3.7518771442165622</v>
      </c>
      <c r="L63" s="6">
        <f t="shared" si="4"/>
        <v>0.10005670733664544</v>
      </c>
      <c r="M63" s="6">
        <f t="shared" si="5"/>
        <v>0.24488319532908703</v>
      </c>
      <c r="N63" s="6">
        <f t="shared" si="6"/>
        <v>1.4837158452311995E-2</v>
      </c>
      <c r="O63" s="6">
        <f t="shared" si="7"/>
        <v>89.492499270865153</v>
      </c>
      <c r="P63" s="6">
        <f t="shared" si="8"/>
        <v>96.385984170308362</v>
      </c>
      <c r="Q63" s="3">
        <f>(I63/I78-1)*100</f>
        <v>-40.216830149716067</v>
      </c>
      <c r="R63" s="3">
        <f>(J63/J78-1)*100</f>
        <v>-82.389937106918239</v>
      </c>
      <c r="S63" s="3">
        <f>(K63/K78-1)*100</f>
        <v>113.65187713310574</v>
      </c>
      <c r="T63" s="6">
        <f t="shared" si="17"/>
        <v>633.7687469762941</v>
      </c>
      <c r="U63" s="6">
        <f t="shared" si="18"/>
        <v>1.1407837445573294</v>
      </c>
      <c r="V63" s="6">
        <f t="shared" si="19"/>
        <v>9.5065312046444111E-2</v>
      </c>
      <c r="W63" s="3">
        <f>I78*(100-U63)/100</f>
        <v>5.0670933159137528</v>
      </c>
      <c r="X63" s="3">
        <f>K78*(100-V63)/100</f>
        <v>1.7544008790367918</v>
      </c>
      <c r="Y63" s="6">
        <f t="shared" si="20"/>
        <v>2.8882186371769882</v>
      </c>
      <c r="Z63" s="3">
        <f>Y63/AA78-1</f>
        <v>-1.0467134939601386E-2</v>
      </c>
      <c r="AA63" s="3">
        <f t="shared" si="12"/>
        <v>0.81671789042213838</v>
      </c>
      <c r="AB63" s="3">
        <f t="shared" si="13"/>
        <v>9.0008304974124043E-2</v>
      </c>
      <c r="AC63" s="3">
        <f t="shared" si="14"/>
        <v>2.6668439154752362E-2</v>
      </c>
      <c r="AD63" s="3">
        <f>AA63/AA78-1</f>
        <v>-0.72018420501384672</v>
      </c>
      <c r="AE63" s="3">
        <f>AB63/AB78-1</f>
        <v>-0.9175759037112946</v>
      </c>
      <c r="AF63" s="3">
        <f>AC63/AC78-1</f>
        <v>-0.9836182108626198</v>
      </c>
    </row>
    <row r="64" spans="1:33" s="3" customFormat="1">
      <c r="A64" s="3">
        <v>2500</v>
      </c>
      <c r="B64" s="3">
        <v>28</v>
      </c>
      <c r="C64" s="28">
        <v>16.13</v>
      </c>
      <c r="D64" s="28">
        <v>0.66</v>
      </c>
      <c r="E64" s="28">
        <v>5.65</v>
      </c>
      <c r="F64" s="28">
        <v>0.22</v>
      </c>
      <c r="G64" s="28">
        <v>0.43</v>
      </c>
      <c r="H64" s="28">
        <v>0.12</v>
      </c>
      <c r="I64" s="3">
        <f t="shared" si="1"/>
        <v>4.2682169478226752</v>
      </c>
      <c r="J64" s="3">
        <f t="shared" si="2"/>
        <v>0.39800369190460594</v>
      </c>
      <c r="K64" s="6">
        <f t="shared" si="3"/>
        <v>3.3862788921443419</v>
      </c>
      <c r="L64" s="6">
        <f t="shared" si="4"/>
        <v>0.15723196867187142</v>
      </c>
      <c r="M64" s="6">
        <f t="shared" si="5"/>
        <v>0.17847419320594479</v>
      </c>
      <c r="N64" s="6">
        <f t="shared" si="6"/>
        <v>4.4511475356935983E-2</v>
      </c>
      <c r="O64" s="6">
        <f t="shared" si="7"/>
        <v>91.820523010972849</v>
      </c>
      <c r="P64" s="6">
        <f t="shared" si="8"/>
        <v>95.486683855262442</v>
      </c>
      <c r="Q64" s="3">
        <f>(I64/I78-1)*100</f>
        <v>-16.726897263810049</v>
      </c>
      <c r="R64" s="3">
        <f>(J64/J78-1)*100</f>
        <v>-79.245283018867923</v>
      </c>
      <c r="S64" s="3">
        <f>(K64/K78-1)*100</f>
        <v>92.832764505119442</v>
      </c>
      <c r="T64" s="6">
        <f t="shared" si="17"/>
        <v>609.57910014513789</v>
      </c>
      <c r="U64" s="6">
        <f t="shared" si="18"/>
        <v>1.0972423802612481</v>
      </c>
      <c r="V64" s="6">
        <f t="shared" si="19"/>
        <v>9.1436865021770675E-2</v>
      </c>
      <c r="W64" s="3">
        <f>I78*(100-U64)/100</f>
        <v>5.0693250568110333</v>
      </c>
      <c r="X64" s="3">
        <f>K78*(100-V64)/100</f>
        <v>1.7544645971170798</v>
      </c>
      <c r="Y64" s="6">
        <f t="shared" si="20"/>
        <v>2.8893857790809241</v>
      </c>
      <c r="Z64" s="3">
        <f>Y64/AA78-1</f>
        <v>-1.0067260339642892E-2</v>
      </c>
      <c r="AA64" s="3">
        <f t="shared" si="12"/>
        <v>1.2604446012182569</v>
      </c>
      <c r="AB64" s="3">
        <f t="shared" si="13"/>
        <v>0.11753423287961151</v>
      </c>
      <c r="AC64" s="3">
        <f t="shared" si="14"/>
        <v>4.6432078892446209E-2</v>
      </c>
      <c r="AD64" s="3">
        <f>AA64/AA78-1</f>
        <v>-0.56815895395214755</v>
      </c>
      <c r="AE64" s="3">
        <f>AB64/AB78-1</f>
        <v>-0.89236934379696109</v>
      </c>
      <c r="AF64" s="3">
        <f>AC64/AC78-1</f>
        <v>-0.97147787610619463</v>
      </c>
    </row>
    <row r="65" spans="1:33" s="3" customFormat="1">
      <c r="A65" s="3">
        <v>2500</v>
      </c>
      <c r="B65" s="3">
        <v>42</v>
      </c>
      <c r="C65" s="28">
        <v>18.48</v>
      </c>
      <c r="D65" s="28">
        <v>0.73</v>
      </c>
      <c r="E65" s="28">
        <v>5.24</v>
      </c>
      <c r="F65" s="28">
        <v>0.16</v>
      </c>
      <c r="G65" s="28">
        <v>0.45</v>
      </c>
      <c r="H65" s="28">
        <v>0.02</v>
      </c>
      <c r="I65" s="3">
        <f t="shared" si="1"/>
        <v>4.8900588466065127</v>
      </c>
      <c r="J65" s="3">
        <f t="shared" si="2"/>
        <v>0.44021620468236711</v>
      </c>
      <c r="K65" s="6">
        <f t="shared" si="3"/>
        <v>3.1405489194400622</v>
      </c>
      <c r="L65" s="6">
        <f t="shared" si="4"/>
        <v>0.11435052267045193</v>
      </c>
      <c r="M65" s="6">
        <f t="shared" si="5"/>
        <v>0.18677531847133758</v>
      </c>
      <c r="N65" s="6">
        <f t="shared" si="6"/>
        <v>7.4185792261559974E-3</v>
      </c>
      <c r="O65" s="6">
        <f t="shared" si="7"/>
        <v>94.064859260793028</v>
      </c>
      <c r="P65" s="6">
        <f t="shared" si="8"/>
        <v>97.570365480463536</v>
      </c>
      <c r="Q65" s="3">
        <f>(I65/I78-1)*100</f>
        <v>-4.5947341249354849</v>
      </c>
      <c r="R65" s="3">
        <f>(J65/J78-1)*100</f>
        <v>-77.04402515723271</v>
      </c>
      <c r="S65" s="3">
        <f>(K65/K78-1)*100</f>
        <v>78.839590443686006</v>
      </c>
      <c r="T65" s="6">
        <f t="shared" si="17"/>
        <v>592.64634736332857</v>
      </c>
      <c r="U65" s="6">
        <f t="shared" si="18"/>
        <v>1.0667634252539915</v>
      </c>
      <c r="V65" s="6">
        <f t="shared" si="19"/>
        <v>8.8896952104499272E-2</v>
      </c>
      <c r="W65" s="3">
        <f>I78*(100-U65)/100</f>
        <v>5.0708872754391301</v>
      </c>
      <c r="X65" s="3">
        <f>K78*(100-V65)/100</f>
        <v>1.7545091997732813</v>
      </c>
      <c r="Y65" s="6">
        <f t="shared" si="20"/>
        <v>2.8902027279733802</v>
      </c>
      <c r="Z65" s="3">
        <f>Y65/AA78-1</f>
        <v>-9.7873654010276478E-3</v>
      </c>
      <c r="AA65" s="3">
        <f t="shared" si="12"/>
        <v>1.5570713821195232</v>
      </c>
      <c r="AB65" s="3">
        <f t="shared" si="13"/>
        <v>0.14017173939161393</v>
      </c>
      <c r="AC65" s="3">
        <f t="shared" si="14"/>
        <v>3.6410998715103546E-2</v>
      </c>
      <c r="AD65" s="3">
        <f>AA65/AA78-1</f>
        <v>-0.46653162401920023</v>
      </c>
      <c r="AE65" s="3">
        <f>AB65/AB78-1</f>
        <v>-0.87163930097460274</v>
      </c>
      <c r="AF65" s="3">
        <f>AC65/AC78-1</f>
        <v>-0.97763358778625953</v>
      </c>
    </row>
    <row r="66" spans="1:33">
      <c r="A66" s="3">
        <v>2500</v>
      </c>
      <c r="B66" s="6">
        <v>58</v>
      </c>
      <c r="C66" s="25">
        <v>19.329999999999998</v>
      </c>
      <c r="D66" s="25">
        <v>0.79</v>
      </c>
      <c r="E66" s="25">
        <v>5.54</v>
      </c>
      <c r="F66" s="25">
        <v>0.14000000000000001</v>
      </c>
      <c r="G66" s="25">
        <v>0.45</v>
      </c>
      <c r="H66" s="25">
        <v>0.1</v>
      </c>
      <c r="I66" s="3">
        <f t="shared" si="1"/>
        <v>5.1149803844644959</v>
      </c>
      <c r="J66" s="3">
        <f t="shared" si="2"/>
        <v>0.47639835849187684</v>
      </c>
      <c r="K66" s="6">
        <f t="shared" si="3"/>
        <v>3.3203513384919741</v>
      </c>
      <c r="L66" s="6">
        <f t="shared" si="4"/>
        <v>0.10005670733664544</v>
      </c>
      <c r="M66" s="6">
        <f t="shared" si="5"/>
        <v>0.18677531847133758</v>
      </c>
      <c r="N66" s="6">
        <f t="shared" si="6"/>
        <v>3.7092896130779991E-2</v>
      </c>
      <c r="O66" s="6">
        <f t="shared" si="7"/>
        <v>94.044299290200854</v>
      </c>
      <c r="P66" s="6">
        <f t="shared" si="8"/>
        <v>97.388686041995143</v>
      </c>
      <c r="Q66" s="3">
        <f>(I66/I78-1)*100</f>
        <v>-0.20650490449151127</v>
      </c>
      <c r="R66" s="3">
        <f>(J66/J78-1)*100</f>
        <v>-75.157232704402503</v>
      </c>
      <c r="S66" s="3">
        <f>(K66/K78-1)*100</f>
        <v>89.078498293515352</v>
      </c>
      <c r="T66" s="6">
        <f t="shared" si="17"/>
        <v>578.13255926463466</v>
      </c>
      <c r="U66" s="6">
        <f t="shared" si="18"/>
        <v>1.0406386066763424</v>
      </c>
      <c r="V66" s="6">
        <f t="shared" si="19"/>
        <v>8.671988388969519E-2</v>
      </c>
      <c r="W66" s="3">
        <f>I78*(100-U66)/100</f>
        <v>5.0722263199774993</v>
      </c>
      <c r="X66" s="3">
        <f>K78*(100-V66)/100</f>
        <v>1.7545474306214544</v>
      </c>
      <c r="Y66" s="6">
        <f t="shared" si="20"/>
        <v>2.8909029368222523</v>
      </c>
      <c r="Z66" s="3">
        <f>Y66/AA78-1</f>
        <v>-9.5474667799723134E-3</v>
      </c>
      <c r="AA66" s="3">
        <f t="shared" si="12"/>
        <v>1.5404937197964117</v>
      </c>
      <c r="AB66" s="3">
        <f t="shared" si="13"/>
        <v>0.14347829790453617</v>
      </c>
      <c r="AC66" s="3">
        <f t="shared" si="14"/>
        <v>3.0134373485333894E-2</v>
      </c>
      <c r="AD66" s="3">
        <f>AA66/AA78-1</f>
        <v>-0.47221129850209398</v>
      </c>
      <c r="AE66" s="3">
        <f>AB66/AB78-1</f>
        <v>-0.86861135708285087</v>
      </c>
      <c r="AF66" s="3">
        <f>AC66/AC78-1</f>
        <v>-0.98148916967509026</v>
      </c>
      <c r="AG66" s="3"/>
    </row>
    <row r="67" spans="1:33">
      <c r="A67" s="3">
        <v>2500</v>
      </c>
      <c r="B67" s="6">
        <v>79</v>
      </c>
      <c r="C67" s="25">
        <v>24.06</v>
      </c>
      <c r="D67" s="25">
        <v>2.33</v>
      </c>
      <c r="E67" s="25">
        <v>4.6500000000000004</v>
      </c>
      <c r="F67" s="25">
        <v>0.42</v>
      </c>
      <c r="G67" s="25">
        <v>0.15</v>
      </c>
      <c r="H67" s="25">
        <v>0.02</v>
      </c>
      <c r="I67" s="3">
        <f t="shared" si="1"/>
        <v>6.3666025892506868</v>
      </c>
      <c r="J67" s="3">
        <f t="shared" si="2"/>
        <v>1.405073639602624</v>
      </c>
      <c r="K67" s="6">
        <f t="shared" si="3"/>
        <v>2.7869374953046351</v>
      </c>
      <c r="L67" s="6">
        <f t="shared" si="4"/>
        <v>0.30017012200993631</v>
      </c>
      <c r="M67" s="6">
        <f t="shared" si="5"/>
        <v>6.2258439490445856E-2</v>
      </c>
      <c r="N67" s="6">
        <f t="shared" si="6"/>
        <v>7.4185792261559974E-3</v>
      </c>
      <c r="O67" s="6">
        <f t="shared" si="7"/>
        <v>94.509761735759454</v>
      </c>
      <c r="P67" s="6">
        <f t="shared" si="8"/>
        <v>95.391371211153015</v>
      </c>
      <c r="Q67" s="3">
        <f>(I67/I78-1)*100</f>
        <v>24.212700051626189</v>
      </c>
      <c r="R67" s="3">
        <f>(J67/J78-1)*100</f>
        <v>-26.729559748427679</v>
      </c>
      <c r="S67" s="3">
        <f>(K67/K78-1)*100</f>
        <v>58.703071672354938</v>
      </c>
      <c r="T67" s="6">
        <f t="shared" si="17"/>
        <v>205.6119980648283</v>
      </c>
      <c r="U67" s="6">
        <f t="shared" si="18"/>
        <v>0.37010159651669094</v>
      </c>
      <c r="V67" s="6">
        <f t="shared" si="19"/>
        <v>3.0841799709724241E-2</v>
      </c>
      <c r="W67" s="3">
        <f>I78*(100-U67)/100</f>
        <v>5.1065951297956298</v>
      </c>
      <c r="X67" s="3">
        <f>K78*(100-V67)/100</f>
        <v>1.7555286890578912</v>
      </c>
      <c r="Y67" s="6">
        <f t="shared" si="20"/>
        <v>2.9088645270366369</v>
      </c>
      <c r="Z67" s="3">
        <f>Y67/AA78-1</f>
        <v>-3.3936446291489286E-3</v>
      </c>
      <c r="AA67" s="3">
        <f t="shared" si="12"/>
        <v>2.2844439819611977</v>
      </c>
      <c r="AB67" s="3">
        <f t="shared" si="13"/>
        <v>0.50416403021950007</v>
      </c>
      <c r="AC67" s="3">
        <f t="shared" si="14"/>
        <v>0.10770608329596759</v>
      </c>
      <c r="AD67" s="3">
        <f>AA67/AA78-1</f>
        <v>-0.21732642763168841</v>
      </c>
      <c r="AE67" s="3">
        <f>AB67/AB78-1</f>
        <v>-0.53831744099546897</v>
      </c>
      <c r="AF67" s="3">
        <f>AC67/AC78-1</f>
        <v>-0.93383870967741933</v>
      </c>
      <c r="AG67" s="3"/>
    </row>
    <row r="68" spans="1:33">
      <c r="A68" s="3">
        <v>2500</v>
      </c>
      <c r="B68" s="6">
        <v>101</v>
      </c>
      <c r="C68" s="25">
        <v>20.260000000000002</v>
      </c>
      <c r="D68" s="25">
        <v>0.96</v>
      </c>
      <c r="E68" s="25">
        <v>5.25</v>
      </c>
      <c r="F68" s="25">
        <v>0.1</v>
      </c>
      <c r="G68" s="25">
        <v>0.94</v>
      </c>
      <c r="H68" s="25">
        <v>0.05</v>
      </c>
      <c r="I68" s="3">
        <f t="shared" ref="I68:I78" si="21">C68*26.98/101.96</f>
        <v>5.3610710082385262</v>
      </c>
      <c r="J68" s="3">
        <f t="shared" ref="J68:J78" si="22">D68*24.305/40.3044</f>
        <v>0.57891446095215404</v>
      </c>
      <c r="K68" s="6">
        <f t="shared" ref="K68:K78" si="23">E68*47.867/79.866</f>
        <v>3.1465423334084592</v>
      </c>
      <c r="L68" s="6">
        <f t="shared" ref="L68:L78" si="24">F68*40.078/56.0774</f>
        <v>7.1469076669032461E-2</v>
      </c>
      <c r="M68" s="6">
        <f t="shared" ref="M68:M78" si="25">G68*39.0983/94.2</f>
        <v>0.39015288747346066</v>
      </c>
      <c r="N68" s="6">
        <f t="shared" ref="N68:N78" si="26">H68*22.989769/61.9789</f>
        <v>1.8546448065389996E-2</v>
      </c>
      <c r="O68" s="6">
        <f t="shared" ref="O68:O77" si="27">100*(I68/(I68+L68+M68+N68))</f>
        <v>91.779682741181219</v>
      </c>
      <c r="P68" s="6">
        <f t="shared" ref="P68:P77" si="28">100*(I68/(I68+L68+N68))</f>
        <v>98.34866821155876</v>
      </c>
      <c r="Q68" s="3">
        <f>(I68/I78-1)*100</f>
        <v>4.5947341249354734</v>
      </c>
      <c r="R68" s="3">
        <f>(J68/J78-1)*100</f>
        <v>-69.811320754716988</v>
      </c>
      <c r="S68" s="3">
        <f>(K68/K78-1)*100</f>
        <v>79.180887372013629</v>
      </c>
      <c r="T68" s="6">
        <f t="shared" si="17"/>
        <v>537.01015965166914</v>
      </c>
      <c r="U68" s="6">
        <f t="shared" si="18"/>
        <v>0.96661828737300448</v>
      </c>
      <c r="V68" s="6">
        <f t="shared" si="19"/>
        <v>8.0551523947750364E-2</v>
      </c>
      <c r="W68" s="3">
        <f>I78*(100-U68)/100</f>
        <v>5.0760202795028766</v>
      </c>
      <c r="X68" s="3">
        <f>K78*(100-V68)/100</f>
        <v>1.7546557513579442</v>
      </c>
      <c r="Y68" s="6">
        <f t="shared" si="20"/>
        <v>2.89288669619354</v>
      </c>
      <c r="Z68" s="3">
        <f>Y68/AA78-1</f>
        <v>-8.8678107909855308E-3</v>
      </c>
      <c r="AA68" s="3">
        <f t="shared" ref="AA68:AA78" si="29">I68/K68</f>
        <v>1.7037975149157463</v>
      </c>
      <c r="AB68" s="3">
        <f t="shared" ref="AB68:AB78" si="30">J68/K68</f>
        <v>0.18398432298384207</v>
      </c>
      <c r="AC68" s="3">
        <f t="shared" ref="AC68:AC78" si="31">L68/K68</f>
        <v>2.2713527769897927E-2</v>
      </c>
      <c r="AD68" s="3">
        <f>AA68/AA78-1</f>
        <v>-0.41626176955036009</v>
      </c>
      <c r="AE68" s="3">
        <f>AB68/AB78-1</f>
        <v>-0.83151841868823007</v>
      </c>
      <c r="AF68" s="3">
        <f>AC68/AC78-1</f>
        <v>-0.98604761904761906</v>
      </c>
      <c r="AG68" s="3"/>
    </row>
    <row r="69" spans="1:33">
      <c r="A69" s="3">
        <v>2500</v>
      </c>
      <c r="B69" s="6">
        <v>110</v>
      </c>
      <c r="C69" s="25">
        <v>15.89</v>
      </c>
      <c r="D69" s="25">
        <v>0.56000000000000005</v>
      </c>
      <c r="E69" s="25">
        <v>4.68</v>
      </c>
      <c r="F69" s="25">
        <v>0.12</v>
      </c>
      <c r="G69" s="25">
        <v>0.69</v>
      </c>
      <c r="H69" s="25">
        <v>0.11</v>
      </c>
      <c r="I69" s="3">
        <f t="shared" si="21"/>
        <v>4.2047096900745391</v>
      </c>
      <c r="J69" s="3">
        <f t="shared" si="22"/>
        <v>0.3377001022220899</v>
      </c>
      <c r="K69" s="6">
        <f t="shared" si="23"/>
        <v>2.8049177372098262</v>
      </c>
      <c r="L69" s="6">
        <f t="shared" si="24"/>
        <v>8.5762892002838931E-2</v>
      </c>
      <c r="M69" s="6">
        <f t="shared" si="25"/>
        <v>0.2863888216560509</v>
      </c>
      <c r="N69" s="6">
        <f t="shared" si="26"/>
        <v>4.0802185743857987E-2</v>
      </c>
      <c r="O69" s="6">
        <f t="shared" si="27"/>
        <v>91.057081326933698</v>
      </c>
      <c r="P69" s="6">
        <f t="shared" si="28"/>
        <v>97.077879272702845</v>
      </c>
      <c r="Q69" s="3">
        <f>(I69/I78-1)*100</f>
        <v>-17.965926690758927</v>
      </c>
      <c r="R69" s="3">
        <f>(J69/J78-1)*100</f>
        <v>-82.389937106918239</v>
      </c>
      <c r="S69" s="3">
        <f>(K69/K78-1)*100</f>
        <v>59.726962457337862</v>
      </c>
      <c r="T69" s="6">
        <f t="shared" si="17"/>
        <v>633.7687469762941</v>
      </c>
      <c r="U69" s="6">
        <f t="shared" si="18"/>
        <v>1.1407837445573294</v>
      </c>
      <c r="V69" s="6">
        <f t="shared" si="19"/>
        <v>9.5065312046444111E-2</v>
      </c>
      <c r="W69" s="3">
        <f>I78*(100-U69)/100</f>
        <v>5.0670933159137528</v>
      </c>
      <c r="X69" s="3">
        <f>K78*(100-V69)/100</f>
        <v>1.7544008790367918</v>
      </c>
      <c r="Y69" s="6">
        <f t="shared" si="20"/>
        <v>2.8882186371769882</v>
      </c>
      <c r="Z69" s="3">
        <f>Y69/AA78-1</f>
        <v>-1.0467134939601386E-2</v>
      </c>
      <c r="AA69" s="3">
        <f t="shared" si="29"/>
        <v>1.4990492000158075</v>
      </c>
      <c r="AB69" s="3">
        <f t="shared" si="30"/>
        <v>0.12039572417478984</v>
      </c>
      <c r="AC69" s="3">
        <f t="shared" si="31"/>
        <v>3.0575902767170281E-2</v>
      </c>
      <c r="AD69" s="3">
        <f>AA69/AA78-1</f>
        <v>-0.48641060941009318</v>
      </c>
      <c r="AE69" s="3">
        <f>AB69/AB78-1</f>
        <v>-0.88974896522066327</v>
      </c>
      <c r="AF69" s="3">
        <f>AC69/AC78-1</f>
        <v>-0.98121794871794876</v>
      </c>
      <c r="AG69" s="3"/>
    </row>
    <row r="70" spans="1:33">
      <c r="A70" s="3">
        <v>2500</v>
      </c>
      <c r="B70" s="6">
        <v>120</v>
      </c>
      <c r="C70" s="25">
        <v>25.31</v>
      </c>
      <c r="D70" s="25">
        <v>0.68</v>
      </c>
      <c r="E70" s="25">
        <v>3.39</v>
      </c>
      <c r="F70" s="25">
        <v>0.15</v>
      </c>
      <c r="G70" s="25">
        <v>0.15</v>
      </c>
      <c r="H70" s="25">
        <v>7.0000000000000007E-2</v>
      </c>
      <c r="I70" s="3">
        <f t="shared" si="21"/>
        <v>6.6973695566888978</v>
      </c>
      <c r="J70" s="3">
        <f t="shared" si="22"/>
        <v>0.41006440984110915</v>
      </c>
      <c r="K70" s="6">
        <f t="shared" si="23"/>
        <v>2.031767335286605</v>
      </c>
      <c r="L70" s="6">
        <f t="shared" si="24"/>
        <v>0.10720361500354868</v>
      </c>
      <c r="M70" s="6">
        <f t="shared" si="25"/>
        <v>6.2258439490445856E-2</v>
      </c>
      <c r="N70" s="6">
        <f t="shared" si="26"/>
        <v>2.5965027291545994E-2</v>
      </c>
      <c r="O70" s="6">
        <f t="shared" si="27"/>
        <v>97.164763563533867</v>
      </c>
      <c r="P70" s="6">
        <f t="shared" si="28"/>
        <v>98.050393125465533</v>
      </c>
      <c r="Q70" s="3">
        <f>(I70/I78-1)*100</f>
        <v>30.665978316985012</v>
      </c>
      <c r="R70" s="3">
        <f>(J70/J78-1)*100</f>
        <v>-78.616352201257868</v>
      </c>
      <c r="S70" s="3">
        <f>(K70/K78-1)*100</f>
        <v>15.699658703071663</v>
      </c>
      <c r="T70" s="6">
        <f t="shared" si="17"/>
        <v>604.74117077890662</v>
      </c>
      <c r="U70" s="6">
        <f t="shared" si="18"/>
        <v>1.0885341074020318</v>
      </c>
      <c r="V70" s="6">
        <f t="shared" si="19"/>
        <v>9.071117561683599E-2</v>
      </c>
      <c r="W70" s="3">
        <f>I78*(100-U70)/100</f>
        <v>5.0697714049904894</v>
      </c>
      <c r="X70" s="3">
        <f>K78*(100-V70)/100</f>
        <v>1.7544773407331373</v>
      </c>
      <c r="Y70" s="6">
        <f t="shared" si="20"/>
        <v>2.8896191972886931</v>
      </c>
      <c r="Z70" s="3">
        <f>Y70/AA78-1</f>
        <v>-9.9872889050298674E-3</v>
      </c>
      <c r="AA70" s="3">
        <f t="shared" si="29"/>
        <v>3.2963270155852533</v>
      </c>
      <c r="AB70" s="3">
        <f t="shared" si="30"/>
        <v>0.201826460500343</v>
      </c>
      <c r="AC70" s="3">
        <f t="shared" si="31"/>
        <v>5.2763726014143413E-2</v>
      </c>
      <c r="AD70" s="3">
        <f>AA70/AA78-1</f>
        <v>0.12935491583706815</v>
      </c>
      <c r="AE70" s="3">
        <f>AB70/AB78-1</f>
        <v>-0.81517968126750895</v>
      </c>
      <c r="AF70" s="3">
        <f>AC70/AC78-1</f>
        <v>-0.9675884955752212</v>
      </c>
      <c r="AG70" s="3"/>
    </row>
    <row r="71" spans="1:33">
      <c r="A71" s="3">
        <v>2500</v>
      </c>
      <c r="B71" s="6">
        <v>115</v>
      </c>
      <c r="C71" s="25">
        <v>26.89</v>
      </c>
      <c r="D71" s="25">
        <v>3.68</v>
      </c>
      <c r="E71" s="25">
        <v>3.76</v>
      </c>
      <c r="F71" s="25">
        <v>1.1399999999999999</v>
      </c>
      <c r="G71" s="25">
        <v>0.03</v>
      </c>
      <c r="H71" s="25">
        <v>0.09</v>
      </c>
      <c r="I71" s="3">
        <f t="shared" si="21"/>
        <v>7.1154590035307974</v>
      </c>
      <c r="J71" s="3">
        <f t="shared" si="22"/>
        <v>2.219172100316591</v>
      </c>
      <c r="K71" s="6">
        <f t="shared" si="23"/>
        <v>2.2535236521172965</v>
      </c>
      <c r="L71" s="6">
        <f t="shared" si="24"/>
        <v>0.81474747402696979</v>
      </c>
      <c r="M71" s="6">
        <f t="shared" si="25"/>
        <v>1.2451687898089172E-2</v>
      </c>
      <c r="N71" s="6">
        <f t="shared" si="26"/>
        <v>3.3383606517701989E-2</v>
      </c>
      <c r="O71" s="6">
        <f t="shared" si="27"/>
        <v>89.210402941134276</v>
      </c>
      <c r="P71" s="6">
        <f t="shared" si="28"/>
        <v>89.349890293315681</v>
      </c>
      <c r="Q71" s="3">
        <f>(I71/I78-1)*100</f>
        <v>38.822922044398545</v>
      </c>
      <c r="R71" s="3">
        <f>(J71/J78-1)*100</f>
        <v>15.723270440251591</v>
      </c>
      <c r="S71" s="3">
        <f>(K71/K78-1)*100</f>
        <v>28.327645051194537</v>
      </c>
      <c r="T71" s="6">
        <f t="shared" si="17"/>
        <v>-120.94823415578146</v>
      </c>
      <c r="U71" s="6">
        <f t="shared" si="18"/>
        <v>-0.21770682148040663</v>
      </c>
      <c r="V71" s="6">
        <f t="shared" si="19"/>
        <v>-1.8142235123367219E-2</v>
      </c>
      <c r="W71" s="3">
        <f>I78*(100-U71)/100</f>
        <v>5.136723631908926</v>
      </c>
      <c r="X71" s="3">
        <f>K78*(100-V71)/100</f>
        <v>1.7563888831417807</v>
      </c>
      <c r="Y71" s="6">
        <f t="shared" si="20"/>
        <v>2.9245935687776017</v>
      </c>
      <c r="Z71" s="3">
        <f>Y71/AA78-1</f>
        <v>1.9952838744787815E-3</v>
      </c>
      <c r="AA71" s="3">
        <f t="shared" si="29"/>
        <v>3.1574813944577298</v>
      </c>
      <c r="AB71" s="3">
        <f t="shared" si="30"/>
        <v>0.98475651597069747</v>
      </c>
      <c r="AC71" s="3">
        <f t="shared" si="31"/>
        <v>0.36154378644372087</v>
      </c>
      <c r="AD71" s="3">
        <f>AA71/AA78-1</f>
        <v>8.1785004228956737E-2</v>
      </c>
      <c r="AE71" s="3">
        <f>AB71/AB78-1</f>
        <v>-9.822025960123093E-2</v>
      </c>
      <c r="AF71" s="3">
        <f>AC71/AC78-1</f>
        <v>-0.77791223404255327</v>
      </c>
      <c r="AG71" s="3"/>
    </row>
    <row r="72" spans="1:33">
      <c r="A72" s="3">
        <v>2500</v>
      </c>
      <c r="B72" s="6">
        <v>150</v>
      </c>
      <c r="C72" s="25">
        <v>26.67</v>
      </c>
      <c r="D72" s="25">
        <v>3.72</v>
      </c>
      <c r="E72" s="25">
        <v>3.92</v>
      </c>
      <c r="F72" s="25">
        <v>0.94</v>
      </c>
      <c r="G72" s="25">
        <v>0.06</v>
      </c>
      <c r="H72" s="25">
        <v>0.26</v>
      </c>
      <c r="I72" s="3">
        <f t="shared" si="21"/>
        <v>7.0572440172616719</v>
      </c>
      <c r="J72" s="3">
        <f t="shared" si="22"/>
        <v>2.2432935361895971</v>
      </c>
      <c r="K72" s="6">
        <f t="shared" si="23"/>
        <v>2.3494182756116491</v>
      </c>
      <c r="L72" s="6">
        <f t="shared" si="24"/>
        <v>0.67180932068890509</v>
      </c>
      <c r="M72" s="6">
        <f t="shared" si="25"/>
        <v>2.4903375796178344E-2</v>
      </c>
      <c r="N72" s="6">
        <f t="shared" si="26"/>
        <v>9.644152994002797E-2</v>
      </c>
      <c r="O72" s="6">
        <f t="shared" si="27"/>
        <v>89.896637064712493</v>
      </c>
      <c r="P72" s="6">
        <f t="shared" si="28"/>
        <v>90.18271861909713</v>
      </c>
      <c r="Q72" s="6">
        <f>(I72/I78-1)*100</f>
        <v>37.68714506969539</v>
      </c>
      <c r="R72" s="6">
        <f>(J72/J78-1)*100</f>
        <v>16.981132075471695</v>
      </c>
      <c r="S72" s="6">
        <f>(K72/K78-1)*100</f>
        <v>33.788395904436832</v>
      </c>
      <c r="T72" s="6">
        <f t="shared" si="17"/>
        <v>-130.62409288824381</v>
      </c>
      <c r="U72" s="6">
        <f t="shared" si="18"/>
        <v>-0.23512336719883886</v>
      </c>
      <c r="V72" s="6">
        <f t="shared" si="19"/>
        <v>-1.9593613933236571E-2</v>
      </c>
      <c r="W72" s="6">
        <f>I78*(100-U72)/100</f>
        <v>5.1376163282678382</v>
      </c>
      <c r="X72" s="6">
        <f>K78*(100-V72)/100</f>
        <v>1.7564143703738961</v>
      </c>
      <c r="Y72" s="6">
        <f t="shared" si="20"/>
        <v>2.9250593794527937</v>
      </c>
      <c r="Z72" s="6">
        <f>Y72/AA78-1</f>
        <v>2.1548753147060395E-3</v>
      </c>
      <c r="AA72" s="3">
        <f t="shared" si="29"/>
        <v>3.0038261345457462</v>
      </c>
      <c r="AB72" s="3">
        <f t="shared" si="30"/>
        <v>0.95482935477105568</v>
      </c>
      <c r="AC72" s="3">
        <f t="shared" si="31"/>
        <v>0.28594709067460788</v>
      </c>
      <c r="AD72" s="6">
        <f>AA72/AA78-1</f>
        <v>2.9141160852570458E-2</v>
      </c>
      <c r="AE72" s="6">
        <f>AB72/AB78-1</f>
        <v>-0.12562572198690769</v>
      </c>
      <c r="AF72" s="6">
        <f>AC72/AC78-1</f>
        <v>-0.82434948979591827</v>
      </c>
      <c r="AG72" s="3"/>
    </row>
    <row r="73" spans="1:33">
      <c r="A73" s="3">
        <v>2500</v>
      </c>
      <c r="B73" s="6">
        <v>200</v>
      </c>
      <c r="C73" s="25">
        <v>27.06</v>
      </c>
      <c r="D73" s="25">
        <v>3.74</v>
      </c>
      <c r="E73" s="25">
        <v>4.0199999999999996</v>
      </c>
      <c r="F73" s="25">
        <v>0.86</v>
      </c>
      <c r="G73" s="25">
        <v>7.0000000000000007E-2</v>
      </c>
      <c r="H73" s="25">
        <v>0.12</v>
      </c>
      <c r="I73" s="3">
        <f t="shared" si="21"/>
        <v>7.1604433111023935</v>
      </c>
      <c r="J73" s="3">
        <f t="shared" si="22"/>
        <v>2.2553542541261002</v>
      </c>
      <c r="K73" s="6">
        <f t="shared" si="23"/>
        <v>2.4093524152956198</v>
      </c>
      <c r="L73" s="6">
        <f t="shared" si="24"/>
        <v>0.6146340593536791</v>
      </c>
      <c r="M73" s="6">
        <f t="shared" si="25"/>
        <v>2.9053938428874736E-2</v>
      </c>
      <c r="N73" s="6">
        <f t="shared" si="26"/>
        <v>4.4511475356935983E-2</v>
      </c>
      <c r="O73" s="6">
        <f t="shared" si="27"/>
        <v>91.231611731378294</v>
      </c>
      <c r="P73" s="6">
        <f t="shared" si="28"/>
        <v>91.570585772376589</v>
      </c>
      <c r="Q73" s="6">
        <f>(I73/I78-1)*100</f>
        <v>39.700567888487328</v>
      </c>
      <c r="R73" s="6">
        <f>(J73/J78-1)*100</f>
        <v>17.610062893081757</v>
      </c>
      <c r="S73" s="6">
        <f>(K73/K78-1)*100</f>
        <v>37.201365187713286</v>
      </c>
      <c r="T73" s="6">
        <f t="shared" si="17"/>
        <v>-135.46202225447504</v>
      </c>
      <c r="U73" s="6">
        <f t="shared" si="18"/>
        <v>-0.24383164005805508</v>
      </c>
      <c r="V73" s="6">
        <f t="shared" si="19"/>
        <v>-2.0319303338171255E-2</v>
      </c>
      <c r="W73" s="6">
        <f>I78*(100-U73)/100</f>
        <v>5.1380626764472943</v>
      </c>
      <c r="X73" s="6">
        <f>K78*(100-V73)/100</f>
        <v>1.7564271139899537</v>
      </c>
      <c r="Y73" s="6">
        <f t="shared" si="20"/>
        <v>2.9252922797209124</v>
      </c>
      <c r="Z73" s="6">
        <f>Y73/AA78-1</f>
        <v>2.2346692979655636E-3</v>
      </c>
      <c r="AA73" s="3">
        <f t="shared" si="29"/>
        <v>2.9719368846353804</v>
      </c>
      <c r="AB73" s="3">
        <f t="shared" si="30"/>
        <v>0.93608317314151634</v>
      </c>
      <c r="AC73" s="3">
        <f t="shared" si="31"/>
        <v>0.2551034275648984</v>
      </c>
      <c r="AD73" s="6">
        <f>AA73/AA78-1</f>
        <v>1.8215581873801012E-2</v>
      </c>
      <c r="AE73" s="6">
        <f>AB73/AB78-1</f>
        <v>-0.14279232766982675</v>
      </c>
      <c r="AF73" s="6">
        <f>AC73/AC78-1</f>
        <v>-0.84329601990049752</v>
      </c>
    </row>
    <row r="74" spans="1:33">
      <c r="A74" s="3">
        <v>2500</v>
      </c>
      <c r="B74" s="6">
        <v>250</v>
      </c>
      <c r="C74" s="25">
        <v>27.27</v>
      </c>
      <c r="D74" s="25">
        <v>1.96</v>
      </c>
      <c r="E74" s="25">
        <v>4.09</v>
      </c>
      <c r="F74" s="25">
        <v>0.08</v>
      </c>
      <c r="G74" s="25">
        <v>0.03</v>
      </c>
      <c r="H74" s="25">
        <v>5.0000000000000001E-3</v>
      </c>
      <c r="I74" s="3">
        <f t="shared" si="21"/>
        <v>7.2160121616320128</v>
      </c>
      <c r="J74" s="3">
        <f t="shared" si="22"/>
        <v>1.1819503577773145</v>
      </c>
      <c r="K74" s="6">
        <f t="shared" si="23"/>
        <v>2.4513063130743995</v>
      </c>
      <c r="L74" s="6">
        <f t="shared" si="24"/>
        <v>5.7175261335225963E-2</v>
      </c>
      <c r="M74" s="6">
        <f t="shared" si="25"/>
        <v>1.2451687898089172E-2</v>
      </c>
      <c r="N74" s="6">
        <f t="shared" si="26"/>
        <v>1.8546448065389993E-3</v>
      </c>
      <c r="O74" s="6">
        <f t="shared" si="27"/>
        <v>99.019119652977821</v>
      </c>
      <c r="P74" s="6">
        <f t="shared" si="28"/>
        <v>99.18859704738685</v>
      </c>
      <c r="Q74" s="6">
        <f>(I74/I78-1)*100</f>
        <v>40.784718637067606</v>
      </c>
      <c r="R74" s="6">
        <f>(J74/J78-1)*100</f>
        <v>-38.364779874213838</v>
      </c>
      <c r="S74" s="6">
        <f>(K74/K78-1)*100</f>
        <v>39.590443686006815</v>
      </c>
      <c r="T74" s="6">
        <f t="shared" si="17"/>
        <v>295.11369134010641</v>
      </c>
      <c r="U74" s="6">
        <f t="shared" si="18"/>
        <v>0.53120464441219151</v>
      </c>
      <c r="V74" s="6">
        <f t="shared" si="19"/>
        <v>4.4267053701015961E-2</v>
      </c>
      <c r="W74" s="6">
        <f>I78*(100-U74)/100</f>
        <v>5.0983376884756897</v>
      </c>
      <c r="X74" s="6">
        <f>K78*(100-V74)/100</f>
        <v>1.7552929321608253</v>
      </c>
      <c r="Y74" s="6">
        <f t="shared" si="20"/>
        <v>2.904550912877808</v>
      </c>
      <c r="Z74" s="6">
        <f>Y74/AA78-1</f>
        <v>-4.8715323909712671E-3</v>
      </c>
      <c r="AA74" s="3">
        <f t="shared" si="29"/>
        <v>2.9437415157560523</v>
      </c>
      <c r="AB74" s="3">
        <f t="shared" si="30"/>
        <v>0.48217162884671327</v>
      </c>
      <c r="AC74" s="3">
        <f t="shared" si="31"/>
        <v>2.3324405044882958E-2</v>
      </c>
      <c r="AD74" s="6">
        <f>AA74/AA78-1</f>
        <v>8.5555638303378423E-3</v>
      </c>
      <c r="AE74" s="6">
        <f>AB74/AB78-1</f>
        <v>-0.55845673601820667</v>
      </c>
      <c r="AF74" s="6">
        <f>AC74/AC78-1</f>
        <v>-0.98567237163814181</v>
      </c>
    </row>
    <row r="75" spans="1:33">
      <c r="A75" s="3">
        <v>2500</v>
      </c>
      <c r="B75" s="6">
        <v>290</v>
      </c>
      <c r="C75" s="25">
        <v>29.33</v>
      </c>
      <c r="D75" s="25">
        <v>2.5099999999999998</v>
      </c>
      <c r="E75" s="25">
        <v>3.67</v>
      </c>
      <c r="F75" s="25">
        <v>0.22</v>
      </c>
      <c r="G75" s="25">
        <v>7.0000000000000007E-2</v>
      </c>
      <c r="H75" s="25">
        <v>0.05</v>
      </c>
      <c r="I75" s="3">
        <f t="shared" si="21"/>
        <v>7.7611161239701847</v>
      </c>
      <c r="J75" s="3">
        <f t="shared" si="22"/>
        <v>1.5136201010311527</v>
      </c>
      <c r="K75" s="6">
        <f t="shared" si="23"/>
        <v>2.1995829264017228</v>
      </c>
      <c r="L75" s="6">
        <f t="shared" si="24"/>
        <v>0.15723196867187142</v>
      </c>
      <c r="M75" s="6">
        <f t="shared" si="25"/>
        <v>2.9053938428874736E-2</v>
      </c>
      <c r="N75" s="6">
        <f t="shared" si="26"/>
        <v>1.8546448065389996E-2</v>
      </c>
      <c r="O75" s="6">
        <f t="shared" si="27"/>
        <v>97.428650766413909</v>
      </c>
      <c r="P75" s="6">
        <f t="shared" si="28"/>
        <v>97.785299831871114</v>
      </c>
      <c r="Q75" s="6">
        <f>(I75/I78-1)*100</f>
        <v>51.419721218378896</v>
      </c>
      <c r="R75" s="6">
        <f>(J75/J78-1)*100</f>
        <v>-21.069182389937112</v>
      </c>
      <c r="S75" s="6">
        <f>(K75/K78-1)*100</f>
        <v>25.25597269624571</v>
      </c>
      <c r="T75" s="6">
        <f t="shared" si="17"/>
        <v>162.070633768747</v>
      </c>
      <c r="U75" s="6">
        <f t="shared" si="18"/>
        <v>0.29172714078374462</v>
      </c>
      <c r="V75" s="6">
        <f t="shared" si="19"/>
        <v>2.4310595065312048E-2</v>
      </c>
      <c r="W75" s="6">
        <f>I78*(100-U75)/100</f>
        <v>5.1106122634107356</v>
      </c>
      <c r="X75" s="6">
        <f>K78*(100-V75)/100</f>
        <v>1.75564338160241</v>
      </c>
      <c r="Y75" s="6">
        <f t="shared" si="20"/>
        <v>2.9109626231417112</v>
      </c>
      <c r="Z75" s="6">
        <f>Y75/AA78-1</f>
        <v>-2.6748157208029699E-3</v>
      </c>
      <c r="AA75" s="3">
        <f t="shared" si="29"/>
        <v>3.5284489758549462</v>
      </c>
      <c r="AB75" s="3">
        <f t="shared" si="30"/>
        <v>0.68813959358525745</v>
      </c>
      <c r="AC75" s="3">
        <f t="shared" si="31"/>
        <v>7.1482628267662426E-2</v>
      </c>
      <c r="AD75" s="6">
        <f>AA75/AA78-1</f>
        <v>0.2088822429696191</v>
      </c>
      <c r="AE75" s="6">
        <f>AB75/AB78-1</f>
        <v>-0.36984388120576495</v>
      </c>
      <c r="AF75" s="6">
        <f>AC75/AC78-1</f>
        <v>-0.95608991825613077</v>
      </c>
    </row>
    <row r="76" spans="1:33">
      <c r="A76" s="3">
        <v>2500</v>
      </c>
      <c r="B76" s="6">
        <v>330</v>
      </c>
      <c r="C76" s="25">
        <v>22.3</v>
      </c>
      <c r="D76" s="25">
        <v>3.63</v>
      </c>
      <c r="E76" s="25">
        <v>3.55</v>
      </c>
      <c r="F76" s="25">
        <v>2.3199999999999998</v>
      </c>
      <c r="G76" s="25">
        <v>1.27</v>
      </c>
      <c r="H76" s="25">
        <v>1.27</v>
      </c>
      <c r="I76" s="3">
        <f t="shared" si="21"/>
        <v>5.9008826990976857</v>
      </c>
      <c r="J76" s="3">
        <f t="shared" si="22"/>
        <v>2.1890203054753323</v>
      </c>
      <c r="K76" s="6">
        <f t="shared" si="23"/>
        <v>2.127661958780958</v>
      </c>
      <c r="L76" s="6">
        <f t="shared" si="24"/>
        <v>1.6580825787215527</v>
      </c>
      <c r="M76" s="6">
        <f t="shared" si="25"/>
        <v>0.52712145435244162</v>
      </c>
      <c r="N76" s="6">
        <f t="shared" si="26"/>
        <v>0.47107978086090585</v>
      </c>
      <c r="O76" s="6">
        <f t="shared" si="27"/>
        <v>68.95837179410529</v>
      </c>
      <c r="P76" s="6">
        <f t="shared" si="28"/>
        <v>73.4850509054003</v>
      </c>
      <c r="Q76" s="6">
        <f>(I76/I78-1)*100</f>
        <v>15.126484254001005</v>
      </c>
      <c r="R76" s="6">
        <f>(J76/J78-1)*100</f>
        <v>14.150943396226401</v>
      </c>
      <c r="S76" s="6">
        <f>(K76/K78-1)*100</f>
        <v>21.160409556313976</v>
      </c>
      <c r="T76" s="6">
        <f t="shared" si="17"/>
        <v>-108.85341074020307</v>
      </c>
      <c r="U76" s="6">
        <f t="shared" si="18"/>
        <v>-0.19593613933236553</v>
      </c>
      <c r="V76" s="6">
        <f t="shared" si="19"/>
        <v>-1.6328011611030459E-2</v>
      </c>
      <c r="W76" s="6">
        <f>I78*(100-U76)/100</f>
        <v>5.1356077614602853</v>
      </c>
      <c r="X76" s="6">
        <f>K78*(100-V76)/100</f>
        <v>1.7563570241016366</v>
      </c>
      <c r="Y76" s="6">
        <f t="shared" si="20"/>
        <v>2.9240112864223091</v>
      </c>
      <c r="Z76" s="6">
        <f>Y76/AA78-1</f>
        <v>1.7957880607304411E-3</v>
      </c>
      <c r="AA76" s="3">
        <f t="shared" si="29"/>
        <v>2.7734117606156716</v>
      </c>
      <c r="AB76" s="3">
        <f t="shared" si="30"/>
        <v>1.0288383906292753</v>
      </c>
      <c r="AC76" s="3">
        <f t="shared" si="31"/>
        <v>0.77929793869677944</v>
      </c>
      <c r="AD76" s="6">
        <f>AA76/AA78-1</f>
        <v>-4.9801129959935242E-2</v>
      </c>
      <c r="AE76" s="6">
        <f>AB76/AB78-1</f>
        <v>-5.7852777039596126E-2</v>
      </c>
      <c r="AF76" s="6">
        <f>AC76/AC78-1</f>
        <v>-0.52129577464788734</v>
      </c>
    </row>
    <row r="77" spans="1:33">
      <c r="A77" s="3">
        <v>2500</v>
      </c>
      <c r="B77" s="6">
        <v>450</v>
      </c>
      <c r="C77" s="25">
        <v>22.8</v>
      </c>
      <c r="D77" s="25">
        <v>3.31</v>
      </c>
      <c r="E77" s="25">
        <v>3.08</v>
      </c>
      <c r="F77" s="25">
        <v>2.1800000000000002</v>
      </c>
      <c r="G77" s="25">
        <v>1.64</v>
      </c>
      <c r="H77" s="25">
        <v>1.89</v>
      </c>
      <c r="I77" s="3">
        <f t="shared" si="21"/>
        <v>6.0331894860729705</v>
      </c>
      <c r="J77" s="3">
        <f t="shared" si="22"/>
        <v>1.9960488184912812</v>
      </c>
      <c r="K77" s="6">
        <f t="shared" si="23"/>
        <v>1.8459715022662961</v>
      </c>
      <c r="L77" s="6">
        <f t="shared" si="24"/>
        <v>1.5580258713849078</v>
      </c>
      <c r="M77" s="6">
        <f t="shared" si="25"/>
        <v>0.68069227176220803</v>
      </c>
      <c r="N77" s="6">
        <f t="shared" si="26"/>
        <v>0.70105573687174172</v>
      </c>
      <c r="O77" s="6">
        <f t="shared" si="27"/>
        <v>67.237424693741104</v>
      </c>
      <c r="P77" s="6">
        <f t="shared" si="28"/>
        <v>72.756780590525509</v>
      </c>
      <c r="Q77" s="6">
        <f>(I77/I78-1)*100</f>
        <v>17.707795560144547</v>
      </c>
      <c r="R77" s="6">
        <f>(J77/J78-1)*100</f>
        <v>4.0880503144653968</v>
      </c>
      <c r="S77" s="6">
        <f>(K77/K78-1)*100</f>
        <v>5.1194539249146631</v>
      </c>
      <c r="T77" s="6">
        <f t="shared" si="17"/>
        <v>-31.446540880503051</v>
      </c>
      <c r="U77" s="6">
        <f t="shared" si="18"/>
        <v>-5.6603773584905488E-2</v>
      </c>
      <c r="V77" s="6">
        <f t="shared" si="19"/>
        <v>-4.7169811320754568E-3</v>
      </c>
      <c r="W77" s="6">
        <f>I78*(100-U77)/100</f>
        <v>5.1284661905889859</v>
      </c>
      <c r="X77" s="6">
        <f>K78*(100-V77)/100</f>
        <v>1.7561531262447148</v>
      </c>
      <c r="Y77" s="6">
        <f t="shared" si="20"/>
        <v>2.9202841790655727</v>
      </c>
      <c r="Z77" s="6">
        <f>Y77/AA78-1</f>
        <v>5.1884345078079264E-4</v>
      </c>
      <c r="AA77" s="3">
        <f t="shared" si="29"/>
        <v>3.2683004470361725</v>
      </c>
      <c r="AB77" s="3">
        <f t="shared" si="30"/>
        <v>1.0812999095818843</v>
      </c>
      <c r="AC77" s="3">
        <f t="shared" si="31"/>
        <v>0.84401404326779805</v>
      </c>
      <c r="AD77" s="6">
        <f>AA77/AA78-1</f>
        <v>0.11975273049098556</v>
      </c>
      <c r="AE77" s="6">
        <f>AB77/AB78-1</f>
        <v>-9.8117291513518667E-3</v>
      </c>
      <c r="AF77" s="6">
        <f>AC77/AC78-1</f>
        <v>-0.48154220779220769</v>
      </c>
    </row>
    <row r="78" spans="1:33" s="2" customFormat="1">
      <c r="A78" s="2">
        <v>2500</v>
      </c>
      <c r="B78" s="2">
        <v>470</v>
      </c>
      <c r="C78" s="29">
        <v>19.37</v>
      </c>
      <c r="D78" s="29">
        <v>3.18</v>
      </c>
      <c r="E78" s="29">
        <v>2.93</v>
      </c>
      <c r="F78" s="29">
        <v>4</v>
      </c>
      <c r="G78" s="29">
        <v>1.93</v>
      </c>
      <c r="H78" s="29">
        <v>3.21</v>
      </c>
      <c r="I78" s="2">
        <f t="shared" si="21"/>
        <v>5.1255649274225199</v>
      </c>
      <c r="J78" s="2">
        <f t="shared" si="22"/>
        <v>1.9176541519040105</v>
      </c>
      <c r="K78" s="2">
        <f t="shared" si="23"/>
        <v>1.7560702927403402</v>
      </c>
      <c r="L78" s="2">
        <f t="shared" si="24"/>
        <v>2.858763066761298</v>
      </c>
      <c r="M78" s="2">
        <f t="shared" si="25"/>
        <v>0.80105858811040342</v>
      </c>
      <c r="N78" s="2">
        <f t="shared" si="26"/>
        <v>1.1906819657980376</v>
      </c>
      <c r="AA78" s="2">
        <f t="shared" si="29"/>
        <v>2.9187697944733735</v>
      </c>
      <c r="AB78" s="2">
        <f t="shared" si="30"/>
        <v>1.0920144596897197</v>
      </c>
      <c r="AC78" s="2">
        <f t="shared" si="31"/>
        <v>1.6279320244636737</v>
      </c>
    </row>
  </sheetData>
  <mergeCells count="1">
    <mergeCell ref="A1:P1"/>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7"/>
  <sheetViews>
    <sheetView zoomScale="80" zoomScaleNormal="80" workbookViewId="0">
      <selection activeCell="G16" sqref="G16"/>
    </sheetView>
  </sheetViews>
  <sheetFormatPr defaultRowHeight="14.5"/>
  <cols>
    <col min="1" max="1" width="19.1796875" style="6" customWidth="1"/>
    <col min="2" max="2" width="11.1796875" style="6" customWidth="1"/>
    <col min="3" max="3" width="7.26953125" style="6" customWidth="1"/>
    <col min="4" max="16" width="8.7265625" style="6"/>
    <col min="17" max="17" width="13.26953125" style="6" customWidth="1"/>
    <col min="18" max="19" width="12.54296875" style="6" customWidth="1"/>
    <col min="20" max="20" width="17.90625" style="6" customWidth="1"/>
    <col min="21" max="22" width="20" style="6" customWidth="1"/>
    <col min="23" max="24" width="11.90625" style="6" customWidth="1"/>
    <col min="25" max="25" width="13.81640625" style="6" customWidth="1"/>
    <col min="26" max="26" width="18.36328125" style="6" customWidth="1"/>
    <col min="27" max="30" width="8.7265625" style="6"/>
    <col min="31" max="31" width="11" style="6" customWidth="1"/>
    <col min="32" max="32" width="12" style="6" customWidth="1"/>
    <col min="33" max="33" width="27.08984375" style="6" customWidth="1"/>
    <col min="34" max="16384" width="8.7265625" style="6"/>
  </cols>
  <sheetData>
    <row r="1" spans="1:33">
      <c r="A1" s="107" t="s">
        <v>195</v>
      </c>
      <c r="B1" s="107"/>
      <c r="C1" s="107"/>
      <c r="D1" s="107"/>
      <c r="E1" s="107"/>
      <c r="F1" s="107"/>
      <c r="G1" s="107"/>
      <c r="H1" s="107"/>
      <c r="I1" s="107"/>
      <c r="J1" s="107"/>
      <c r="K1" s="107"/>
      <c r="L1" s="107"/>
      <c r="M1" s="107"/>
      <c r="N1" s="107"/>
      <c r="O1" s="107"/>
      <c r="P1" s="107"/>
    </row>
    <row r="2" spans="1:33">
      <c r="A2" s="1" t="s">
        <v>58</v>
      </c>
      <c r="B2" s="1" t="s">
        <v>18</v>
      </c>
      <c r="C2" s="1" t="s">
        <v>1</v>
      </c>
      <c r="D2" s="1" t="s">
        <v>2</v>
      </c>
      <c r="E2" s="1" t="s">
        <v>3</v>
      </c>
      <c r="F2" s="1" t="s">
        <v>48</v>
      </c>
      <c r="G2" s="1" t="s">
        <v>49</v>
      </c>
      <c r="H2" s="1" t="s">
        <v>50</v>
      </c>
      <c r="I2" s="1" t="s">
        <v>4</v>
      </c>
      <c r="J2" s="1" t="s">
        <v>5</v>
      </c>
      <c r="K2" s="1" t="s">
        <v>6</v>
      </c>
      <c r="L2" s="1" t="s">
        <v>45</v>
      </c>
      <c r="M2" s="1" t="s">
        <v>46</v>
      </c>
      <c r="N2" s="1" t="s">
        <v>47</v>
      </c>
      <c r="O2" s="1" t="s">
        <v>51</v>
      </c>
      <c r="P2" s="1" t="s">
        <v>52</v>
      </c>
      <c r="Q2" s="1" t="s">
        <v>7</v>
      </c>
      <c r="R2" s="1" t="s">
        <v>8</v>
      </c>
      <c r="S2" s="1" t="s">
        <v>9</v>
      </c>
      <c r="T2" s="1" t="s">
        <v>10</v>
      </c>
      <c r="U2" s="1" t="s">
        <v>11</v>
      </c>
      <c r="V2" s="1" t="s">
        <v>12</v>
      </c>
      <c r="W2" s="1" t="s">
        <v>13</v>
      </c>
      <c r="X2" s="1" t="s">
        <v>14</v>
      </c>
      <c r="Y2" s="1" t="s">
        <v>15</v>
      </c>
      <c r="Z2" s="1" t="s">
        <v>460</v>
      </c>
      <c r="AA2" s="1" t="s">
        <v>16</v>
      </c>
      <c r="AB2" s="1" t="s">
        <v>17</v>
      </c>
      <c r="AC2" s="1" t="s">
        <v>107</v>
      </c>
      <c r="AD2" s="1" t="s">
        <v>459</v>
      </c>
      <c r="AE2" s="1" t="s">
        <v>461</v>
      </c>
      <c r="AF2" s="1" t="s">
        <v>462</v>
      </c>
      <c r="AG2" s="1"/>
    </row>
    <row r="3" spans="1:33">
      <c r="A3" s="6">
        <v>750</v>
      </c>
      <c r="B3" s="6">
        <v>0</v>
      </c>
      <c r="C3" s="33">
        <v>13.53</v>
      </c>
      <c r="D3" s="33">
        <v>1.1000000000000001</v>
      </c>
      <c r="E3" s="33">
        <v>2.17</v>
      </c>
      <c r="F3" s="33">
        <v>1.82</v>
      </c>
      <c r="G3" s="33">
        <v>0.52</v>
      </c>
      <c r="H3" s="33">
        <v>0.3</v>
      </c>
      <c r="I3" s="3">
        <f t="shared" ref="I3:I8" si="0">C3*26.98/101.96</f>
        <v>3.5802216555511968</v>
      </c>
      <c r="J3" s="3">
        <f t="shared" ref="J3:J8" si="1">D3*24.305/40.3044</f>
        <v>0.6633394865076766</v>
      </c>
      <c r="K3" s="6">
        <f t="shared" ref="K3:K8" si="2">E3*47.867/79.866</f>
        <v>1.3005708311421631</v>
      </c>
      <c r="L3" s="6">
        <f t="shared" ref="L3:L8" si="3">F3*40.078/56.0774</f>
        <v>1.3007371953763907</v>
      </c>
      <c r="M3" s="6">
        <f t="shared" ref="M3:M8" si="4">G3*39.0983/94.2</f>
        <v>0.21582925690021232</v>
      </c>
      <c r="N3" s="6">
        <f t="shared" ref="N3:N8" si="5">H3*22.989769/61.9789</f>
        <v>0.11127868839233997</v>
      </c>
      <c r="O3" s="6">
        <f>100*(I3/(I3+L3+M3+N3))</f>
        <v>68.743773757848402</v>
      </c>
      <c r="P3" s="6">
        <f>100*(I3/(I3+L3+N3))</f>
        <v>71.715771281967406</v>
      </c>
      <c r="Q3" s="6">
        <f>(I3/I8-1)*100</f>
        <v>-13.269230769230777</v>
      </c>
      <c r="R3" s="6">
        <f>(J3/J8-1)*100</f>
        <v>-82.758620689655174</v>
      </c>
      <c r="S3" s="6">
        <f>(K3/K8-1)*100</f>
        <v>-21.090909090909083</v>
      </c>
      <c r="T3" s="6">
        <f>R3/-0.13</f>
        <v>636.60477453580904</v>
      </c>
      <c r="U3" s="6">
        <f>T3*0.0018</f>
        <v>1.1458885941644563</v>
      </c>
      <c r="V3" s="6">
        <f>T3*0.00015</f>
        <v>9.5490716180371346E-2</v>
      </c>
      <c r="W3" s="6">
        <f>I8*(100-U3)/100</f>
        <v>4.0806697961337104</v>
      </c>
      <c r="X3" s="6">
        <f>K8*(100-V3)/100</f>
        <v>1.6466149739806217</v>
      </c>
      <c r="Y3" s="6">
        <f>W3/X3</f>
        <v>2.4782173492986428</v>
      </c>
      <c r="Z3" s="6">
        <f>Y3/AA8-1</f>
        <v>-1.0514018691588967E-2</v>
      </c>
      <c r="AA3" s="3">
        <f t="shared" ref="AA3:AA8" si="6">I3/K3</f>
        <v>2.7528078977498218</v>
      </c>
      <c r="AB3" s="3">
        <f t="shared" ref="AB3:AB8" si="7">J3/K3</f>
        <v>0.51003718569109457</v>
      </c>
      <c r="AC3" s="3">
        <f>L3/K3</f>
        <v>1.000127916319699</v>
      </c>
      <c r="AD3" s="6">
        <f>AA3/AA8-1</f>
        <v>9.9122651542006279E-2</v>
      </c>
      <c r="AE3" s="6">
        <f>AB3/AB8-1</f>
        <v>-0.78150325758779593</v>
      </c>
      <c r="AF3" s="6">
        <f>AC3/AC8-1</f>
        <v>-0.7454247667877234</v>
      </c>
    </row>
    <row r="4" spans="1:33">
      <c r="A4" s="6">
        <v>750</v>
      </c>
      <c r="B4" s="6">
        <v>11</v>
      </c>
      <c r="C4" s="33">
        <v>20.25</v>
      </c>
      <c r="D4" s="33">
        <v>1.44</v>
      </c>
      <c r="E4" s="33">
        <v>3.24</v>
      </c>
      <c r="F4" s="33">
        <v>2.25</v>
      </c>
      <c r="G4" s="33">
        <v>0.61</v>
      </c>
      <c r="H4" s="33">
        <v>0.38</v>
      </c>
      <c r="I4" s="3">
        <f t="shared" si="0"/>
        <v>5.35842487249902</v>
      </c>
      <c r="J4" s="3">
        <f t="shared" si="1"/>
        <v>0.86837169142823101</v>
      </c>
      <c r="K4" s="6">
        <f t="shared" si="2"/>
        <v>1.9418661257606491</v>
      </c>
      <c r="L4" s="6">
        <f t="shared" si="3"/>
        <v>1.6080542250532301</v>
      </c>
      <c r="M4" s="6">
        <f t="shared" si="4"/>
        <v>0.25318432059447982</v>
      </c>
      <c r="N4" s="6">
        <f t="shared" si="5"/>
        <v>0.14095300529696395</v>
      </c>
      <c r="O4" s="6">
        <f>100*(I4/(I4+L4+M4+N4))</f>
        <v>72.798588653965737</v>
      </c>
      <c r="P4" s="6">
        <f>100*(I4/(I4+L4+N4))</f>
        <v>75.391854539854748</v>
      </c>
      <c r="Q4" s="6">
        <f>(I4/I8-1)*100</f>
        <v>29.807692307692314</v>
      </c>
      <c r="R4" s="6">
        <f>(J4/J8-1)*100</f>
        <v>-77.429467084639498</v>
      </c>
      <c r="S4" s="6">
        <f>(K4/K8-1)*100</f>
        <v>17.81818181818182</v>
      </c>
      <c r="T4" s="6">
        <f>R4/-0.13</f>
        <v>595.61128526645768</v>
      </c>
      <c r="U4" s="6">
        <f>T4*0.0018</f>
        <v>1.0721003134796239</v>
      </c>
      <c r="V4" s="6">
        <f>T4*0.00015</f>
        <v>8.9341692789968646E-2</v>
      </c>
      <c r="W4" s="6">
        <f>I8*(100-U4)/100</f>
        <v>4.0837157555178694</v>
      </c>
      <c r="X4" s="6">
        <f>K8*(100-V4)/100</f>
        <v>1.6467163214979916</v>
      </c>
      <c r="Y4" s="6">
        <f>W4/X4</f>
        <v>2.47991454399564</v>
      </c>
      <c r="Z4" s="6">
        <f>Y4/AA8-1</f>
        <v>-9.8363741901068558E-3</v>
      </c>
      <c r="AA4" s="3">
        <f t="shared" si="6"/>
        <v>2.7594203335722072</v>
      </c>
      <c r="AB4" s="3">
        <f t="shared" si="7"/>
        <v>0.44718411836350502</v>
      </c>
      <c r="AC4" s="3">
        <f t="shared" ref="AC4:AC67" si="8">L4/K4</f>
        <v>0.82809736661086186</v>
      </c>
      <c r="AD4" s="6">
        <f>AA4/AA8-1</f>
        <v>0.10176282051282048</v>
      </c>
      <c r="AE4" s="6">
        <f>AB4/AB8-1</f>
        <v>-0.80842911877394641</v>
      </c>
      <c r="AF4" s="6">
        <f>AC4/AC8-1</f>
        <v>-0.78921388275692916</v>
      </c>
    </row>
    <row r="5" spans="1:33">
      <c r="A5" s="6">
        <v>750</v>
      </c>
      <c r="B5" s="6">
        <v>22</v>
      </c>
      <c r="C5" s="33">
        <v>21.29</v>
      </c>
      <c r="D5" s="33">
        <v>1.24</v>
      </c>
      <c r="E5" s="33">
        <v>3.49</v>
      </c>
      <c r="F5" s="33">
        <v>1.91</v>
      </c>
      <c r="G5" s="33">
        <v>0.5</v>
      </c>
      <c r="H5" s="33">
        <v>0.24</v>
      </c>
      <c r="I5" s="3">
        <f t="shared" si="0"/>
        <v>5.6336229894076109</v>
      </c>
      <c r="J5" s="3">
        <f t="shared" si="1"/>
        <v>0.74776451206319894</v>
      </c>
      <c r="K5" s="6">
        <f t="shared" si="2"/>
        <v>2.0917014749705758</v>
      </c>
      <c r="L5" s="6">
        <f t="shared" si="3"/>
        <v>1.3650593643785198</v>
      </c>
      <c r="M5" s="6">
        <f t="shared" si="4"/>
        <v>0.20752813163481953</v>
      </c>
      <c r="N5" s="6">
        <f t="shared" si="5"/>
        <v>8.9022950713871965E-2</v>
      </c>
      <c r="O5" s="6">
        <f>100*(I5/(I5+L5+M5+N5))</f>
        <v>77.223340948941996</v>
      </c>
      <c r="P5" s="6">
        <f>100*(I5/(I5+L5+N5))</f>
        <v>79.484441682850573</v>
      </c>
      <c r="Q5" s="6">
        <f>(I5/I8-1)*100</f>
        <v>36.474358974358957</v>
      </c>
      <c r="R5" s="6">
        <f>(J5/J8-1)*100</f>
        <v>-80.564263322884017</v>
      </c>
      <c r="S5" s="6">
        <f>(K5/K8-1)*100</f>
        <v>26.909090909090928</v>
      </c>
      <c r="T5" s="6">
        <f>R5/-0.13</f>
        <v>619.72510248372316</v>
      </c>
      <c r="U5" s="6">
        <f>T5*0.0018</f>
        <v>1.1155051844707016</v>
      </c>
      <c r="V5" s="6">
        <f>T5*0.00015</f>
        <v>9.2958765372558469E-2</v>
      </c>
      <c r="W5" s="6">
        <f>I8*(100-U5)/100</f>
        <v>4.0819240147036577</v>
      </c>
      <c r="X5" s="6">
        <f>K8*(100-V5)/100</f>
        <v>1.6466567053113033</v>
      </c>
      <c r="Y5" s="6">
        <f>W5/X5</f>
        <v>2.4789162194751233</v>
      </c>
      <c r="Z5" s="6">
        <f>Y5/AA8-1</f>
        <v>-1.0234978500631708E-2</v>
      </c>
      <c r="AA5" s="3">
        <f t="shared" si="6"/>
        <v>2.6933207519427982</v>
      </c>
      <c r="AB5" s="3">
        <f t="shared" si="7"/>
        <v>0.35749102872039512</v>
      </c>
      <c r="AC5" s="3">
        <f t="shared" si="8"/>
        <v>0.65260716250043393</v>
      </c>
      <c r="AD5" s="6">
        <f>AA5/AA8-1</f>
        <v>7.537102343692581E-2</v>
      </c>
      <c r="AE5" s="6">
        <f>AB5/AB8-1</f>
        <v>-0.84685307775911478</v>
      </c>
      <c r="AF5" s="6">
        <f>AC5/AC8-1</f>
        <v>-0.83388362840534613</v>
      </c>
    </row>
    <row r="6" spans="1:33">
      <c r="A6" s="6">
        <v>750</v>
      </c>
      <c r="B6" s="6">
        <v>38</v>
      </c>
      <c r="C6" s="33">
        <v>22.1</v>
      </c>
      <c r="D6" s="33">
        <v>1.1000000000000001</v>
      </c>
      <c r="E6" s="33">
        <v>4.1399999999999997</v>
      </c>
      <c r="F6" s="33">
        <v>1.71</v>
      </c>
      <c r="G6" s="33">
        <v>0.21</v>
      </c>
      <c r="H6" s="33">
        <v>0.15</v>
      </c>
      <c r="I6" s="3">
        <f t="shared" si="0"/>
        <v>5.8479599843075727</v>
      </c>
      <c r="J6" s="3">
        <f t="shared" si="1"/>
        <v>0.6633394865076766</v>
      </c>
      <c r="K6" s="6">
        <f t="shared" si="2"/>
        <v>2.4812733829163847</v>
      </c>
      <c r="L6" s="6">
        <f t="shared" si="3"/>
        <v>1.2221212110404549</v>
      </c>
      <c r="M6" s="6">
        <f t="shared" si="4"/>
        <v>8.7161815286624186E-2</v>
      </c>
      <c r="N6" s="6">
        <f t="shared" si="5"/>
        <v>5.5639344196169983E-2</v>
      </c>
      <c r="O6" s="6">
        <f>100*(I6/(I6+L6+M6+N6))</f>
        <v>81.076602897743186</v>
      </c>
      <c r="P6" s="6">
        <f>100*(I6/(I6+L6+N6))</f>
        <v>82.068331923127076</v>
      </c>
      <c r="Q6" s="6">
        <f>(I6/I8-1)*100</f>
        <v>41.666666666666671</v>
      </c>
      <c r="R6" s="6">
        <f>(J6/J8-1)*100</f>
        <v>-82.758620689655174</v>
      </c>
      <c r="S6" s="6">
        <f>(K6/K8-1)*100</f>
        <v>50.54545454545454</v>
      </c>
      <c r="T6" s="6">
        <f>R6/-0.13</f>
        <v>636.60477453580904</v>
      </c>
      <c r="U6" s="6">
        <f>T6*0.0018</f>
        <v>1.1458885941644563</v>
      </c>
      <c r="V6" s="6">
        <f>T6*0.00015</f>
        <v>9.5490716180371346E-2</v>
      </c>
      <c r="W6" s="6">
        <f>I8*(100-U6)/100</f>
        <v>4.0806697961337104</v>
      </c>
      <c r="X6" s="6">
        <f>K8*(100-V6)/100</f>
        <v>1.6466149739806217</v>
      </c>
      <c r="Y6" s="6">
        <f>W6/X6</f>
        <v>2.4782173492986428</v>
      </c>
      <c r="Z6" s="6">
        <f>Y6/AA8-1</f>
        <v>-1.0514018691588967E-2</v>
      </c>
      <c r="AA6" s="3">
        <f t="shared" si="6"/>
        <v>2.3568382365969387</v>
      </c>
      <c r="AB6" s="3">
        <f t="shared" si="7"/>
        <v>0.26733833163035636</v>
      </c>
      <c r="AC6" s="3">
        <f t="shared" si="8"/>
        <v>0.4925379119668083</v>
      </c>
      <c r="AD6" s="6">
        <f>AA6/AA8-1</f>
        <v>-5.8977455716585969E-2</v>
      </c>
      <c r="AE6" s="6">
        <f>AB6/AB8-1</f>
        <v>-0.88547392970181571</v>
      </c>
      <c r="AF6" s="6">
        <f>AC6/AC8-1</f>
        <v>-0.87462808330933872</v>
      </c>
    </row>
    <row r="7" spans="1:33">
      <c r="A7" s="6">
        <v>750</v>
      </c>
      <c r="B7" s="6">
        <v>64</v>
      </c>
      <c r="C7" s="33">
        <v>21.48</v>
      </c>
      <c r="D7" s="33">
        <v>2.82</v>
      </c>
      <c r="E7" s="33">
        <v>4.13</v>
      </c>
      <c r="F7" s="33">
        <v>2.16</v>
      </c>
      <c r="G7" s="33">
        <v>0.19</v>
      </c>
      <c r="H7" s="33">
        <v>0.3</v>
      </c>
      <c r="I7" s="3">
        <f t="shared" si="0"/>
        <v>5.6838995684582194</v>
      </c>
      <c r="J7" s="3">
        <f t="shared" si="1"/>
        <v>1.7005612290469525</v>
      </c>
      <c r="K7" s="6">
        <f t="shared" si="2"/>
        <v>2.4752799689479876</v>
      </c>
      <c r="L7" s="6">
        <f t="shared" si="3"/>
        <v>1.543732056051101</v>
      </c>
      <c r="M7" s="6">
        <f t="shared" si="4"/>
        <v>7.886069002123143E-2</v>
      </c>
      <c r="N7" s="6">
        <f t="shared" si="5"/>
        <v>0.11127868839233997</v>
      </c>
      <c r="O7" s="6">
        <f>100*(I7/(I7+L7+M7+N7))</f>
        <v>76.625438642127676</v>
      </c>
      <c r="P7" s="6">
        <f>100*(I7/(I7+L7+N7))</f>
        <v>77.448821774889865</v>
      </c>
      <c r="Q7" s="6">
        <f>(I7/I8-1)*100</f>
        <v>37.692307692307693</v>
      </c>
      <c r="R7" s="6">
        <f>(J7/J8-1)*100</f>
        <v>-55.799373040752357</v>
      </c>
      <c r="S7" s="6">
        <f>(K7/K8-1)*100</f>
        <v>50.181818181818173</v>
      </c>
      <c r="T7" s="6">
        <f>R7/-0.13</f>
        <v>429.2259464673258</v>
      </c>
      <c r="U7" s="6">
        <f>T7*0.0018</f>
        <v>0.77260670364118644</v>
      </c>
      <c r="V7" s="6">
        <f>T7*0.00015</f>
        <v>6.4383891970098861E-2</v>
      </c>
      <c r="W7" s="6">
        <f>I8*(100-U7)/100</f>
        <v>4.0960787671359231</v>
      </c>
      <c r="X7" s="6">
        <f>K8*(100-V7)/100</f>
        <v>1.6471276731861411</v>
      </c>
      <c r="Y7" s="6">
        <f>W7/X7</f>
        <v>2.4868010135562986</v>
      </c>
      <c r="Z7" s="6">
        <f>Y7/AA8-1</f>
        <v>-7.0867908684877357E-3</v>
      </c>
      <c r="AA7" s="3">
        <f t="shared" si="6"/>
        <v>2.2962653274627027</v>
      </c>
      <c r="AB7" s="3">
        <f t="shared" si="7"/>
        <v>0.68701773148097811</v>
      </c>
      <c r="AC7" s="3">
        <f t="shared" si="8"/>
        <v>0.62365957605482447</v>
      </c>
      <c r="AD7" s="6">
        <f>AA7/AA8-1</f>
        <v>-8.3162600111752583E-2</v>
      </c>
      <c r="AE7" s="6">
        <f>AB7/AB8-1</f>
        <v>-0.70568589797111136</v>
      </c>
      <c r="AF7" s="6">
        <f>AC7/AC8-1</f>
        <v>-0.84125202443756719</v>
      </c>
    </row>
    <row r="8" spans="1:33" s="2" customFormat="1">
      <c r="A8" s="2">
        <v>750</v>
      </c>
      <c r="B8" s="2">
        <v>130</v>
      </c>
      <c r="C8" s="31">
        <v>15.6</v>
      </c>
      <c r="D8" s="31">
        <v>6.38</v>
      </c>
      <c r="E8" s="31">
        <v>2.75</v>
      </c>
      <c r="F8" s="31">
        <v>9.06</v>
      </c>
      <c r="G8" s="31">
        <v>1.1399999999999999</v>
      </c>
      <c r="H8" s="31">
        <v>3.1</v>
      </c>
      <c r="I8" s="2">
        <f t="shared" si="0"/>
        <v>4.1279717536288745</v>
      </c>
      <c r="J8" s="2">
        <f t="shared" si="1"/>
        <v>3.847369021744524</v>
      </c>
      <c r="K8" s="2">
        <f t="shared" si="2"/>
        <v>1.6481888413091927</v>
      </c>
      <c r="L8" s="2">
        <f t="shared" si="3"/>
        <v>6.4750983462143408</v>
      </c>
      <c r="M8" s="2">
        <f t="shared" si="4"/>
        <v>0.4731641401273885</v>
      </c>
      <c r="N8" s="2">
        <f t="shared" si="5"/>
        <v>1.1498797800541796</v>
      </c>
      <c r="AA8" s="2">
        <f t="shared" si="6"/>
        <v>2.5045502373077198</v>
      </c>
      <c r="AB8" s="2">
        <f t="shared" si="7"/>
        <v>2.3343010978574967</v>
      </c>
      <c r="AC8" s="2">
        <f t="shared" si="8"/>
        <v>3.928614357727982</v>
      </c>
    </row>
    <row r="9" spans="1:33">
      <c r="A9" s="6">
        <v>900</v>
      </c>
      <c r="B9" s="6">
        <v>0</v>
      </c>
      <c r="C9" s="33">
        <v>17.5</v>
      </c>
      <c r="D9" s="33">
        <v>1.1499999999999999</v>
      </c>
      <c r="E9" s="33">
        <v>2.65</v>
      </c>
      <c r="F9" s="33">
        <v>1.57</v>
      </c>
      <c r="G9" s="33">
        <v>0.76</v>
      </c>
      <c r="H9" s="33">
        <v>0.34</v>
      </c>
      <c r="I9" s="3">
        <f t="shared" ref="I9:I47" si="9">C9*26.98/101.96</f>
        <v>4.6307375441349556</v>
      </c>
      <c r="J9" s="3">
        <f t="shared" ref="J9:J47" si="10">D9*24.305/40.3044</f>
        <v>0.69349128134893445</v>
      </c>
      <c r="K9" s="6">
        <f t="shared" ref="K9:K47" si="11">E9*47.867/79.866</f>
        <v>1.588254701625222</v>
      </c>
      <c r="L9" s="6">
        <f t="shared" ref="L9:L47" si="12">F9*40.078/56.0774</f>
        <v>1.1220645037038095</v>
      </c>
      <c r="M9" s="6">
        <f t="shared" ref="M9:M47" si="13">G9*39.0983/94.2</f>
        <v>0.31544276008492572</v>
      </c>
      <c r="N9" s="6">
        <f t="shared" ref="N9:N47" si="14">H9*22.989769/61.9789</f>
        <v>0.12611584684465196</v>
      </c>
      <c r="O9" s="6">
        <f t="shared" ref="O9:O47" si="15">100*(I9/(I9+L9+M9+N9))</f>
        <v>74.757312372024558</v>
      </c>
      <c r="P9" s="6">
        <f t="shared" ref="P9:P47" si="16">100*(I9/(I9+L9+N9))</f>
        <v>78.768535759323171</v>
      </c>
      <c r="Q9" s="6">
        <f>(I9/I15-1)*100</f>
        <v>27.087872185911422</v>
      </c>
      <c r="R9" s="6">
        <f>(J9/J15-1)*100</f>
        <v>-84.888304862023659</v>
      </c>
      <c r="S9" s="6">
        <f>(K9/K15-1)*100</f>
        <v>-16.666666666666686</v>
      </c>
      <c r="T9" s="6">
        <f t="shared" ref="T9:T14" si="17">R9/-0.13</f>
        <v>652.98696047710507</v>
      </c>
      <c r="U9" s="6">
        <f t="shared" ref="U9:U14" si="18">T9*0.0018</f>
        <v>1.1753765288587892</v>
      </c>
      <c r="V9" s="6">
        <f t="shared" ref="V9:V14" si="19">T9*0.00015</f>
        <v>9.7948044071565751E-2</v>
      </c>
      <c r="W9" s="6">
        <f>I15*(100-U9)/100</f>
        <v>3.6009013788771709</v>
      </c>
      <c r="X9" s="6">
        <f>K15*(100-V9)/100</f>
        <v>1.9040388446521266</v>
      </c>
      <c r="Y9" s="6">
        <f t="shared" ref="Y9:Y14" si="20">W9/X9</f>
        <v>1.8911911324661372</v>
      </c>
      <c r="Z9" s="6">
        <f>Y9/AA15-1</f>
        <v>-1.0784848395932189E-2</v>
      </c>
      <c r="AA9" s="3">
        <f t="shared" ref="AA9:AA47" si="21">I9/K9</f>
        <v>2.9156139373593137</v>
      </c>
      <c r="AB9" s="3">
        <f t="shared" ref="AB9:AB47" si="22">J9/K9</f>
        <v>0.43663732311908277</v>
      </c>
      <c r="AC9" s="3">
        <f t="shared" si="8"/>
        <v>0.70647642506937236</v>
      </c>
      <c r="AD9" s="6">
        <f>AA9/AA15-1</f>
        <v>0.52505446623093732</v>
      </c>
      <c r="AE9" s="6">
        <f>AB9/AB15-1</f>
        <v>-0.81865965834428378</v>
      </c>
      <c r="AF9" s="6">
        <f>AC9/AC15-1</f>
        <v>-0.81690962099125364</v>
      </c>
      <c r="AG9" s="3"/>
    </row>
    <row r="10" spans="1:33">
      <c r="A10" s="6">
        <v>900</v>
      </c>
      <c r="B10" s="6">
        <v>12</v>
      </c>
      <c r="C10" s="33">
        <v>20.28</v>
      </c>
      <c r="D10" s="33">
        <v>1</v>
      </c>
      <c r="E10" s="33">
        <v>3.09</v>
      </c>
      <c r="F10" s="33">
        <v>1.5</v>
      </c>
      <c r="G10" s="33">
        <v>0.62</v>
      </c>
      <c r="H10" s="33">
        <v>0.34</v>
      </c>
      <c r="I10" s="3">
        <f t="shared" si="9"/>
        <v>5.3663632797175369</v>
      </c>
      <c r="J10" s="3">
        <f t="shared" si="10"/>
        <v>0.60303589682516046</v>
      </c>
      <c r="K10" s="6">
        <f t="shared" si="11"/>
        <v>1.8519649162346927</v>
      </c>
      <c r="L10" s="6">
        <f t="shared" si="12"/>
        <v>1.0720361500354867</v>
      </c>
      <c r="M10" s="6">
        <f t="shared" si="13"/>
        <v>0.25733488322717624</v>
      </c>
      <c r="N10" s="6">
        <f t="shared" si="14"/>
        <v>0.12611584684465196</v>
      </c>
      <c r="O10" s="6">
        <f t="shared" si="15"/>
        <v>78.664338177948437</v>
      </c>
      <c r="P10" s="6">
        <f t="shared" si="16"/>
        <v>81.748050748674189</v>
      </c>
      <c r="Q10" s="6">
        <f>(I10/I15-1)*100</f>
        <v>47.276688453159068</v>
      </c>
      <c r="R10" s="6">
        <f>(J10/J15-1)*100</f>
        <v>-86.859395532194483</v>
      </c>
      <c r="S10" s="6">
        <f>(K10/K15-1)*100</f>
        <v>-2.8301886792453046</v>
      </c>
      <c r="T10" s="6">
        <f t="shared" si="17"/>
        <v>668.14919640149606</v>
      </c>
      <c r="U10" s="6">
        <f t="shared" si="18"/>
        <v>1.2026685535226929</v>
      </c>
      <c r="V10" s="6">
        <f t="shared" si="19"/>
        <v>0.1002223794602244</v>
      </c>
      <c r="W10" s="6">
        <f>I15*(100-U10)/100</f>
        <v>3.5999069314834675</v>
      </c>
      <c r="X10" s="6">
        <f>K15*(100-V10)/100</f>
        <v>1.9039954979656375</v>
      </c>
      <c r="Y10" s="6">
        <f t="shared" si="20"/>
        <v>1.8907118926120681</v>
      </c>
      <c r="Z10" s="6">
        <f>Y10/AA15-1</f>
        <v>-1.1035521803161807E-2</v>
      </c>
      <c r="AA10" s="3">
        <f t="shared" si="21"/>
        <v>2.8976592551375728</v>
      </c>
      <c r="AB10" s="3">
        <f t="shared" si="22"/>
        <v>0.32561950366274645</v>
      </c>
      <c r="AC10" s="3">
        <f t="shared" si="8"/>
        <v>0.57886417860176753</v>
      </c>
      <c r="AD10" s="6">
        <f>AA10/AA15-1</f>
        <v>0.51566300738202564</v>
      </c>
      <c r="AE10" s="6">
        <f>AB10/AB15-1</f>
        <v>-0.8647665947973413</v>
      </c>
      <c r="AF10" s="6">
        <f>AC10/AC15-1</f>
        <v>-0.84998160151716717</v>
      </c>
    </row>
    <row r="11" spans="1:33">
      <c r="A11" s="6">
        <v>900</v>
      </c>
      <c r="B11" s="6">
        <v>27</v>
      </c>
      <c r="C11" s="33">
        <v>20.51</v>
      </c>
      <c r="D11" s="33">
        <v>0.72</v>
      </c>
      <c r="E11" s="33">
        <v>3.4</v>
      </c>
      <c r="F11" s="33">
        <v>1.64</v>
      </c>
      <c r="G11" s="33">
        <v>0.34</v>
      </c>
      <c r="H11" s="33">
        <v>0.2</v>
      </c>
      <c r="I11" s="3">
        <f t="shared" si="9"/>
        <v>5.4272244017261677</v>
      </c>
      <c r="J11" s="3">
        <f t="shared" si="10"/>
        <v>0.4341858457141155</v>
      </c>
      <c r="K11" s="6">
        <f t="shared" si="11"/>
        <v>2.0377607492550021</v>
      </c>
      <c r="L11" s="6">
        <f t="shared" si="12"/>
        <v>1.1720928573721321</v>
      </c>
      <c r="M11" s="6">
        <f t="shared" si="13"/>
        <v>0.14111912951167729</v>
      </c>
      <c r="N11" s="6">
        <f t="shared" si="14"/>
        <v>7.4185792261559982E-2</v>
      </c>
      <c r="O11" s="6">
        <f t="shared" si="15"/>
        <v>79.640870141858215</v>
      </c>
      <c r="P11" s="6">
        <f t="shared" si="16"/>
        <v>81.32497070815397</v>
      </c>
      <c r="Q11" s="6">
        <f>(I11/I15-1)*100</f>
        <v>48.94698620188818</v>
      </c>
      <c r="R11" s="6">
        <f>(J11/J15-1)*100</f>
        <v>-90.538764783180028</v>
      </c>
      <c r="S11" s="6">
        <f>(K11/K15-1)*100</f>
        <v>6.9182389937106903</v>
      </c>
      <c r="T11" s="6">
        <f t="shared" si="17"/>
        <v>696.45203679369251</v>
      </c>
      <c r="U11" s="6">
        <f t="shared" si="18"/>
        <v>1.2536136662286466</v>
      </c>
      <c r="V11" s="6">
        <f t="shared" si="19"/>
        <v>0.10446780551905387</v>
      </c>
      <c r="W11" s="6">
        <f>I15*(100-U11)/100</f>
        <v>3.5980506296818877</v>
      </c>
      <c r="X11" s="6">
        <f>K15*(100-V11)/100</f>
        <v>1.9039145841508573</v>
      </c>
      <c r="Y11" s="6">
        <f t="shared" si="20"/>
        <v>1.8898172531655941</v>
      </c>
      <c r="Z11" s="6">
        <f>Y11/AA15-1</f>
        <v>-1.1503476036069271E-2</v>
      </c>
      <c r="AA11" s="3">
        <f t="shared" si="21"/>
        <v>2.6633275784266339</v>
      </c>
      <c r="AB11" s="3">
        <f t="shared" si="22"/>
        <v>0.21307007992614063</v>
      </c>
      <c r="AC11" s="3">
        <f t="shared" si="8"/>
        <v>0.57518668852594446</v>
      </c>
      <c r="AD11" s="6">
        <f>AA11/AA15-1</f>
        <v>0.39309240035883652</v>
      </c>
      <c r="AE11" s="6">
        <f>AB11/AB15-1</f>
        <v>-0.91150962356033083</v>
      </c>
      <c r="AF11" s="6">
        <f>AC11/AC15-1</f>
        <v>-0.85093465957811698</v>
      </c>
    </row>
    <row r="12" spans="1:33">
      <c r="A12" s="6">
        <v>900</v>
      </c>
      <c r="B12" s="6">
        <v>42</v>
      </c>
      <c r="C12" s="33">
        <v>19.829999999999998</v>
      </c>
      <c r="D12" s="33">
        <v>0.75</v>
      </c>
      <c r="E12" s="33">
        <v>3.76</v>
      </c>
      <c r="F12" s="33">
        <v>1.72</v>
      </c>
      <c r="G12" s="33">
        <v>0.13</v>
      </c>
      <c r="H12" s="33">
        <v>0.08</v>
      </c>
      <c r="I12" s="3">
        <f t="shared" si="9"/>
        <v>5.2472871714397797</v>
      </c>
      <c r="J12" s="3">
        <f t="shared" si="10"/>
        <v>0.45227692261887031</v>
      </c>
      <c r="K12" s="6">
        <f t="shared" si="11"/>
        <v>2.2535236521172965</v>
      </c>
      <c r="L12" s="6">
        <f t="shared" si="12"/>
        <v>1.2292681187073582</v>
      </c>
      <c r="M12" s="6">
        <f t="shared" si="13"/>
        <v>5.395731422505308E-2</v>
      </c>
      <c r="N12" s="6">
        <f t="shared" si="14"/>
        <v>2.9674316904623989E-2</v>
      </c>
      <c r="O12" s="6">
        <f t="shared" si="15"/>
        <v>79.986854557773725</v>
      </c>
      <c r="P12" s="6">
        <f t="shared" si="16"/>
        <v>80.650199706332529</v>
      </c>
      <c r="Q12" s="6">
        <f>(I12/I15-1)*100</f>
        <v>44.008714596949886</v>
      </c>
      <c r="R12" s="6">
        <f>(J12/J15-1)*100</f>
        <v>-90.144546649145866</v>
      </c>
      <c r="S12" s="6">
        <f>(K12/K15-1)*100</f>
        <v>18.238993710691819</v>
      </c>
      <c r="T12" s="6">
        <f t="shared" si="17"/>
        <v>693.41958960881436</v>
      </c>
      <c r="U12" s="6">
        <f t="shared" si="18"/>
        <v>1.2481552612958657</v>
      </c>
      <c r="V12" s="6">
        <f t="shared" si="19"/>
        <v>0.10401293844132214</v>
      </c>
      <c r="W12" s="6">
        <f>I15*(100-U12)/100</f>
        <v>3.5982495191606283</v>
      </c>
      <c r="X12" s="6">
        <f>K15*(100-V12)/100</f>
        <v>1.9039232534881552</v>
      </c>
      <c r="Y12" s="6">
        <f t="shared" si="20"/>
        <v>1.8899131110291962</v>
      </c>
      <c r="Z12" s="6">
        <f>Y12/AA15-1</f>
        <v>-1.1453336180055951E-2</v>
      </c>
      <c r="AA12" s="3">
        <f t="shared" si="21"/>
        <v>2.3284810729675258</v>
      </c>
      <c r="AB12" s="3">
        <f t="shared" si="22"/>
        <v>0.20069765950489751</v>
      </c>
      <c r="AC12" s="3">
        <f t="shared" si="8"/>
        <v>0.54548711638877201</v>
      </c>
      <c r="AD12" s="6">
        <f>AA12/AA15-1</f>
        <v>0.21794604366569303</v>
      </c>
      <c r="AE12" s="6">
        <f>AB12/AB15-1</f>
        <v>-0.91664802751139318</v>
      </c>
      <c r="AF12" s="6">
        <f>AC12/AC15-1</f>
        <v>-0.85863159853607096</v>
      </c>
    </row>
    <row r="13" spans="1:33">
      <c r="A13" s="6">
        <v>900</v>
      </c>
      <c r="B13" s="6">
        <v>56</v>
      </c>
      <c r="C13" s="33">
        <v>18.88</v>
      </c>
      <c r="D13" s="33">
        <v>0.97</v>
      </c>
      <c r="E13" s="33">
        <v>4.01</v>
      </c>
      <c r="F13" s="33">
        <v>1.76</v>
      </c>
      <c r="G13" s="33">
        <v>0.1</v>
      </c>
      <c r="H13" s="33">
        <v>0.04</v>
      </c>
      <c r="I13" s="3">
        <f t="shared" si="9"/>
        <v>4.9959042761867396</v>
      </c>
      <c r="J13" s="3">
        <f t="shared" si="10"/>
        <v>0.5849448199204057</v>
      </c>
      <c r="K13" s="6">
        <f t="shared" si="11"/>
        <v>2.4033590013272228</v>
      </c>
      <c r="L13" s="6">
        <f t="shared" si="12"/>
        <v>1.2578557493749714</v>
      </c>
      <c r="M13" s="6">
        <f t="shared" si="13"/>
        <v>4.1505626326963911E-2</v>
      </c>
      <c r="N13" s="6">
        <f t="shared" si="14"/>
        <v>1.4837158452311995E-2</v>
      </c>
      <c r="O13" s="6">
        <f t="shared" si="15"/>
        <v>79.173104247991972</v>
      </c>
      <c r="P13" s="6">
        <f t="shared" si="16"/>
        <v>79.697325087774601</v>
      </c>
      <c r="Q13" s="6">
        <f>(I13/I15-1)*100</f>
        <v>37.109658678286131</v>
      </c>
      <c r="R13" s="6">
        <f>(J13/J15-1)*100</f>
        <v>-87.253613666228645</v>
      </c>
      <c r="S13" s="6">
        <f>(K13/K15-1)*100</f>
        <v>26.100628930817592</v>
      </c>
      <c r="T13" s="6">
        <f t="shared" si="17"/>
        <v>671.18164358637421</v>
      </c>
      <c r="U13" s="6">
        <f t="shared" si="18"/>
        <v>1.2081269584554735</v>
      </c>
      <c r="V13" s="6">
        <f t="shared" si="19"/>
        <v>0.10067724653795612</v>
      </c>
      <c r="W13" s="6">
        <f>I15*(100-U13)/100</f>
        <v>3.5997080420047269</v>
      </c>
      <c r="X13" s="6">
        <f>K15*(100-V13)/100</f>
        <v>1.9039868286283397</v>
      </c>
      <c r="Y13" s="6">
        <f t="shared" si="20"/>
        <v>1.8906160420227329</v>
      </c>
      <c r="Z13" s="6">
        <f>Y13/AA15-1</f>
        <v>-1.108565785426352E-2</v>
      </c>
      <c r="AA13" s="3">
        <f t="shared" si="21"/>
        <v>2.0787174423079606</v>
      </c>
      <c r="AB13" s="3">
        <f t="shared" si="22"/>
        <v>0.24338636866043639</v>
      </c>
      <c r="AC13" s="3">
        <f t="shared" si="8"/>
        <v>0.52337405634378276</v>
      </c>
      <c r="AD13" s="6">
        <f>AA13/AA15-1</f>
        <v>8.7303527673191716E-2</v>
      </c>
      <c r="AE13" s="6">
        <f>AB13/AB15-1</f>
        <v>-0.8989189313182222</v>
      </c>
      <c r="AF13" s="6">
        <f>AC13/AC15-1</f>
        <v>-0.86436241757123222</v>
      </c>
    </row>
    <row r="14" spans="1:33">
      <c r="A14" s="6">
        <v>900</v>
      </c>
      <c r="B14" s="6">
        <v>76</v>
      </c>
      <c r="C14" s="33">
        <v>13.2</v>
      </c>
      <c r="D14" s="33">
        <v>7.96</v>
      </c>
      <c r="E14" s="33">
        <v>3.31</v>
      </c>
      <c r="F14" s="33">
        <v>6.22</v>
      </c>
      <c r="G14" s="33">
        <v>0.37</v>
      </c>
      <c r="H14" s="33">
        <v>1.1200000000000001</v>
      </c>
      <c r="I14" s="3">
        <f t="shared" si="9"/>
        <v>3.4928991761475086</v>
      </c>
      <c r="J14" s="3">
        <f t="shared" si="10"/>
        <v>4.8001657387282775</v>
      </c>
      <c r="K14" s="6">
        <f t="shared" si="11"/>
        <v>1.9838200235394283</v>
      </c>
      <c r="L14" s="6">
        <f t="shared" si="12"/>
        <v>4.4453765688138187</v>
      </c>
      <c r="M14" s="6">
        <f t="shared" si="13"/>
        <v>0.15357081740976647</v>
      </c>
      <c r="N14" s="6">
        <f t="shared" si="14"/>
        <v>0.4154404366647359</v>
      </c>
      <c r="O14" s="6">
        <f t="shared" si="15"/>
        <v>41.057732935815785</v>
      </c>
      <c r="P14" s="6">
        <f t="shared" si="16"/>
        <v>41.812519125681021</v>
      </c>
      <c r="Q14" s="6">
        <f>(I14/I15-1)*100</f>
        <v>-4.1394335511982572</v>
      </c>
      <c r="R14" s="6">
        <f>(J14/J15-1)*100</f>
        <v>4.5992115637319309</v>
      </c>
      <c r="S14" s="6">
        <f>(K14/K15-1)*100</f>
        <v>4.0880503144653968</v>
      </c>
      <c r="T14" s="6">
        <f t="shared" si="17"/>
        <v>-35.378550490245622</v>
      </c>
      <c r="U14" s="6">
        <f t="shared" si="18"/>
        <v>-6.3681390882442124E-2</v>
      </c>
      <c r="V14" s="6">
        <f t="shared" si="19"/>
        <v>-5.3067825735368425E-3</v>
      </c>
      <c r="W14" s="6">
        <f>I15*(100-U14)/100</f>
        <v>3.6460492905513076</v>
      </c>
      <c r="X14" s="6">
        <f>K15*(100-V14)/100</f>
        <v>1.906006784218742</v>
      </c>
      <c r="Y14" s="6">
        <f t="shared" si="20"/>
        <v>1.9129256625630511</v>
      </c>
      <c r="Z14" s="6">
        <f>Y14/AA15-1</f>
        <v>5.8371510659727122E-4</v>
      </c>
      <c r="AA14" s="3">
        <f t="shared" si="21"/>
        <v>1.7606935784001514</v>
      </c>
      <c r="AB14" s="3">
        <f t="shared" si="22"/>
        <v>2.4196578730786635</v>
      </c>
      <c r="AC14" s="3">
        <f t="shared" si="8"/>
        <v>2.2408164632205949</v>
      </c>
      <c r="AD14" s="6">
        <f>AA14/AA15-1</f>
        <v>-7.9043500582508863E-2</v>
      </c>
      <c r="AE14" s="6">
        <f>AB14/AB15-1</f>
        <v>4.910854298089351E-3</v>
      </c>
      <c r="AF14" s="6">
        <f>AC14/AC15-1</f>
        <v>-0.41927016814494455</v>
      </c>
    </row>
    <row r="15" spans="1:33" s="2" customFormat="1">
      <c r="A15" s="2">
        <v>900</v>
      </c>
      <c r="B15" s="2">
        <v>108</v>
      </c>
      <c r="C15" s="31">
        <v>13.77</v>
      </c>
      <c r="D15" s="31">
        <v>7.61</v>
      </c>
      <c r="E15" s="31">
        <v>3.18</v>
      </c>
      <c r="F15" s="31">
        <v>10.29</v>
      </c>
      <c r="G15" s="31">
        <v>0.91</v>
      </c>
      <c r="H15" s="31">
        <v>2.83</v>
      </c>
      <c r="I15" s="2">
        <f t="shared" si="9"/>
        <v>3.6437289132993329</v>
      </c>
      <c r="J15" s="2">
        <f t="shared" si="10"/>
        <v>4.5891031748394715</v>
      </c>
      <c r="K15" s="2">
        <f t="shared" si="11"/>
        <v>1.9059056419502667</v>
      </c>
      <c r="L15" s="2">
        <f t="shared" si="12"/>
        <v>7.3541679892434395</v>
      </c>
      <c r="M15" s="2">
        <f t="shared" si="13"/>
        <v>0.37770119957537157</v>
      </c>
      <c r="N15" s="2">
        <f t="shared" si="14"/>
        <v>1.0497289605010738</v>
      </c>
      <c r="AA15" s="2">
        <f t="shared" si="21"/>
        <v>1.911809710354178</v>
      </c>
      <c r="AB15" s="2">
        <f t="shared" si="22"/>
        <v>2.4078333543016086</v>
      </c>
      <c r="AC15" s="2">
        <f t="shared" si="8"/>
        <v>3.8586212388343104</v>
      </c>
    </row>
    <row r="16" spans="1:33">
      <c r="A16" s="6">
        <v>1000</v>
      </c>
      <c r="B16" s="6">
        <v>0</v>
      </c>
      <c r="C16" s="33">
        <v>13.05</v>
      </c>
      <c r="D16" s="33">
        <v>1.02</v>
      </c>
      <c r="E16" s="33">
        <v>2</v>
      </c>
      <c r="F16" s="33">
        <v>2.19</v>
      </c>
      <c r="G16" s="33">
        <v>0.73</v>
      </c>
      <c r="H16" s="33">
        <v>0.26</v>
      </c>
      <c r="I16" s="3">
        <f t="shared" si="9"/>
        <v>3.4532071400549236</v>
      </c>
      <c r="J16" s="3">
        <f t="shared" si="10"/>
        <v>0.61509661476166377</v>
      </c>
      <c r="K16" s="6">
        <f t="shared" si="11"/>
        <v>1.1986827936794129</v>
      </c>
      <c r="L16" s="6">
        <f t="shared" si="12"/>
        <v>1.5651727790518106</v>
      </c>
      <c r="M16" s="6">
        <f t="shared" si="13"/>
        <v>0.30299107218683652</v>
      </c>
      <c r="N16" s="6">
        <f t="shared" si="14"/>
        <v>9.644152994002797E-2</v>
      </c>
      <c r="O16" s="6">
        <f t="shared" si="15"/>
        <v>63.738033136455819</v>
      </c>
      <c r="P16" s="6">
        <f t="shared" si="16"/>
        <v>67.513737761041298</v>
      </c>
      <c r="Q16" s="3">
        <f>(I16/I28-1)*100</f>
        <v>2.7559055118110409</v>
      </c>
      <c r="R16" s="3">
        <f>(J16/J28-1)*100</f>
        <v>-91.968503937007867</v>
      </c>
      <c r="S16" s="3">
        <f>(K16/K28-1)*100</f>
        <v>-22.480620155038768</v>
      </c>
      <c r="T16" s="6">
        <f t="shared" ref="T16:T27" si="23">R16/-0.13</f>
        <v>707.4500302846759</v>
      </c>
      <c r="U16" s="6">
        <f t="shared" ref="U16:U27" si="24">T16*0.0018</f>
        <v>1.2734100545124165</v>
      </c>
      <c r="V16" s="6">
        <f t="shared" ref="V16:V27" si="25">T16*0.00015</f>
        <v>0.10611750454270137</v>
      </c>
      <c r="W16" s="3">
        <f>I28*(100-U16)/100</f>
        <v>3.3177982677973263</v>
      </c>
      <c r="X16" s="3">
        <f>K28*(100-V16)/100</f>
        <v>1.5446599080206773</v>
      </c>
      <c r="Y16" s="6">
        <f t="shared" ref="Y16:Y27" si="26">W16/X16</f>
        <v>2.1479150527372353</v>
      </c>
      <c r="Z16" s="3">
        <f>Y16/AA28-1</f>
        <v>-1.1685325675701907E-2</v>
      </c>
      <c r="AA16" s="3">
        <f t="shared" si="21"/>
        <v>2.8808348282493843</v>
      </c>
      <c r="AB16" s="3">
        <f t="shared" si="22"/>
        <v>0.51314377582212223</v>
      </c>
      <c r="AC16" s="3">
        <f t="shared" si="8"/>
        <v>1.3057439276720071</v>
      </c>
      <c r="AD16" s="3">
        <f>AA16/AA28-1</f>
        <v>0.32555118110236259</v>
      </c>
      <c r="AE16" s="3">
        <f>AB16/AB28-1</f>
        <v>-0.89639370078740155</v>
      </c>
      <c r="AF16" s="3">
        <f>AC16/AC28-1</f>
        <v>-0.71376899696048635</v>
      </c>
      <c r="AG16" s="3"/>
    </row>
    <row r="17" spans="1:33">
      <c r="A17" s="6">
        <v>1000</v>
      </c>
      <c r="B17" s="6">
        <v>10</v>
      </c>
      <c r="C17" s="33">
        <v>16.09</v>
      </c>
      <c r="D17" s="33">
        <v>0.96</v>
      </c>
      <c r="E17" s="33">
        <v>2.5</v>
      </c>
      <c r="F17" s="33">
        <v>2.33</v>
      </c>
      <c r="G17" s="33">
        <v>0.78</v>
      </c>
      <c r="H17" s="33">
        <v>0.3</v>
      </c>
      <c r="I17" s="3">
        <f t="shared" si="9"/>
        <v>4.257632404864653</v>
      </c>
      <c r="J17" s="3">
        <f t="shared" si="10"/>
        <v>0.57891446095215404</v>
      </c>
      <c r="K17" s="6">
        <f t="shared" si="11"/>
        <v>1.498353492099266</v>
      </c>
      <c r="L17" s="6">
        <f t="shared" si="12"/>
        <v>1.6652294863884562</v>
      </c>
      <c r="M17" s="6">
        <f t="shared" si="13"/>
        <v>0.32374388535031851</v>
      </c>
      <c r="N17" s="6">
        <f t="shared" si="14"/>
        <v>0.11127868839233997</v>
      </c>
      <c r="O17" s="6">
        <f t="shared" si="15"/>
        <v>66.966180783964376</v>
      </c>
      <c r="P17" s="6">
        <f t="shared" si="16"/>
        <v>70.559052257195177</v>
      </c>
      <c r="Q17" s="3">
        <f>(I17/I28-1)*100</f>
        <v>26.692913385826778</v>
      </c>
      <c r="R17" s="3">
        <f>(J17/J28-1)*100</f>
        <v>-92.440944881889763</v>
      </c>
      <c r="S17" s="3">
        <f>(K17/K28-1)*100</f>
        <v>-3.1007751937984662</v>
      </c>
      <c r="T17" s="6">
        <f t="shared" si="23"/>
        <v>711.08419139915202</v>
      </c>
      <c r="U17" s="6">
        <f t="shared" si="24"/>
        <v>1.2799515445184737</v>
      </c>
      <c r="V17" s="6">
        <f t="shared" si="25"/>
        <v>0.10666262870987279</v>
      </c>
      <c r="W17" s="3">
        <f>I28*(100-U17)/100</f>
        <v>3.3175784349820443</v>
      </c>
      <c r="X17" s="3">
        <f>K28*(100-V17)/100</f>
        <v>1.5446514787612984</v>
      </c>
      <c r="Y17" s="6">
        <f t="shared" si="26"/>
        <v>2.1477844553274297</v>
      </c>
      <c r="Z17" s="3">
        <f>Y17/AA28-1</f>
        <v>-1.1745417128748548E-2</v>
      </c>
      <c r="AA17" s="3">
        <f t="shared" si="21"/>
        <v>2.8415406826993164</v>
      </c>
      <c r="AB17" s="3">
        <f t="shared" si="22"/>
        <v>0.38636707826606842</v>
      </c>
      <c r="AC17" s="3">
        <f t="shared" si="8"/>
        <v>1.1113729137811057</v>
      </c>
      <c r="AD17" s="3">
        <f>AA17/AA28-1</f>
        <v>0.30747086614173269</v>
      </c>
      <c r="AE17" s="3">
        <f>AB17/AB28-1</f>
        <v>-0.9219905511811024</v>
      </c>
      <c r="AF17" s="3">
        <f>AC17/AC28-1</f>
        <v>-0.7563768996960486</v>
      </c>
      <c r="AG17" s="3"/>
    </row>
    <row r="18" spans="1:33">
      <c r="A18" s="6">
        <v>1000</v>
      </c>
      <c r="B18" s="6">
        <v>20</v>
      </c>
      <c r="C18" s="33">
        <v>20.190000000000001</v>
      </c>
      <c r="D18" s="33">
        <v>0.98</v>
      </c>
      <c r="E18" s="33">
        <v>2.84</v>
      </c>
      <c r="F18" s="33">
        <v>1.95</v>
      </c>
      <c r="G18" s="33">
        <v>0.87</v>
      </c>
      <c r="H18" s="33">
        <v>0.49</v>
      </c>
      <c r="I18" s="3">
        <f t="shared" si="9"/>
        <v>5.3425480580619862</v>
      </c>
      <c r="J18" s="3">
        <f t="shared" si="10"/>
        <v>0.59097517888865725</v>
      </c>
      <c r="K18" s="6">
        <f t="shared" si="11"/>
        <v>1.7021295670247663</v>
      </c>
      <c r="L18" s="6">
        <f t="shared" si="12"/>
        <v>1.3936469950461328</v>
      </c>
      <c r="M18" s="6">
        <f t="shared" si="13"/>
        <v>0.36109894904458595</v>
      </c>
      <c r="N18" s="6">
        <f t="shared" si="14"/>
        <v>0.18175519104082194</v>
      </c>
      <c r="O18" s="6">
        <f t="shared" si="15"/>
        <v>73.396235088748682</v>
      </c>
      <c r="P18" s="6">
        <f t="shared" si="16"/>
        <v>77.227327019019867</v>
      </c>
      <c r="Q18" s="3">
        <f>(I18/I28-1)*100</f>
        <v>58.976377952755939</v>
      </c>
      <c r="R18" s="3">
        <f>(J18/J28-1)*100</f>
        <v>-92.283464566929126</v>
      </c>
      <c r="S18" s="3">
        <f>(K18/K28-1)*100</f>
        <v>10.077519379844958</v>
      </c>
      <c r="T18" s="6">
        <f t="shared" si="23"/>
        <v>709.8728043609932</v>
      </c>
      <c r="U18" s="6">
        <f t="shared" si="24"/>
        <v>1.2777710478497877</v>
      </c>
      <c r="V18" s="6">
        <f t="shared" si="25"/>
        <v>0.10648092065414896</v>
      </c>
      <c r="W18" s="3">
        <f>I28*(100-U18)/100</f>
        <v>3.3176517125871383</v>
      </c>
      <c r="X18" s="3">
        <f>K28*(100-V18)/100</f>
        <v>1.5446542885144245</v>
      </c>
      <c r="Y18" s="6">
        <f t="shared" si="26"/>
        <v>2.147827987955738</v>
      </c>
      <c r="Z18" s="3">
        <f>Y18/AA28-1</f>
        <v>-1.1725386571527774E-2</v>
      </c>
      <c r="AA18" s="3">
        <f t="shared" si="21"/>
        <v>3.1387434667505847</v>
      </c>
      <c r="AB18" s="3">
        <f t="shared" si="22"/>
        <v>0.34719752851814395</v>
      </c>
      <c r="AC18" s="3">
        <f t="shared" si="8"/>
        <v>0.81876669205750008</v>
      </c>
      <c r="AD18" s="3">
        <f>AA18/AA28-1</f>
        <v>0.44422202506376918</v>
      </c>
      <c r="AE18" s="3">
        <f>AB18/AB28-1</f>
        <v>-0.92989907951646888</v>
      </c>
      <c r="AF18" s="3">
        <f>AC18/AC28-1</f>
        <v>-0.82051885782781797</v>
      </c>
      <c r="AG18" s="3"/>
    </row>
    <row r="19" spans="1:33">
      <c r="A19" s="6">
        <v>1000</v>
      </c>
      <c r="B19" s="6">
        <v>48</v>
      </c>
      <c r="C19" s="33">
        <v>21</v>
      </c>
      <c r="D19" s="33">
        <v>1.1299999999999999</v>
      </c>
      <c r="E19" s="33">
        <v>3.28</v>
      </c>
      <c r="F19" s="33">
        <v>1.72</v>
      </c>
      <c r="G19" s="33">
        <v>0.89</v>
      </c>
      <c r="H19" s="33">
        <v>0.65</v>
      </c>
      <c r="I19" s="3">
        <f t="shared" si="9"/>
        <v>5.5568850529619462</v>
      </c>
      <c r="J19" s="3">
        <f t="shared" si="10"/>
        <v>0.68143056341243124</v>
      </c>
      <c r="K19" s="6">
        <f t="shared" si="11"/>
        <v>1.965839781634237</v>
      </c>
      <c r="L19" s="6">
        <f t="shared" si="12"/>
        <v>1.2292681187073582</v>
      </c>
      <c r="M19" s="6">
        <f t="shared" si="13"/>
        <v>0.36940007430997879</v>
      </c>
      <c r="N19" s="6">
        <f t="shared" si="14"/>
        <v>0.24110382485006995</v>
      </c>
      <c r="O19" s="6">
        <f t="shared" si="15"/>
        <v>75.126979657837225</v>
      </c>
      <c r="P19" s="6">
        <f t="shared" si="16"/>
        <v>79.076160950343663</v>
      </c>
      <c r="Q19" s="3">
        <f>(I19/I28-1)*100</f>
        <v>65.354330708661436</v>
      </c>
      <c r="R19" s="3">
        <f>(J19/J28-1)*100</f>
        <v>-91.102362204724415</v>
      </c>
      <c r="S19" s="3">
        <f>(K19/K28-1)*100</f>
        <v>27.131782945736415</v>
      </c>
      <c r="T19" s="6">
        <f t="shared" si="23"/>
        <v>700.7874015748032</v>
      </c>
      <c r="U19" s="6">
        <f t="shared" si="24"/>
        <v>1.2614173228346457</v>
      </c>
      <c r="V19" s="6">
        <f t="shared" si="25"/>
        <v>0.10511811023622047</v>
      </c>
      <c r="W19" s="3">
        <f>I28*(100-U19)/100</f>
        <v>3.3182012946253434</v>
      </c>
      <c r="X19" s="3">
        <f>K28*(100-V19)/100</f>
        <v>1.5446753616628721</v>
      </c>
      <c r="Y19" s="6">
        <f t="shared" si="26"/>
        <v>2.1481544776199688</v>
      </c>
      <c r="Z19" s="3">
        <f>Y19/AA28-1</f>
        <v>-1.1575159715133676E-2</v>
      </c>
      <c r="AA19" s="3">
        <f t="shared" si="21"/>
        <v>2.8267232685373833</v>
      </c>
      <c r="AB19" s="3">
        <f t="shared" si="22"/>
        <v>0.34663586004244257</v>
      </c>
      <c r="AC19" s="3">
        <f t="shared" si="8"/>
        <v>0.62531449927493388</v>
      </c>
      <c r="AD19" s="3">
        <f>AA19/AA28-1</f>
        <v>0.30065296715959322</v>
      </c>
      <c r="AE19" s="3">
        <f>AB19/AB28-1</f>
        <v>-0.93001248319569807</v>
      </c>
      <c r="AF19" s="3">
        <f>AC19/AC28-1</f>
        <v>-0.86292534657869369</v>
      </c>
      <c r="AG19" s="3"/>
    </row>
    <row r="20" spans="1:33">
      <c r="A20" s="6">
        <v>1000</v>
      </c>
      <c r="B20" s="6">
        <v>59</v>
      </c>
      <c r="C20" s="33">
        <v>21.16</v>
      </c>
      <c r="D20" s="33">
        <v>1.44</v>
      </c>
      <c r="E20" s="33">
        <v>3.99</v>
      </c>
      <c r="F20" s="33">
        <v>1.58</v>
      </c>
      <c r="G20" s="33">
        <v>0.82</v>
      </c>
      <c r="H20" s="33">
        <v>0.77</v>
      </c>
      <c r="I20" s="3">
        <f t="shared" si="9"/>
        <v>5.599223224794037</v>
      </c>
      <c r="J20" s="3">
        <f t="shared" si="10"/>
        <v>0.86837169142823101</v>
      </c>
      <c r="K20" s="6">
        <f t="shared" si="11"/>
        <v>2.3913721733904287</v>
      </c>
      <c r="L20" s="6">
        <f t="shared" si="12"/>
        <v>1.1292114113707128</v>
      </c>
      <c r="M20" s="6">
        <f t="shared" si="13"/>
        <v>0.34034613588110402</v>
      </c>
      <c r="N20" s="6">
        <f t="shared" si="14"/>
        <v>0.28561530020700593</v>
      </c>
      <c r="O20" s="6">
        <f t="shared" si="15"/>
        <v>76.134371466872025</v>
      </c>
      <c r="P20" s="6">
        <f t="shared" si="16"/>
        <v>79.828676379376006</v>
      </c>
      <c r="Q20" s="3">
        <f>(I20/I28-1)*100</f>
        <v>66.614173228346459</v>
      </c>
      <c r="R20" s="3">
        <f>(J20/J28-1)*100</f>
        <v>-88.661417322834652</v>
      </c>
      <c r="S20" s="3">
        <f>(K20/K28-1)*100</f>
        <v>54.651162790697661</v>
      </c>
      <c r="T20" s="6">
        <f t="shared" si="23"/>
        <v>682.01090248334344</v>
      </c>
      <c r="U20" s="6">
        <f t="shared" si="24"/>
        <v>1.2276196244700182</v>
      </c>
      <c r="V20" s="6">
        <f t="shared" si="25"/>
        <v>0.1023016353725015</v>
      </c>
      <c r="W20" s="3">
        <f>I28*(100-U20)/100</f>
        <v>3.3193370975043002</v>
      </c>
      <c r="X20" s="3">
        <f>K28*(100-V20)/100</f>
        <v>1.5447189128363297</v>
      </c>
      <c r="Y20" s="6">
        <f t="shared" si="26"/>
        <v>2.1488291946976372</v>
      </c>
      <c r="Z20" s="3">
        <f>Y20/AA28-1</f>
        <v>-1.1264703867251202E-2</v>
      </c>
      <c r="AA20" s="3">
        <f t="shared" si="21"/>
        <v>2.3414269376797154</v>
      </c>
      <c r="AB20" s="3">
        <f t="shared" si="22"/>
        <v>0.36312695325758304</v>
      </c>
      <c r="AC20" s="3">
        <f t="shared" si="8"/>
        <v>0.47220228784787799</v>
      </c>
      <c r="AD20" s="3">
        <f>AA20/AA28-1</f>
        <v>7.7354804333669147E-2</v>
      </c>
      <c r="AE20" s="3">
        <f>AB20/AB28-1</f>
        <v>-0.92668284885441954</v>
      </c>
      <c r="AF20" s="3">
        <f>AC20/AC28-1</f>
        <v>-0.89648894272154545</v>
      </c>
      <c r="AG20" s="3"/>
    </row>
    <row r="21" spans="1:33">
      <c r="A21" s="6">
        <v>1000</v>
      </c>
      <c r="B21" s="6">
        <v>74</v>
      </c>
      <c r="C21" s="33">
        <v>24.67</v>
      </c>
      <c r="D21" s="33">
        <v>1.64</v>
      </c>
      <c r="E21" s="33">
        <v>2.57</v>
      </c>
      <c r="F21" s="33">
        <v>1.45</v>
      </c>
      <c r="G21" s="33">
        <v>0.55000000000000004</v>
      </c>
      <c r="H21" s="33">
        <v>0.35</v>
      </c>
      <c r="I21" s="3">
        <f t="shared" si="9"/>
        <v>6.5280168693605347</v>
      </c>
      <c r="J21" s="3">
        <f t="shared" si="10"/>
        <v>0.98897887079326319</v>
      </c>
      <c r="K21" s="6">
        <f t="shared" si="11"/>
        <v>1.5403073898780455</v>
      </c>
      <c r="L21" s="6">
        <f t="shared" si="12"/>
        <v>1.0363016117009705</v>
      </c>
      <c r="M21" s="6">
        <f t="shared" si="13"/>
        <v>0.22828094479830152</v>
      </c>
      <c r="N21" s="6">
        <f t="shared" si="14"/>
        <v>0.12982513645772994</v>
      </c>
      <c r="O21" s="6">
        <f t="shared" si="15"/>
        <v>82.39923041250016</v>
      </c>
      <c r="P21" s="6">
        <f t="shared" si="16"/>
        <v>84.843969567925924</v>
      </c>
      <c r="Q21" s="3">
        <f>(I21/I28-1)*100</f>
        <v>94.25196850393705</v>
      </c>
      <c r="R21" s="3">
        <f>(J21/J28-1)*100</f>
        <v>-87.086614173228355</v>
      </c>
      <c r="S21" s="3">
        <f>(K21/K28-1)*100</f>
        <v>-0.38759689922481799</v>
      </c>
      <c r="T21" s="6">
        <f t="shared" si="23"/>
        <v>669.89703210175651</v>
      </c>
      <c r="U21" s="6">
        <f t="shared" si="24"/>
        <v>1.2058146577831617</v>
      </c>
      <c r="V21" s="6">
        <f t="shared" si="25"/>
        <v>0.10048455481526347</v>
      </c>
      <c r="W21" s="3">
        <f>I28*(100-U21)/100</f>
        <v>3.3200698735552403</v>
      </c>
      <c r="X21" s="3">
        <f>K28*(100-V21)/100</f>
        <v>1.5447470103675929</v>
      </c>
      <c r="Y21" s="6">
        <f t="shared" si="26"/>
        <v>2.1492644758478514</v>
      </c>
      <c r="Z21" s="3">
        <f>Y21/AA28-1</f>
        <v>-1.1064419061916242E-2</v>
      </c>
      <c r="AA21" s="3">
        <f t="shared" si="21"/>
        <v>4.2381260469557267</v>
      </c>
      <c r="AB21" s="3">
        <f t="shared" si="22"/>
        <v>0.6420659131367058</v>
      </c>
      <c r="AC21" s="3">
        <f t="shared" si="8"/>
        <v>0.6727888332620543</v>
      </c>
      <c r="AD21" s="3">
        <f>AA21/AA28-1</f>
        <v>0.95007812739360964</v>
      </c>
      <c r="AE21" s="3">
        <f>AB21/AB28-1</f>
        <v>-0.87036367535770087</v>
      </c>
      <c r="AF21" s="3">
        <f>AC21/AC28-1</f>
        <v>-0.85251853866805438</v>
      </c>
      <c r="AG21" s="3"/>
    </row>
    <row r="22" spans="1:33">
      <c r="A22" s="6">
        <v>1000</v>
      </c>
      <c r="B22" s="6">
        <v>95</v>
      </c>
      <c r="C22" s="33">
        <v>24.49</v>
      </c>
      <c r="D22" s="33">
        <v>2</v>
      </c>
      <c r="E22" s="33">
        <v>2.5</v>
      </c>
      <c r="F22" s="33">
        <v>1.34</v>
      </c>
      <c r="G22" s="33">
        <v>0.5</v>
      </c>
      <c r="H22" s="33">
        <v>0.33</v>
      </c>
      <c r="I22" s="3">
        <f t="shared" si="9"/>
        <v>6.4803864260494315</v>
      </c>
      <c r="J22" s="3">
        <f t="shared" si="10"/>
        <v>1.2060717936503209</v>
      </c>
      <c r="K22" s="6">
        <f t="shared" si="11"/>
        <v>1.498353492099266</v>
      </c>
      <c r="L22" s="6">
        <f t="shared" si="12"/>
        <v>0.95768562736503493</v>
      </c>
      <c r="M22" s="6">
        <f t="shared" si="13"/>
        <v>0.20752813163481953</v>
      </c>
      <c r="N22" s="6">
        <f t="shared" si="14"/>
        <v>0.12240655723157397</v>
      </c>
      <c r="O22" s="6">
        <f t="shared" si="15"/>
        <v>83.424057690076694</v>
      </c>
      <c r="P22" s="6">
        <f t="shared" si="16"/>
        <v>85.71397076534663</v>
      </c>
      <c r="Q22" s="6">
        <f>(I22/I28-1)*100</f>
        <v>92.834645669291362</v>
      </c>
      <c r="R22" s="6">
        <f>(J22/J28-1)*100</f>
        <v>-84.251968503937007</v>
      </c>
      <c r="S22" s="6">
        <f>(K22/K28-1)*100</f>
        <v>-3.1007751937984662</v>
      </c>
      <c r="T22" s="6">
        <f t="shared" si="23"/>
        <v>648.09206541490005</v>
      </c>
      <c r="U22" s="6">
        <f t="shared" si="24"/>
        <v>1.1665657177468201</v>
      </c>
      <c r="V22" s="6">
        <f t="shared" si="25"/>
        <v>9.7213809812235E-2</v>
      </c>
      <c r="W22" s="6">
        <f>I28*(100-U22)/100</f>
        <v>3.3213888704469321</v>
      </c>
      <c r="X22" s="6">
        <f>K28*(100-V22)/100</f>
        <v>1.5447975859238665</v>
      </c>
      <c r="Y22" s="6">
        <f t="shared" si="26"/>
        <v>2.1500479420160246</v>
      </c>
      <c r="Z22" s="6">
        <f>Y22/AA28-1</f>
        <v>-1.0703924772416662E-2</v>
      </c>
      <c r="AA22" s="3">
        <f t="shared" si="21"/>
        <v>4.3250050540277352</v>
      </c>
      <c r="AB22" s="3">
        <f t="shared" si="22"/>
        <v>0.80493141305430915</v>
      </c>
      <c r="AC22" s="3">
        <f t="shared" si="8"/>
        <v>0.63915867144492777</v>
      </c>
      <c r="AD22" s="6">
        <f>AA22/AA28-1</f>
        <v>0.99005354330708717</v>
      </c>
      <c r="AE22" s="6">
        <f>AB22/AB28-1</f>
        <v>-0.83748031496062991</v>
      </c>
      <c r="AF22" s="6">
        <f>AC22/AC28-1</f>
        <v>-0.85989057750759867</v>
      </c>
      <c r="AG22" s="3"/>
    </row>
    <row r="23" spans="1:33">
      <c r="A23" s="6">
        <v>1000</v>
      </c>
      <c r="B23" s="6">
        <v>125</v>
      </c>
      <c r="C23" s="33">
        <v>21.51</v>
      </c>
      <c r="D23" s="33">
        <v>1.2</v>
      </c>
      <c r="E23" s="33">
        <v>5.14</v>
      </c>
      <c r="F23" s="33">
        <v>0.53</v>
      </c>
      <c r="G23" s="33">
        <v>0.31</v>
      </c>
      <c r="H23" s="33">
        <v>0.11</v>
      </c>
      <c r="I23" s="3">
        <f t="shared" si="9"/>
        <v>5.6918379756767372</v>
      </c>
      <c r="J23" s="3">
        <f t="shared" si="10"/>
        <v>0.72364307619019252</v>
      </c>
      <c r="K23" s="6">
        <f t="shared" si="11"/>
        <v>3.080614779756091</v>
      </c>
      <c r="L23" s="6">
        <f t="shared" si="12"/>
        <v>0.37878610634587201</v>
      </c>
      <c r="M23" s="6">
        <f t="shared" si="13"/>
        <v>0.12866744161358812</v>
      </c>
      <c r="N23" s="6">
        <f t="shared" si="14"/>
        <v>4.0802185743857987E-2</v>
      </c>
      <c r="O23" s="6">
        <f t="shared" si="15"/>
        <v>91.21398236569452</v>
      </c>
      <c r="P23" s="6">
        <f t="shared" si="16"/>
        <v>93.134363834138568</v>
      </c>
      <c r="Q23" s="6">
        <f>(I23/I28-1)*100</f>
        <v>69.370078740157524</v>
      </c>
      <c r="R23" s="6">
        <f>(J23/J28-1)*100</f>
        <v>-90.551181102362193</v>
      </c>
      <c r="S23" s="6">
        <f>(K23/K28-1)*100</f>
        <v>99.224806201550365</v>
      </c>
      <c r="T23" s="6">
        <f t="shared" si="23"/>
        <v>696.54754694124756</v>
      </c>
      <c r="U23" s="6">
        <f t="shared" si="24"/>
        <v>1.2537855844942456</v>
      </c>
      <c r="V23" s="6">
        <f t="shared" si="25"/>
        <v>0.10448213204118713</v>
      </c>
      <c r="W23" s="6">
        <f>I28*(100-U23)/100</f>
        <v>3.3184577662431725</v>
      </c>
      <c r="X23" s="6">
        <f>K28*(100-V23)/100</f>
        <v>1.5446851957988139</v>
      </c>
      <c r="Y23" s="6">
        <f t="shared" si="26"/>
        <v>2.1483068364147009</v>
      </c>
      <c r="Z23" s="6">
        <f>Y23/AA28-1</f>
        <v>-1.1505055251549656E-2</v>
      </c>
      <c r="AA23" s="3">
        <f t="shared" si="21"/>
        <v>1.847630548642434</v>
      </c>
      <c r="AB23" s="3">
        <f t="shared" si="22"/>
        <v>0.23490216334269723</v>
      </c>
      <c r="AC23" s="3">
        <f t="shared" si="8"/>
        <v>0.12295795918237547</v>
      </c>
      <c r="AD23" s="6">
        <f>AA23/AA28-1</f>
        <v>-0.14985446858053209</v>
      </c>
      <c r="AE23" s="6">
        <f>AB23/AB28-1</f>
        <v>-0.95257207635037833</v>
      </c>
      <c r="AF23" s="6">
        <f>AC23/AC28-1</f>
        <v>-0.97304649154967893</v>
      </c>
    </row>
    <row r="24" spans="1:33">
      <c r="A24" s="6">
        <v>1000</v>
      </c>
      <c r="B24" s="6">
        <v>145</v>
      </c>
      <c r="C24" s="33">
        <v>23.81</v>
      </c>
      <c r="D24" s="33">
        <v>0.7</v>
      </c>
      <c r="E24" s="33">
        <v>3.83</v>
      </c>
      <c r="F24" s="33">
        <v>0.33</v>
      </c>
      <c r="G24" s="33">
        <v>0.14000000000000001</v>
      </c>
      <c r="H24" s="33">
        <v>0.04</v>
      </c>
      <c r="I24" s="3">
        <f t="shared" si="9"/>
        <v>6.3004491957630444</v>
      </c>
      <c r="J24" s="3">
        <f t="shared" si="10"/>
        <v>0.4221251277776123</v>
      </c>
      <c r="K24" s="6">
        <f t="shared" si="11"/>
        <v>2.2954775498960762</v>
      </c>
      <c r="L24" s="6">
        <f t="shared" si="12"/>
        <v>0.23584795300780712</v>
      </c>
      <c r="M24" s="6">
        <f t="shared" si="13"/>
        <v>5.8107876857749471E-2</v>
      </c>
      <c r="N24" s="6">
        <f t="shared" si="14"/>
        <v>1.4837158452311995E-2</v>
      </c>
      <c r="O24" s="6">
        <f t="shared" si="15"/>
        <v>95.327860899671208</v>
      </c>
      <c r="P24" s="6">
        <f t="shared" si="16"/>
        <v>96.173409066217459</v>
      </c>
      <c r="Q24" s="6">
        <f>(I24/I28-1)*100</f>
        <v>87.48031496062994</v>
      </c>
      <c r="R24" s="6">
        <f>(J24/J28-1)*100</f>
        <v>-94.488188976377955</v>
      </c>
      <c r="S24" s="6">
        <f>(K24/K28-1)*100</f>
        <v>48.449612403100794</v>
      </c>
      <c r="T24" s="6">
        <f t="shared" si="23"/>
        <v>726.83222289521507</v>
      </c>
      <c r="U24" s="6">
        <f t="shared" si="24"/>
        <v>1.3082980012113872</v>
      </c>
      <c r="V24" s="6">
        <f t="shared" si="25"/>
        <v>0.10902483343428225</v>
      </c>
      <c r="W24" s="6">
        <f>I28*(100-U24)/100</f>
        <v>3.3166258261158221</v>
      </c>
      <c r="X24" s="6">
        <f>K28*(100-V24)/100</f>
        <v>1.5446149519706562</v>
      </c>
      <c r="Y24" s="6">
        <f t="shared" si="26"/>
        <v>2.1472185167470976</v>
      </c>
      <c r="Z24" s="6">
        <f>Y24/AA28-1</f>
        <v>-1.2005821004123174E-2</v>
      </c>
      <c r="AA24" s="3">
        <f t="shared" si="21"/>
        <v>2.7447226378006992</v>
      </c>
      <c r="AB24" s="3">
        <f t="shared" si="22"/>
        <v>0.18389425232963977</v>
      </c>
      <c r="AC24" s="3">
        <f t="shared" si="8"/>
        <v>0.10274461321500823</v>
      </c>
      <c r="AD24" s="6">
        <f>AA24/AA28-1</f>
        <v>0.26292222610554883</v>
      </c>
      <c r="AE24" s="6">
        <f>AB24/AB28-1</f>
        <v>-0.96287082913591415</v>
      </c>
      <c r="AF24" s="6">
        <f>AC24/AC28-1</f>
        <v>-0.97747744172942774</v>
      </c>
    </row>
    <row r="25" spans="1:33">
      <c r="A25" s="6">
        <v>1000</v>
      </c>
      <c r="B25" s="6">
        <v>185</v>
      </c>
      <c r="C25" s="33">
        <v>27.31</v>
      </c>
      <c r="D25" s="33">
        <v>0.59</v>
      </c>
      <c r="E25" s="33">
        <v>2.87</v>
      </c>
      <c r="F25" s="33">
        <v>0.47</v>
      </c>
      <c r="G25" s="33">
        <v>0.06</v>
      </c>
      <c r="H25" s="33">
        <v>0.03</v>
      </c>
      <c r="I25" s="3">
        <f t="shared" si="9"/>
        <v>7.2265967045900359</v>
      </c>
      <c r="J25" s="3">
        <f t="shared" si="10"/>
        <v>0.35579117912684466</v>
      </c>
      <c r="K25" s="6">
        <f t="shared" si="11"/>
        <v>1.7201098089299576</v>
      </c>
      <c r="L25" s="6">
        <f t="shared" si="12"/>
        <v>0.33590466034445254</v>
      </c>
      <c r="M25" s="6">
        <f t="shared" si="13"/>
        <v>2.4903375796178344E-2</v>
      </c>
      <c r="N25" s="6">
        <f t="shared" si="14"/>
        <v>1.1127868839233996E-2</v>
      </c>
      <c r="O25" s="6">
        <f t="shared" si="15"/>
        <v>95.105161429307643</v>
      </c>
      <c r="P25" s="6">
        <f t="shared" si="16"/>
        <v>95.417883309680192</v>
      </c>
      <c r="Q25" s="6">
        <f>(I25/I28-1)*100</f>
        <v>115.03937007874016</v>
      </c>
      <c r="R25" s="6">
        <f>(J25/J28-1)*100</f>
        <v>-95.354330708661422</v>
      </c>
      <c r="S25" s="6">
        <f>(K25/K28-1)*100</f>
        <v>11.240310077519378</v>
      </c>
      <c r="T25" s="6">
        <f t="shared" si="23"/>
        <v>733.49485160508789</v>
      </c>
      <c r="U25" s="6">
        <f t="shared" si="24"/>
        <v>1.3202907328891582</v>
      </c>
      <c r="V25" s="6">
        <f t="shared" si="25"/>
        <v>0.11002422774076318</v>
      </c>
      <c r="W25" s="6">
        <f>I28*(100-U25)/100</f>
        <v>3.3162227992878046</v>
      </c>
      <c r="X25" s="6">
        <f>K28*(100-V25)/100</f>
        <v>1.5445994983284614</v>
      </c>
      <c r="Y25" s="6">
        <f t="shared" si="26"/>
        <v>2.1469790731361513</v>
      </c>
      <c r="Z25" s="6">
        <f>Y25/AA28-1</f>
        <v>-1.2115995582056338E-2</v>
      </c>
      <c r="AA25" s="3">
        <f t="shared" si="21"/>
        <v>4.2012414946261734</v>
      </c>
      <c r="AB25" s="3">
        <f t="shared" si="22"/>
        <v>0.20684213140332855</v>
      </c>
      <c r="AC25" s="3">
        <f t="shared" si="8"/>
        <v>0.19528093997290291</v>
      </c>
      <c r="AD25" s="6">
        <f>AA25/AA28-1</f>
        <v>0.93310653241515595</v>
      </c>
      <c r="AE25" s="6">
        <f>AB25/AB28-1</f>
        <v>-0.95823753738099815</v>
      </c>
      <c r="AF25" s="6">
        <f>AC25/AC28-1</f>
        <v>-0.95719263315082126</v>
      </c>
    </row>
    <row r="26" spans="1:33">
      <c r="A26" s="6">
        <v>1000</v>
      </c>
      <c r="B26" s="6">
        <v>208</v>
      </c>
      <c r="C26" s="33">
        <v>18.899999999999999</v>
      </c>
      <c r="D26" s="33">
        <v>4.79</v>
      </c>
      <c r="E26" s="33">
        <v>4.2</v>
      </c>
      <c r="F26" s="33">
        <v>6.61</v>
      </c>
      <c r="G26" s="33">
        <v>0.15</v>
      </c>
      <c r="H26" s="33">
        <v>0.65</v>
      </c>
      <c r="I26" s="3">
        <f t="shared" si="9"/>
        <v>5.0011965476657512</v>
      </c>
      <c r="J26" s="3">
        <f t="shared" si="10"/>
        <v>2.888541945792519</v>
      </c>
      <c r="K26" s="6">
        <f t="shared" si="11"/>
        <v>2.5172338667267673</v>
      </c>
      <c r="L26" s="6">
        <f t="shared" si="12"/>
        <v>4.7241059678230455</v>
      </c>
      <c r="M26" s="6">
        <f t="shared" si="13"/>
        <v>6.2258439490445856E-2</v>
      </c>
      <c r="N26" s="6">
        <f t="shared" si="14"/>
        <v>0.24110382485006995</v>
      </c>
      <c r="O26" s="6">
        <f t="shared" si="15"/>
        <v>49.869017037289701</v>
      </c>
      <c r="P26" s="6">
        <f t="shared" si="16"/>
        <v>50.180540275821294</v>
      </c>
      <c r="Q26" s="6">
        <f>(I26/I28-1)*100</f>
        <v>48.818897637795274</v>
      </c>
      <c r="R26" s="6">
        <f>(J26/J28-1)*100</f>
        <v>-62.283464566929126</v>
      </c>
      <c r="S26" s="6">
        <f>(K26/K28-1)*100</f>
        <v>62.790697674418603</v>
      </c>
      <c r="T26" s="6">
        <f t="shared" si="23"/>
        <v>479.10357359176248</v>
      </c>
      <c r="U26" s="6">
        <f t="shared" si="24"/>
        <v>0.86238643246517244</v>
      </c>
      <c r="V26" s="6">
        <f t="shared" si="25"/>
        <v>7.186553603876436E-2</v>
      </c>
      <c r="W26" s="6">
        <f>I28*(100-U26)/100</f>
        <v>3.331611096357546</v>
      </c>
      <c r="X26" s="6">
        <f>K28*(100-V26)/100</f>
        <v>1.5451895464849867</v>
      </c>
      <c r="Y26" s="6">
        <f t="shared" si="26"/>
        <v>2.1561180658621004</v>
      </c>
      <c r="Z26" s="6">
        <f>Y26/AA28-1</f>
        <v>-7.9108941707652924E-3</v>
      </c>
      <c r="AA26" s="3">
        <f t="shared" si="21"/>
        <v>1.9867826401719888</v>
      </c>
      <c r="AB26" s="3">
        <f t="shared" si="22"/>
        <v>1.1475063894434943</v>
      </c>
      <c r="AC26" s="3">
        <f t="shared" si="8"/>
        <v>1.8767052319878161</v>
      </c>
      <c r="AD26" s="6">
        <f>AA26/AA28-1</f>
        <v>-8.5826771653543243E-2</v>
      </c>
      <c r="AE26" s="6">
        <f>AB26/AB28-1</f>
        <v>-0.76831271091113607</v>
      </c>
      <c r="AF26" s="6">
        <f>AC26/AC28-1</f>
        <v>-0.58860906064553475</v>
      </c>
    </row>
    <row r="27" spans="1:33">
      <c r="A27" s="6">
        <v>1000</v>
      </c>
      <c r="B27" s="6">
        <v>216</v>
      </c>
      <c r="C27" s="33">
        <v>16.54</v>
      </c>
      <c r="D27" s="33">
        <v>4.54</v>
      </c>
      <c r="E27" s="33">
        <v>3.74</v>
      </c>
      <c r="F27" s="33">
        <v>8.4600000000000009</v>
      </c>
      <c r="G27" s="33">
        <v>0.35</v>
      </c>
      <c r="H27" s="33">
        <v>1.86</v>
      </c>
      <c r="I27" s="3">
        <f t="shared" si="9"/>
        <v>4.3767085131424084</v>
      </c>
      <c r="J27" s="3">
        <f t="shared" si="10"/>
        <v>2.737782971586229</v>
      </c>
      <c r="K27" s="6">
        <f t="shared" si="11"/>
        <v>2.2415368241805025</v>
      </c>
      <c r="L27" s="6">
        <f t="shared" si="12"/>
        <v>6.0462838862001469</v>
      </c>
      <c r="M27" s="6">
        <f t="shared" si="13"/>
        <v>0.14526969214437366</v>
      </c>
      <c r="N27" s="6">
        <f t="shared" si="14"/>
        <v>0.68992786803250783</v>
      </c>
      <c r="O27" s="6">
        <f t="shared" si="15"/>
        <v>38.875774248609609</v>
      </c>
      <c r="P27" s="6">
        <f t="shared" si="16"/>
        <v>39.383963961222705</v>
      </c>
      <c r="Q27" s="6">
        <f>(I27/I28-1)*100</f>
        <v>30.236220472440944</v>
      </c>
      <c r="R27" s="6">
        <f>(J27/J28-1)*100</f>
        <v>-64.251968503936993</v>
      </c>
      <c r="S27" s="6">
        <f>(K27/K28-1)*100</f>
        <v>44.961240310077535</v>
      </c>
      <c r="T27" s="6">
        <f t="shared" si="23"/>
        <v>494.24591156874607</v>
      </c>
      <c r="U27" s="6">
        <f t="shared" si="24"/>
        <v>0.88964264082374289</v>
      </c>
      <c r="V27" s="6">
        <f t="shared" si="25"/>
        <v>7.4136886735311908E-2</v>
      </c>
      <c r="W27" s="6">
        <f>I28*(100-U27)/100</f>
        <v>3.3306951262938709</v>
      </c>
      <c r="X27" s="6">
        <f>K28*(100-V27)/100</f>
        <v>1.5451544245709079</v>
      </c>
      <c r="Y27" s="6">
        <f t="shared" si="26"/>
        <v>2.1555742735673884</v>
      </c>
      <c r="Z27" s="6">
        <f>Y27/AA28-1</f>
        <v>-8.1611079322283508E-3</v>
      </c>
      <c r="AA27" s="3">
        <f t="shared" si="21"/>
        <v>1.9525481205255313</v>
      </c>
      <c r="AB27" s="3">
        <f t="shared" si="22"/>
        <v>1.2213865692735841</v>
      </c>
      <c r="AC27" s="3">
        <f t="shared" si="8"/>
        <v>2.6973832510695628</v>
      </c>
      <c r="AD27" s="6">
        <f>AA27/AA28-1</f>
        <v>-0.10157901385321499</v>
      </c>
      <c r="AE27" s="6">
        <f>AB27/AB28-1</f>
        <v>-0.75339593246031411</v>
      </c>
      <c r="AF27" s="6">
        <f>AC27/AC28-1</f>
        <v>-0.40870893812070275</v>
      </c>
    </row>
    <row r="28" spans="1:33" s="2" customFormat="1">
      <c r="A28" s="2">
        <v>1000</v>
      </c>
      <c r="B28" s="2">
        <v>227</v>
      </c>
      <c r="C28" s="31">
        <v>12.7</v>
      </c>
      <c r="D28" s="31">
        <v>12.7</v>
      </c>
      <c r="E28" s="31">
        <v>2.58</v>
      </c>
      <c r="F28" s="31">
        <v>9.8699999999999992</v>
      </c>
      <c r="G28" s="31">
        <v>0.59</v>
      </c>
      <c r="H28" s="31">
        <v>2.25</v>
      </c>
      <c r="I28" s="2">
        <f t="shared" si="9"/>
        <v>3.3605923891722242</v>
      </c>
      <c r="J28" s="2">
        <f t="shared" si="10"/>
        <v>7.6585558896795378</v>
      </c>
      <c r="K28" s="2">
        <f t="shared" si="11"/>
        <v>1.5463008038464428</v>
      </c>
      <c r="L28" s="2">
        <f t="shared" si="12"/>
        <v>7.0539978672335026</v>
      </c>
      <c r="M28" s="2">
        <f t="shared" si="13"/>
        <v>0.24488319532908703</v>
      </c>
      <c r="N28" s="2">
        <f t="shared" si="14"/>
        <v>0.83459016294254973</v>
      </c>
      <c r="AA28" s="2">
        <f t="shared" si="21"/>
        <v>2.1733108983793503</v>
      </c>
      <c r="AB28" s="2">
        <f t="shared" si="22"/>
        <v>4.9528241016423085</v>
      </c>
      <c r="AC28" s="2">
        <f t="shared" si="8"/>
        <v>4.5618535861111846</v>
      </c>
    </row>
    <row r="29" spans="1:33">
      <c r="A29" s="6">
        <v>1100</v>
      </c>
      <c r="B29" s="6">
        <v>0</v>
      </c>
      <c r="C29" s="33">
        <v>11.99</v>
      </c>
      <c r="D29" s="33">
        <v>0.78</v>
      </c>
      <c r="E29" s="33">
        <v>2.2000000000000002</v>
      </c>
      <c r="F29" s="33">
        <v>1.67</v>
      </c>
      <c r="G29" s="33">
        <v>0.55000000000000004</v>
      </c>
      <c r="H29" s="33">
        <v>0.16</v>
      </c>
      <c r="I29" s="3">
        <f t="shared" si="9"/>
        <v>3.1727167516673207</v>
      </c>
      <c r="J29" s="3">
        <f t="shared" si="10"/>
        <v>0.47036799952362524</v>
      </c>
      <c r="K29" s="6">
        <f t="shared" si="11"/>
        <v>1.3185510730473544</v>
      </c>
      <c r="L29" s="6">
        <f t="shared" si="12"/>
        <v>1.193533580372842</v>
      </c>
      <c r="M29" s="6">
        <f t="shared" si="13"/>
        <v>0.22828094479830152</v>
      </c>
      <c r="N29" s="6">
        <f t="shared" si="14"/>
        <v>5.9348633809247979E-2</v>
      </c>
      <c r="O29" s="6">
        <f t="shared" si="15"/>
        <v>68.173584462469563</v>
      </c>
      <c r="P29" s="6">
        <f t="shared" si="16"/>
        <v>71.69010965860025</v>
      </c>
      <c r="Q29" s="3">
        <f>(I29/I40-1)*100</f>
        <v>-12.926652142338412</v>
      </c>
      <c r="R29" s="3">
        <f>(J29/J40-1)*100</f>
        <v>-89.750328515111704</v>
      </c>
      <c r="S29" s="3">
        <f>(K29/K40-1)*100</f>
        <v>-30.817610062893074</v>
      </c>
      <c r="T29" s="6">
        <f t="shared" ref="T29:T39" si="27">R29/-0.13</f>
        <v>690.38714242393621</v>
      </c>
      <c r="U29" s="6">
        <f t="shared" ref="U29:U39" si="28">T29*0.0018</f>
        <v>1.2426968563630851</v>
      </c>
      <c r="V29" s="6">
        <f t="shared" ref="V29:V39" si="29">T29*0.00015</f>
        <v>0.10355807136359042</v>
      </c>
      <c r="W29" s="3">
        <f>I40*(100-U29)/100</f>
        <v>3.5984484086393693</v>
      </c>
      <c r="X29" s="3">
        <f>K40*(100-V29)/100</f>
        <v>1.903931922825453</v>
      </c>
      <c r="Y29" s="6">
        <f t="shared" ref="Y29:Y39" si="30">W29/X29</f>
        <v>1.8900089680198429</v>
      </c>
      <c r="Z29" s="3">
        <f>Y29/AA40-1</f>
        <v>-1.1403196780654712E-2</v>
      </c>
      <c r="AA29" s="3">
        <f t="shared" si="21"/>
        <v>2.4062145308749643</v>
      </c>
      <c r="AB29" s="3">
        <f t="shared" si="22"/>
        <v>0.35673096714906882</v>
      </c>
      <c r="AC29" s="3">
        <f t="shared" si="8"/>
        <v>0.90518570328445469</v>
      </c>
      <c r="AD29" s="3">
        <f>AA29/AA40-1</f>
        <v>0.25860566448801747</v>
      </c>
      <c r="AE29" s="3">
        <f>AB29/AB40-1</f>
        <v>-0.85184565762752362</v>
      </c>
      <c r="AF29" s="3">
        <f>AC29/AC40-1</f>
        <v>-0.7654121388815267</v>
      </c>
      <c r="AG29" s="3"/>
    </row>
    <row r="30" spans="1:33">
      <c r="A30" s="6">
        <v>1100</v>
      </c>
      <c r="B30" s="6">
        <v>9</v>
      </c>
      <c r="C30" s="33">
        <v>14.03</v>
      </c>
      <c r="D30" s="33">
        <v>0.84</v>
      </c>
      <c r="E30" s="33">
        <v>2.54</v>
      </c>
      <c r="F30" s="33">
        <v>1.77</v>
      </c>
      <c r="G30" s="33">
        <v>0.57999999999999996</v>
      </c>
      <c r="H30" s="33">
        <v>0.18</v>
      </c>
      <c r="I30" s="3">
        <f t="shared" si="9"/>
        <v>3.7125284425264815</v>
      </c>
      <c r="J30" s="3">
        <f t="shared" si="10"/>
        <v>0.5065501533331348</v>
      </c>
      <c r="K30" s="6">
        <f t="shared" si="11"/>
        <v>1.5223271479728544</v>
      </c>
      <c r="L30" s="6">
        <f t="shared" si="12"/>
        <v>1.2650026570418744</v>
      </c>
      <c r="M30" s="6">
        <f t="shared" si="13"/>
        <v>0.24073263269639064</v>
      </c>
      <c r="N30" s="6">
        <f t="shared" si="14"/>
        <v>6.6767213035403977E-2</v>
      </c>
      <c r="O30" s="6">
        <f t="shared" si="15"/>
        <v>70.246106048403405</v>
      </c>
      <c r="P30" s="6">
        <f t="shared" si="16"/>
        <v>73.598510882084469</v>
      </c>
      <c r="Q30" s="3">
        <f>(I30/I40-1)*100</f>
        <v>1.8881626724764233</v>
      </c>
      <c r="R30" s="3">
        <f>(J30/J40-1)*100</f>
        <v>-88.961892247043366</v>
      </c>
      <c r="S30" s="3">
        <f>(K30/K40-1)*100</f>
        <v>-20.125786163522019</v>
      </c>
      <c r="T30" s="6">
        <f t="shared" si="27"/>
        <v>684.32224805417968</v>
      </c>
      <c r="U30" s="6">
        <f t="shared" si="28"/>
        <v>1.2317800464975235</v>
      </c>
      <c r="V30" s="6">
        <f t="shared" si="29"/>
        <v>0.10264833720812694</v>
      </c>
      <c r="W30" s="3">
        <f>I40*(100-U30)/100</f>
        <v>3.5988461875968509</v>
      </c>
      <c r="X30" s="3">
        <f>K40*(100-V30)/100</f>
        <v>1.9039492615000488</v>
      </c>
      <c r="Y30" s="6">
        <f t="shared" si="30"/>
        <v>1.8902006793823158</v>
      </c>
      <c r="Z30" s="3">
        <f>Y30/AA40-1</f>
        <v>-1.1302919351664387E-2</v>
      </c>
      <c r="AA30" s="3">
        <f t="shared" si="21"/>
        <v>2.4387191987412957</v>
      </c>
      <c r="AB30" s="3">
        <f t="shared" si="22"/>
        <v>0.33274723767993097</v>
      </c>
      <c r="AC30" s="3">
        <f t="shared" si="8"/>
        <v>0.83096636536132473</v>
      </c>
      <c r="AD30" s="3">
        <f>AA30/AA40-1</f>
        <v>0.27560770589950789</v>
      </c>
      <c r="AE30" s="3">
        <f>AB30/AB40-1</f>
        <v>-0.86180636750235395</v>
      </c>
      <c r="AF30" s="3">
        <f>AC30/AC40-1</f>
        <v>-0.78464681710704531</v>
      </c>
      <c r="AG30" s="3"/>
    </row>
    <row r="31" spans="1:33">
      <c r="A31" s="6">
        <v>1100</v>
      </c>
      <c r="B31" s="6">
        <v>22</v>
      </c>
      <c r="C31" s="33">
        <v>20.78</v>
      </c>
      <c r="D31" s="33">
        <v>0.86</v>
      </c>
      <c r="E31" s="33">
        <v>2.57</v>
      </c>
      <c r="F31" s="33">
        <v>1.69</v>
      </c>
      <c r="G31" s="33">
        <v>0.55000000000000004</v>
      </c>
      <c r="H31" s="33">
        <v>0.23</v>
      </c>
      <c r="I31" s="3">
        <f t="shared" si="9"/>
        <v>5.4986700666928217</v>
      </c>
      <c r="J31" s="3">
        <f t="shared" si="10"/>
        <v>0.51861087126963801</v>
      </c>
      <c r="K31" s="6">
        <f t="shared" si="11"/>
        <v>1.5403073898780455</v>
      </c>
      <c r="L31" s="6">
        <f t="shared" si="12"/>
        <v>1.2078273957066483</v>
      </c>
      <c r="M31" s="6">
        <f t="shared" si="13"/>
        <v>0.22828094479830152</v>
      </c>
      <c r="N31" s="6">
        <f t="shared" si="14"/>
        <v>8.5313661100793969E-2</v>
      </c>
      <c r="O31" s="6">
        <f t="shared" si="15"/>
        <v>78.327606150976223</v>
      </c>
      <c r="P31" s="6">
        <f t="shared" si="16"/>
        <v>80.96029124936851</v>
      </c>
      <c r="Q31" s="3">
        <f>(I31/I40-1)*100</f>
        <v>50.907770515613684</v>
      </c>
      <c r="R31" s="3">
        <f>(J31/J40-1)*100</f>
        <v>-88.699080157687263</v>
      </c>
      <c r="S31" s="3">
        <f>(K31/K40-1)*100</f>
        <v>-19.182389937106926</v>
      </c>
      <c r="T31" s="6">
        <f t="shared" si="27"/>
        <v>682.30061659759428</v>
      </c>
      <c r="U31" s="6">
        <f t="shared" si="28"/>
        <v>1.2281411098756696</v>
      </c>
      <c r="V31" s="6">
        <f t="shared" si="29"/>
        <v>0.10234509248963913</v>
      </c>
      <c r="W31" s="3">
        <f>I40*(100-U31)/100</f>
        <v>3.5989787805826778</v>
      </c>
      <c r="X31" s="3">
        <f>K40*(100-V31)/100</f>
        <v>1.9039550410582473</v>
      </c>
      <c r="Y31" s="6">
        <f t="shared" si="30"/>
        <v>1.8902645823938733</v>
      </c>
      <c r="Z31" s="3">
        <f>Y31/AA40-1</f>
        <v>-1.1269493947864362E-2</v>
      </c>
      <c r="AA31" s="3">
        <f t="shared" si="21"/>
        <v>3.5698524222026755</v>
      </c>
      <c r="AB31" s="3">
        <f t="shared" si="22"/>
        <v>0.33669310079119935</v>
      </c>
      <c r="AC31" s="3">
        <f t="shared" si="8"/>
        <v>0.78414698497439439</v>
      </c>
      <c r="AD31" s="3">
        <f>AA31/AA40-1</f>
        <v>0.86726346396751586</v>
      </c>
      <c r="AE31" s="3">
        <f>AB31/AB40-1</f>
        <v>-0.86016760662041036</v>
      </c>
      <c r="AF31" s="3">
        <f>AC31/AC40-1</f>
        <v>-0.79678052432757429</v>
      </c>
      <c r="AG31" s="3"/>
    </row>
    <row r="32" spans="1:33">
      <c r="A32" s="6">
        <v>1100</v>
      </c>
      <c r="B32" s="6">
        <v>37</v>
      </c>
      <c r="C32" s="33">
        <v>21.69</v>
      </c>
      <c r="D32" s="33">
        <v>0.78</v>
      </c>
      <c r="E32" s="33">
        <v>2.72</v>
      </c>
      <c r="F32" s="33">
        <v>1.44</v>
      </c>
      <c r="G32" s="33">
        <v>0.53</v>
      </c>
      <c r="H32" s="33">
        <v>0.16</v>
      </c>
      <c r="I32" s="3">
        <f t="shared" si="9"/>
        <v>5.7394684189878395</v>
      </c>
      <c r="J32" s="3">
        <f t="shared" si="10"/>
        <v>0.47036799952362524</v>
      </c>
      <c r="K32" s="6">
        <f t="shared" si="11"/>
        <v>1.6302085994040016</v>
      </c>
      <c r="L32" s="6">
        <f t="shared" si="12"/>
        <v>1.0291547040340674</v>
      </c>
      <c r="M32" s="6">
        <f t="shared" si="13"/>
        <v>0.21997981953290874</v>
      </c>
      <c r="N32" s="6">
        <f t="shared" si="14"/>
        <v>5.9348633809247979E-2</v>
      </c>
      <c r="O32" s="6">
        <f t="shared" si="15"/>
        <v>81.434560904698344</v>
      </c>
      <c r="P32" s="6">
        <f t="shared" si="16"/>
        <v>84.058174570591845</v>
      </c>
      <c r="Q32" s="3">
        <f>(I32/I40-1)*100</f>
        <v>57.516339869281083</v>
      </c>
      <c r="R32" s="3">
        <f>(J32/J40-1)*100</f>
        <v>-89.750328515111704</v>
      </c>
      <c r="S32" s="3">
        <f>(K32/K40-1)*100</f>
        <v>-14.465408805031455</v>
      </c>
      <c r="T32" s="6">
        <f t="shared" si="27"/>
        <v>690.38714242393621</v>
      </c>
      <c r="U32" s="6">
        <f t="shared" si="28"/>
        <v>1.2426968563630851</v>
      </c>
      <c r="V32" s="6">
        <f t="shared" si="29"/>
        <v>0.10355807136359042</v>
      </c>
      <c r="W32" s="3">
        <f>I40*(100-U32)/100</f>
        <v>3.5984484086393693</v>
      </c>
      <c r="X32" s="3">
        <f>K40*(100-V32)/100</f>
        <v>1.903931922825453</v>
      </c>
      <c r="Y32" s="6">
        <f t="shared" si="30"/>
        <v>1.8900089680198429</v>
      </c>
      <c r="Z32" s="3">
        <f>Y32/AA40-1</f>
        <v>-1.1403196780654712E-2</v>
      </c>
      <c r="AA32" s="3">
        <f t="shared" si="21"/>
        <v>3.520695707951834</v>
      </c>
      <c r="AB32" s="3">
        <f t="shared" si="22"/>
        <v>0.28853239989998219</v>
      </c>
      <c r="AC32" s="3">
        <f t="shared" si="8"/>
        <v>0.63130246301628068</v>
      </c>
      <c r="AD32" s="3">
        <f>AA32/AA40-1</f>
        <v>0.84155132641291841</v>
      </c>
      <c r="AE32" s="3">
        <f>AB32/AB40-1</f>
        <v>-0.88016928190461463</v>
      </c>
      <c r="AF32" s="3">
        <f>AC32/AC40-1</f>
        <v>-0.83639169953695758</v>
      </c>
      <c r="AG32" s="3"/>
    </row>
    <row r="33" spans="1:33">
      <c r="A33" s="6">
        <v>1100</v>
      </c>
      <c r="B33" s="6">
        <v>54</v>
      </c>
      <c r="C33" s="33">
        <v>22.15</v>
      </c>
      <c r="D33" s="33">
        <v>0.85</v>
      </c>
      <c r="E33" s="33">
        <v>2.81</v>
      </c>
      <c r="F33" s="33">
        <v>1.46</v>
      </c>
      <c r="G33" s="33">
        <v>0.52</v>
      </c>
      <c r="H33" s="33">
        <v>0.15</v>
      </c>
      <c r="I33" s="3">
        <f t="shared" si="9"/>
        <v>5.8611906630051003</v>
      </c>
      <c r="J33" s="3">
        <f t="shared" si="10"/>
        <v>0.51258051230138646</v>
      </c>
      <c r="K33" s="6">
        <f t="shared" si="11"/>
        <v>1.6841493251195754</v>
      </c>
      <c r="L33" s="6">
        <f t="shared" si="12"/>
        <v>1.0434485193678738</v>
      </c>
      <c r="M33" s="6">
        <f t="shared" si="13"/>
        <v>0.21582925690021232</v>
      </c>
      <c r="N33" s="6">
        <f t="shared" si="14"/>
        <v>5.5639344196169983E-2</v>
      </c>
      <c r="O33" s="6">
        <f t="shared" si="15"/>
        <v>81.676458044662382</v>
      </c>
      <c r="P33" s="6">
        <f t="shared" si="16"/>
        <v>84.209139628988311</v>
      </c>
      <c r="Q33" s="3">
        <f>(I33/I40-1)*100</f>
        <v>60.856935366739307</v>
      </c>
      <c r="R33" s="3">
        <f>(J33/J40-1)*100</f>
        <v>-88.830486202365307</v>
      </c>
      <c r="S33" s="3">
        <f>(K33/K40-1)*100</f>
        <v>-11.63522012578616</v>
      </c>
      <c r="T33" s="6">
        <f t="shared" si="27"/>
        <v>683.31143232588693</v>
      </c>
      <c r="U33" s="6">
        <f t="shared" si="28"/>
        <v>1.2299605781865965</v>
      </c>
      <c r="V33" s="6">
        <f t="shared" si="29"/>
        <v>0.10249671484888304</v>
      </c>
      <c r="W33" s="3">
        <f>I40*(100-U33)/100</f>
        <v>3.5989124840897642</v>
      </c>
      <c r="X33" s="3">
        <f>K40*(100-V33)/100</f>
        <v>1.9039521512791482</v>
      </c>
      <c r="Y33" s="6">
        <f t="shared" si="30"/>
        <v>1.8902326309365898</v>
      </c>
      <c r="Z33" s="3">
        <f>Y33/AA40-1</f>
        <v>-1.1286206624398276E-2</v>
      </c>
      <c r="AA33" s="3">
        <f t="shared" si="21"/>
        <v>3.4802084207045909</v>
      </c>
      <c r="AB33" s="3">
        <f t="shared" si="22"/>
        <v>0.30435573892178058</v>
      </c>
      <c r="AC33" s="3">
        <f t="shared" si="8"/>
        <v>0.61957007244223339</v>
      </c>
      <c r="AD33" s="3">
        <f>AA33/AA40-1</f>
        <v>0.82037385931043039</v>
      </c>
      <c r="AE33" s="3">
        <f>AB33/AB40-1</f>
        <v>-0.87359767303744373</v>
      </c>
      <c r="AF33" s="3">
        <f>AC33/AC40-1</f>
        <v>-0.83943226502599011</v>
      </c>
      <c r="AG33" s="3"/>
    </row>
    <row r="34" spans="1:33">
      <c r="A34" s="6">
        <v>1100</v>
      </c>
      <c r="B34" s="6">
        <v>77</v>
      </c>
      <c r="C34" s="33">
        <v>25.87</v>
      </c>
      <c r="D34" s="33">
        <v>0.77</v>
      </c>
      <c r="E34" s="33">
        <v>1.79</v>
      </c>
      <c r="F34" s="33">
        <v>1.41</v>
      </c>
      <c r="G34" s="33">
        <v>0.47</v>
      </c>
      <c r="H34" s="33">
        <v>0.44</v>
      </c>
      <c r="I34" s="3">
        <f t="shared" si="9"/>
        <v>6.8455531581012172</v>
      </c>
      <c r="J34" s="3">
        <f t="shared" si="10"/>
        <v>0.46433764055537363</v>
      </c>
      <c r="K34" s="6">
        <f t="shared" si="11"/>
        <v>1.0728211003430745</v>
      </c>
      <c r="L34" s="6">
        <f t="shared" si="12"/>
        <v>1.0077139810333575</v>
      </c>
      <c r="M34" s="6">
        <f t="shared" si="13"/>
        <v>0.19507644373673033</v>
      </c>
      <c r="N34" s="6">
        <f t="shared" si="14"/>
        <v>0.16320874297543195</v>
      </c>
      <c r="O34" s="6">
        <f t="shared" si="15"/>
        <v>83.364909416141799</v>
      </c>
      <c r="P34" s="6">
        <f t="shared" si="16"/>
        <v>85.393547723110075</v>
      </c>
      <c r="Q34" s="6">
        <f>(I34/I40-1)*100</f>
        <v>87.872185911401644</v>
      </c>
      <c r="R34" s="6">
        <f>(J34/J40-1)*100</f>
        <v>-89.881734559789749</v>
      </c>
      <c r="S34" s="6">
        <f>(K34/K40-1)*100</f>
        <v>-43.710691823899374</v>
      </c>
      <c r="T34" s="6">
        <f t="shared" si="27"/>
        <v>691.39795815222885</v>
      </c>
      <c r="U34" s="6">
        <f t="shared" si="28"/>
        <v>1.2445163246740119</v>
      </c>
      <c r="V34" s="6">
        <f t="shared" si="29"/>
        <v>0.10370969372283433</v>
      </c>
      <c r="W34" s="6">
        <f>I40*(100-U34)/100</f>
        <v>3.5983821121464556</v>
      </c>
      <c r="X34" s="6">
        <f>K40*(100-V34)/100</f>
        <v>1.9039290330463539</v>
      </c>
      <c r="Y34" s="6">
        <f t="shared" si="30"/>
        <v>1.8899770157866214</v>
      </c>
      <c r="Z34" s="6">
        <f>Y34/AA40-1</f>
        <v>-1.1419909863054301E-2</v>
      </c>
      <c r="AA34" s="3">
        <f t="shared" si="21"/>
        <v>6.3808897456547937</v>
      </c>
      <c r="AB34" s="3">
        <f t="shared" si="22"/>
        <v>0.43281926539931437</v>
      </c>
      <c r="AC34" s="3">
        <f t="shared" si="8"/>
        <v>0.93931223081938209</v>
      </c>
      <c r="AD34" s="6">
        <f>AA34/AA40-1</f>
        <v>2.3376176044595374</v>
      </c>
      <c r="AE34" s="6">
        <f>AB34/AB40-1</f>
        <v>-0.82024534022419782</v>
      </c>
      <c r="AF34" s="6">
        <f>AC34/AC40-1</f>
        <v>-0.75656791048422556</v>
      </c>
      <c r="AG34" s="3"/>
    </row>
    <row r="35" spans="1:33">
      <c r="A35" s="6">
        <v>1100</v>
      </c>
      <c r="B35" s="6">
        <v>108</v>
      </c>
      <c r="C35" s="33">
        <v>22.79</v>
      </c>
      <c r="D35" s="33">
        <v>0.92</v>
      </c>
      <c r="E35" s="33">
        <v>3.95</v>
      </c>
      <c r="F35" s="33">
        <v>0.88</v>
      </c>
      <c r="G35" s="33">
        <v>0.34</v>
      </c>
      <c r="H35" s="33">
        <v>0.11</v>
      </c>
      <c r="I35" s="3">
        <f t="shared" si="9"/>
        <v>6.0305433503334642</v>
      </c>
      <c r="J35" s="3">
        <f t="shared" si="10"/>
        <v>0.55479302507914774</v>
      </c>
      <c r="K35" s="6">
        <f t="shared" si="11"/>
        <v>2.3673985175168406</v>
      </c>
      <c r="L35" s="6">
        <f t="shared" si="12"/>
        <v>0.62892787468748568</v>
      </c>
      <c r="M35" s="6">
        <f t="shared" si="13"/>
        <v>0.14111912951167729</v>
      </c>
      <c r="N35" s="6">
        <f t="shared" si="14"/>
        <v>4.0802185743857987E-2</v>
      </c>
      <c r="O35" s="6">
        <f t="shared" si="15"/>
        <v>88.147892623184404</v>
      </c>
      <c r="P35" s="6">
        <f t="shared" si="16"/>
        <v>90.004436843497444</v>
      </c>
      <c r="Q35" s="6">
        <f>(I35/I40-1)*100</f>
        <v>65.504720406681201</v>
      </c>
      <c r="R35" s="6">
        <f>(J35/J40-1)*100</f>
        <v>-87.910643889618925</v>
      </c>
      <c r="S35" s="6">
        <f>(K35/K40-1)*100</f>
        <v>24.213836477987428</v>
      </c>
      <c r="T35" s="6">
        <f t="shared" si="27"/>
        <v>676.23572222783787</v>
      </c>
      <c r="U35" s="6">
        <f t="shared" si="28"/>
        <v>1.2172243000101082</v>
      </c>
      <c r="V35" s="6">
        <f t="shared" si="29"/>
        <v>0.10143535833417568</v>
      </c>
      <c r="W35" s="6">
        <f>I40*(100-U35)/100</f>
        <v>3.5993765595401594</v>
      </c>
      <c r="X35" s="6">
        <f>K40*(100-V35)/100</f>
        <v>1.9039723797328432</v>
      </c>
      <c r="Y35" s="6">
        <f t="shared" si="30"/>
        <v>1.8904562891007946</v>
      </c>
      <c r="Z35" s="6">
        <f>Y35/AA40-1</f>
        <v>-1.1169218954028448E-2</v>
      </c>
      <c r="AA35" s="3">
        <f t="shared" si="21"/>
        <v>2.5473291909715683</v>
      </c>
      <c r="AB35" s="3">
        <f t="shared" si="22"/>
        <v>0.23434712025631788</v>
      </c>
      <c r="AC35" s="3">
        <f t="shared" si="8"/>
        <v>0.26566202100488212</v>
      </c>
      <c r="AD35" s="6">
        <f>AA35/AA40-1</f>
        <v>0.33241774909682587</v>
      </c>
      <c r="AE35" s="6">
        <f>AB35/AB40-1</f>
        <v>-0.90267303182022318</v>
      </c>
      <c r="AF35" s="6">
        <f>AC35/AC40-1</f>
        <v>-0.9311510499317267</v>
      </c>
    </row>
    <row r="36" spans="1:33">
      <c r="A36" s="6">
        <v>1100</v>
      </c>
      <c r="B36" s="6">
        <v>147</v>
      </c>
      <c r="C36" s="33">
        <v>22.67</v>
      </c>
      <c r="D36" s="33">
        <v>0.99</v>
      </c>
      <c r="E36" s="33">
        <v>4.1500000000000004</v>
      </c>
      <c r="F36" s="33">
        <v>0.67</v>
      </c>
      <c r="G36" s="33">
        <v>0.33</v>
      </c>
      <c r="H36" s="33">
        <v>0.12</v>
      </c>
      <c r="I36" s="3">
        <f t="shared" si="9"/>
        <v>5.9987897214593966</v>
      </c>
      <c r="J36" s="3">
        <f t="shared" si="10"/>
        <v>0.59700553785690891</v>
      </c>
      <c r="K36" s="6">
        <f t="shared" si="11"/>
        <v>2.4872667968847821</v>
      </c>
      <c r="L36" s="6">
        <f t="shared" si="12"/>
        <v>0.47884281368251747</v>
      </c>
      <c r="M36" s="6">
        <f t="shared" si="13"/>
        <v>0.1369685668789809</v>
      </c>
      <c r="N36" s="6">
        <f t="shared" si="14"/>
        <v>4.4511475356935983E-2</v>
      </c>
      <c r="O36" s="6">
        <f t="shared" si="15"/>
        <v>90.083921119434649</v>
      </c>
      <c r="P36" s="6">
        <f t="shared" si="16"/>
        <v>91.975732394179005</v>
      </c>
      <c r="Q36" s="6">
        <f>(I36/I40-1)*100</f>
        <v>64.633260711692103</v>
      </c>
      <c r="R36" s="6">
        <f>(J36/J40-1)*100</f>
        <v>-86.990801576872528</v>
      </c>
      <c r="S36" s="6">
        <f>(K36/K40-1)*100</f>
        <v>30.503144654088054</v>
      </c>
      <c r="T36" s="6">
        <f t="shared" si="27"/>
        <v>669.1600121297887</v>
      </c>
      <c r="U36" s="6">
        <f t="shared" si="28"/>
        <v>1.2044880218336196</v>
      </c>
      <c r="V36" s="6">
        <f t="shared" si="29"/>
        <v>0.10037400181946829</v>
      </c>
      <c r="W36" s="6">
        <f>I40*(100-U36)/100</f>
        <v>3.5998406349905538</v>
      </c>
      <c r="X36" s="6">
        <f>K40*(100-V36)/100</f>
        <v>1.9039926081865379</v>
      </c>
      <c r="Y36" s="6">
        <f t="shared" si="30"/>
        <v>1.890679942512608</v>
      </c>
      <c r="Z36" s="6">
        <f>Y36/AA40-1</f>
        <v>-1.1052233769466291E-2</v>
      </c>
      <c r="AA36" s="3">
        <f t="shared" si="21"/>
        <v>2.4117998635983398</v>
      </c>
      <c r="AB36" s="3">
        <f t="shared" si="22"/>
        <v>0.24002472859149579</v>
      </c>
      <c r="AC36" s="3">
        <f t="shared" si="8"/>
        <v>0.19251767212196616</v>
      </c>
      <c r="AD36" s="6">
        <f>AA36/AA40-1</f>
        <v>0.26152715436911067</v>
      </c>
      <c r="AE36" s="6">
        <f>AB36/AB40-1</f>
        <v>-0.90031505786615584</v>
      </c>
      <c r="AF36" s="6">
        <f>AC36/AC40-1</f>
        <v>-0.95010713407566127</v>
      </c>
    </row>
    <row r="37" spans="1:33">
      <c r="A37" s="6">
        <v>1100</v>
      </c>
      <c r="B37" s="6">
        <v>167</v>
      </c>
      <c r="C37" s="33">
        <v>25.1</v>
      </c>
      <c r="D37" s="33">
        <v>0.82</v>
      </c>
      <c r="E37" s="33">
        <v>4.0199999999999996</v>
      </c>
      <c r="F37" s="33">
        <v>0.17</v>
      </c>
      <c r="G37" s="33">
        <v>0.11</v>
      </c>
      <c r="H37" s="33">
        <v>0.03</v>
      </c>
      <c r="I37" s="3">
        <f t="shared" si="9"/>
        <v>6.6418007061592794</v>
      </c>
      <c r="J37" s="3">
        <f t="shared" si="10"/>
        <v>0.49448943539663159</v>
      </c>
      <c r="K37" s="6">
        <f t="shared" si="11"/>
        <v>2.4093524152956198</v>
      </c>
      <c r="L37" s="6">
        <f t="shared" si="12"/>
        <v>0.12149743033735519</v>
      </c>
      <c r="M37" s="6">
        <f t="shared" si="13"/>
        <v>4.5656188959660303E-2</v>
      </c>
      <c r="N37" s="6">
        <f t="shared" si="14"/>
        <v>1.1127868839233996E-2</v>
      </c>
      <c r="O37" s="6">
        <f t="shared" si="15"/>
        <v>97.385933438084265</v>
      </c>
      <c r="P37" s="6">
        <f t="shared" si="16"/>
        <v>98.042265144351319</v>
      </c>
      <c r="Q37" s="6">
        <f>(I37/I40-1)*100</f>
        <v>82.280319535221551</v>
      </c>
      <c r="R37" s="6">
        <f>(J37/J40-1)*100</f>
        <v>-89.224704336399469</v>
      </c>
      <c r="S37" s="6">
        <f>(K37/K40-1)*100</f>
        <v>26.415094339622634</v>
      </c>
      <c r="T37" s="6">
        <f t="shared" si="27"/>
        <v>686.34387951076508</v>
      </c>
      <c r="U37" s="6">
        <f t="shared" si="28"/>
        <v>1.2354189831193771</v>
      </c>
      <c r="V37" s="6">
        <f t="shared" si="29"/>
        <v>0.10295158192661476</v>
      </c>
      <c r="W37" s="6">
        <f>I40*(100-U37)/100</f>
        <v>3.5987135946110236</v>
      </c>
      <c r="X37" s="6">
        <f>K40*(100-V37)/100</f>
        <v>1.9039434819418504</v>
      </c>
      <c r="Y37" s="6">
        <f t="shared" si="30"/>
        <v>1.8901367759827938</v>
      </c>
      <c r="Z37" s="6">
        <f>Y37/AA40-1</f>
        <v>-1.1336344958394973E-2</v>
      </c>
      <c r="AA37" s="3">
        <f t="shared" si="21"/>
        <v>2.7566746416980066</v>
      </c>
      <c r="AB37" s="3">
        <f t="shared" si="22"/>
        <v>0.20523748715936987</v>
      </c>
      <c r="AC37" s="3">
        <f t="shared" si="8"/>
        <v>5.0427421727945038E-2</v>
      </c>
      <c r="AD37" s="6">
        <f>AA37/AA40-1</f>
        <v>0.44191894557712574</v>
      </c>
      <c r="AE37" s="6">
        <f>AB37/AB40-1</f>
        <v>-0.91476258654166753</v>
      </c>
      <c r="AF37" s="6">
        <f>AC37/AC40-1</f>
        <v>-0.98693123304759001</v>
      </c>
    </row>
    <row r="38" spans="1:33">
      <c r="A38" s="6">
        <v>1100</v>
      </c>
      <c r="B38" s="6">
        <v>191</v>
      </c>
      <c r="C38" s="33">
        <v>16.86</v>
      </c>
      <c r="D38" s="33">
        <v>4.6100000000000003</v>
      </c>
      <c r="E38" s="33">
        <v>4.09</v>
      </c>
      <c r="F38" s="33">
        <v>7.23</v>
      </c>
      <c r="G38" s="33">
        <v>0.56999999999999995</v>
      </c>
      <c r="H38" s="33">
        <v>1.62</v>
      </c>
      <c r="I38" s="3">
        <f t="shared" si="9"/>
        <v>4.4613848568065908</v>
      </c>
      <c r="J38" s="3">
        <f t="shared" si="10"/>
        <v>2.7799954843639902</v>
      </c>
      <c r="K38" s="6">
        <f t="shared" si="11"/>
        <v>2.4513063130743995</v>
      </c>
      <c r="L38" s="6">
        <f t="shared" si="12"/>
        <v>5.1672142431710473</v>
      </c>
      <c r="M38" s="6">
        <f t="shared" si="13"/>
        <v>0.23658207006369425</v>
      </c>
      <c r="N38" s="6">
        <f t="shared" si="14"/>
        <v>0.60090491731863582</v>
      </c>
      <c r="O38" s="6">
        <f t="shared" si="15"/>
        <v>42.627060579930308</v>
      </c>
      <c r="P38" s="6">
        <f t="shared" si="16"/>
        <v>43.612914656108273</v>
      </c>
      <c r="Q38" s="6">
        <f>(I38/I40-1)*100</f>
        <v>22.4400871459695</v>
      </c>
      <c r="R38" s="6">
        <f>(J38/J40-1)*100</f>
        <v>-39.42181340341655</v>
      </c>
      <c r="S38" s="6">
        <f>(K38/K40-1)*100</f>
        <v>28.616352201257868</v>
      </c>
      <c r="T38" s="6">
        <f t="shared" si="27"/>
        <v>303.24471848781963</v>
      </c>
      <c r="U38" s="6">
        <f t="shared" si="28"/>
        <v>0.54584049327807527</v>
      </c>
      <c r="V38" s="6">
        <f t="shared" si="29"/>
        <v>4.5486707773172937E-2</v>
      </c>
      <c r="W38" s="6">
        <f>I40*(100-U38)/100</f>
        <v>3.623839965425264</v>
      </c>
      <c r="X38" s="6">
        <f>K40*(100-V38)/100</f>
        <v>1.90503870822048</v>
      </c>
      <c r="Y38" s="6">
        <f t="shared" si="30"/>
        <v>1.9022395449435971</v>
      </c>
      <c r="Z38" s="6">
        <f>Y38/AA40-1</f>
        <v>-5.0058148354147347E-3</v>
      </c>
      <c r="AA38" s="3">
        <f t="shared" si="21"/>
        <v>1.8200030053409255</v>
      </c>
      <c r="AB38" s="3">
        <f t="shared" si="22"/>
        <v>1.1340873515221166</v>
      </c>
      <c r="AC38" s="3">
        <f t="shared" si="8"/>
        <v>2.1079431059312976</v>
      </c>
      <c r="AD38" s="6">
        <f>AA38/AA40-1</f>
        <v>-4.8020838327180848E-2</v>
      </c>
      <c r="AE38" s="6">
        <f>AB38/AB40-1</f>
        <v>-0.52900089638842207</v>
      </c>
      <c r="AF38" s="6">
        <f>AC38/AC40-1</f>
        <v>-0.45370561776928708</v>
      </c>
    </row>
    <row r="39" spans="1:33">
      <c r="A39" s="6">
        <v>1100</v>
      </c>
      <c r="B39" s="6">
        <v>212</v>
      </c>
      <c r="C39" s="33">
        <v>17.149999999999999</v>
      </c>
      <c r="D39" s="33">
        <v>4.5</v>
      </c>
      <c r="E39" s="33">
        <v>3.9</v>
      </c>
      <c r="F39" s="33">
        <v>8.0500000000000007</v>
      </c>
      <c r="G39" s="33">
        <v>0.59</v>
      </c>
      <c r="H39" s="33">
        <v>2.0699999999999998</v>
      </c>
      <c r="I39" s="3">
        <f t="shared" si="9"/>
        <v>4.5381227932522563</v>
      </c>
      <c r="J39" s="3">
        <f t="shared" si="10"/>
        <v>2.7136615357132223</v>
      </c>
      <c r="K39" s="6">
        <f t="shared" si="11"/>
        <v>2.3374314476748554</v>
      </c>
      <c r="L39" s="6">
        <f t="shared" si="12"/>
        <v>5.7532606718571131</v>
      </c>
      <c r="M39" s="6">
        <f t="shared" si="13"/>
        <v>0.24488319532908703</v>
      </c>
      <c r="N39" s="6">
        <f t="shared" si="14"/>
        <v>0.76782294990714572</v>
      </c>
      <c r="O39" s="6">
        <f t="shared" si="15"/>
        <v>40.145849419832324</v>
      </c>
      <c r="P39" s="6">
        <f t="shared" si="16"/>
        <v>41.034796014750754</v>
      </c>
      <c r="Q39" s="6">
        <f>(I39/I40-1)*100</f>
        <v>24.546114742193193</v>
      </c>
      <c r="R39" s="6">
        <f>(J39/J40-1)*100</f>
        <v>-40.867279894875161</v>
      </c>
      <c r="S39" s="6">
        <f>(K39/K40-1)*100</f>
        <v>22.641509433962259</v>
      </c>
      <c r="T39" s="6">
        <f t="shared" si="27"/>
        <v>314.3636914990397</v>
      </c>
      <c r="U39" s="6">
        <f t="shared" si="28"/>
        <v>0.5658546446982714</v>
      </c>
      <c r="V39" s="6">
        <f t="shared" si="29"/>
        <v>4.7154553724855948E-2</v>
      </c>
      <c r="W39" s="6">
        <f>I40*(100-U39)/100</f>
        <v>3.6231107040032144</v>
      </c>
      <c r="X39" s="6">
        <f>K40*(100-V39)/100</f>
        <v>1.9050069206503883</v>
      </c>
      <c r="Y39" s="6">
        <f t="shared" si="30"/>
        <v>1.9018884733322903</v>
      </c>
      <c r="Z39" s="6">
        <f>Y39/AA40-1</f>
        <v>-5.1894479707657037E-3</v>
      </c>
      <c r="AA39" s="3">
        <f t="shared" si="21"/>
        <v>1.9414998449543939</v>
      </c>
      <c r="AB39" s="3">
        <f t="shared" si="22"/>
        <v>1.1609587688283305</v>
      </c>
      <c r="AC39" s="3">
        <f t="shared" si="8"/>
        <v>2.4613601727572081</v>
      </c>
      <c r="AD39" s="6">
        <f>AA39/AA40-1</f>
        <v>1.5529858667113539E-2</v>
      </c>
      <c r="AE39" s="6">
        <f>AB39/AB40-1</f>
        <v>-0.51784089760436669</v>
      </c>
      <c r="AF39" s="6">
        <f>AC39/AC40-1</f>
        <v>-0.36211407639979065</v>
      </c>
    </row>
    <row r="40" spans="1:33" s="2" customFormat="1">
      <c r="A40" s="2">
        <v>1100</v>
      </c>
      <c r="B40" s="2">
        <v>220</v>
      </c>
      <c r="C40" s="31">
        <v>13.77</v>
      </c>
      <c r="D40" s="31">
        <v>7.61</v>
      </c>
      <c r="E40" s="31">
        <v>3.18</v>
      </c>
      <c r="F40" s="31">
        <v>10.29</v>
      </c>
      <c r="G40" s="31">
        <v>0.91</v>
      </c>
      <c r="H40" s="31">
        <v>2.83</v>
      </c>
      <c r="I40" s="2">
        <f t="shared" si="9"/>
        <v>3.6437289132993329</v>
      </c>
      <c r="J40" s="2">
        <f t="shared" si="10"/>
        <v>4.5891031748394715</v>
      </c>
      <c r="K40" s="2">
        <f t="shared" si="11"/>
        <v>1.9059056419502667</v>
      </c>
      <c r="L40" s="2">
        <f t="shared" si="12"/>
        <v>7.3541679892434395</v>
      </c>
      <c r="M40" s="2">
        <f t="shared" si="13"/>
        <v>0.37770119957537157</v>
      </c>
      <c r="N40" s="2">
        <f t="shared" si="14"/>
        <v>1.0497289605010738</v>
      </c>
      <c r="AA40" s="2">
        <f t="shared" si="21"/>
        <v>1.911809710354178</v>
      </c>
      <c r="AB40" s="2">
        <f t="shared" si="22"/>
        <v>2.4078333543016086</v>
      </c>
      <c r="AC40" s="2">
        <f t="shared" si="8"/>
        <v>3.8586212388343104</v>
      </c>
    </row>
    <row r="41" spans="1:33">
      <c r="A41" s="6">
        <v>1200</v>
      </c>
      <c r="B41" s="6">
        <v>0</v>
      </c>
      <c r="C41" s="33">
        <v>10.67</v>
      </c>
      <c r="D41" s="33">
        <v>0.93</v>
      </c>
      <c r="E41" s="33">
        <v>1.73</v>
      </c>
      <c r="F41" s="33">
        <v>2.44</v>
      </c>
      <c r="G41" s="33">
        <v>0.54</v>
      </c>
      <c r="H41" s="33">
        <v>0.14000000000000001</v>
      </c>
      <c r="I41" s="3">
        <f t="shared" si="9"/>
        <v>2.8234268340525697</v>
      </c>
      <c r="J41" s="3">
        <f t="shared" si="10"/>
        <v>0.56082338404739929</v>
      </c>
      <c r="K41" s="6">
        <f t="shared" si="11"/>
        <v>1.0368606165326921</v>
      </c>
      <c r="L41" s="6">
        <f t="shared" si="12"/>
        <v>1.7438454707243918</v>
      </c>
      <c r="M41" s="6">
        <f t="shared" si="13"/>
        <v>0.2241303821656051</v>
      </c>
      <c r="N41" s="6">
        <f t="shared" si="14"/>
        <v>5.1930054583091988E-2</v>
      </c>
      <c r="O41" s="6">
        <f t="shared" si="15"/>
        <v>58.295124137252344</v>
      </c>
      <c r="P41" s="6">
        <f t="shared" si="16"/>
        <v>61.123687909696343</v>
      </c>
      <c r="Q41" s="3">
        <f>(I41/I51-1)*100</f>
        <v>-28.676470588235304</v>
      </c>
      <c r="R41" s="3">
        <f>(J41/J51-1)*100</f>
        <v>-85.670261941448373</v>
      </c>
      <c r="S41" s="3">
        <f>(K41/K51-1)*100</f>
        <v>-45.079365079365083</v>
      </c>
      <c r="T41" s="6">
        <f t="shared" ref="T41:T50" si="31">R41/-0.13</f>
        <v>659.00201493421821</v>
      </c>
      <c r="U41" s="6">
        <f t="shared" ref="U41:U50" si="32">T41*0.0018</f>
        <v>1.1862036268815928</v>
      </c>
      <c r="V41" s="6">
        <f t="shared" ref="V41:V50" si="33">T41*0.00015</f>
        <v>9.885030224013272E-2</v>
      </c>
      <c r="W41" s="3">
        <f>I51*(100-U41)/100</f>
        <v>3.9116617833616276</v>
      </c>
      <c r="X41" s="3">
        <f>K51*(100-V41)/100</f>
        <v>1.8860591800810624</v>
      </c>
      <c r="Y41" s="6">
        <f t="shared" ref="Y41:Y50" si="34">W41/X41</f>
        <v>2.0739867681105877</v>
      </c>
      <c r="Z41" s="3">
        <f>Y41/AA51-1</f>
        <v>-1.0884292402350892E-2</v>
      </c>
      <c r="AA41" s="3">
        <f t="shared" si="21"/>
        <v>2.7230534066326428</v>
      </c>
      <c r="AB41" s="3">
        <f t="shared" si="22"/>
        <v>0.54088599287608929</v>
      </c>
      <c r="AC41" s="3">
        <f t="shared" si="8"/>
        <v>1.6818513915167193</v>
      </c>
      <c r="AD41" s="3">
        <f>AA41/AA51-1</f>
        <v>0.29866541992519546</v>
      </c>
      <c r="AE41" s="3">
        <f>AB41/AB51-1</f>
        <v>-0.73908280413619887</v>
      </c>
      <c r="AF41" s="3">
        <f>AC41/AC51-1</f>
        <v>-0.59426716287908787</v>
      </c>
      <c r="AG41" s="3"/>
    </row>
    <row r="42" spans="1:33">
      <c r="A42" s="6">
        <v>1200</v>
      </c>
      <c r="B42" s="6">
        <v>15</v>
      </c>
      <c r="C42" s="33">
        <v>12.25</v>
      </c>
      <c r="D42" s="33">
        <v>0.84</v>
      </c>
      <c r="E42" s="33">
        <v>1.72</v>
      </c>
      <c r="F42" s="33">
        <v>3.73</v>
      </c>
      <c r="G42" s="33">
        <v>0.5</v>
      </c>
      <c r="H42" s="33">
        <v>0.16</v>
      </c>
      <c r="I42" s="3">
        <f t="shared" si="9"/>
        <v>3.2415162808944684</v>
      </c>
      <c r="J42" s="3">
        <f t="shared" si="10"/>
        <v>0.5065501533331348</v>
      </c>
      <c r="K42" s="6">
        <f t="shared" si="11"/>
        <v>1.0308672025642951</v>
      </c>
      <c r="L42" s="6">
        <f t="shared" si="12"/>
        <v>2.6657965597549107</v>
      </c>
      <c r="M42" s="6">
        <f t="shared" si="13"/>
        <v>0.20752813163481953</v>
      </c>
      <c r="N42" s="6">
        <f t="shared" si="14"/>
        <v>5.9348633809247979E-2</v>
      </c>
      <c r="O42" s="6">
        <f t="shared" si="15"/>
        <v>52.501080914252185</v>
      </c>
      <c r="P42" s="6">
        <f t="shared" si="16"/>
        <v>54.327135782218669</v>
      </c>
      <c r="Q42" s="3">
        <f>(I42/I51-1)*100</f>
        <v>-18.114973262032098</v>
      </c>
      <c r="R42" s="3">
        <f>(J42/J51-1)*100</f>
        <v>-87.057010785824346</v>
      </c>
      <c r="S42" s="3">
        <f>(K42/K51-1)*100</f>
        <v>-45.396825396825399</v>
      </c>
      <c r="T42" s="6">
        <f t="shared" si="31"/>
        <v>669.66931373711031</v>
      </c>
      <c r="U42" s="6">
        <f t="shared" si="32"/>
        <v>1.2054047647267985</v>
      </c>
      <c r="V42" s="6">
        <f t="shared" si="33"/>
        <v>0.10045039706056653</v>
      </c>
      <c r="W42" s="3">
        <f>I51*(100-U42)/100</f>
        <v>3.9109016834579409</v>
      </c>
      <c r="X42" s="3">
        <f>K51*(100-V42)/100</f>
        <v>1.8860289714845229</v>
      </c>
      <c r="Y42" s="6">
        <f t="shared" si="34"/>
        <v>2.073616971206762</v>
      </c>
      <c r="Z42" s="3">
        <f>Y42/AA51-1</f>
        <v>-1.1060654147671101E-2</v>
      </c>
      <c r="AA42" s="3">
        <f t="shared" si="21"/>
        <v>3.1444557289543753</v>
      </c>
      <c r="AB42" s="3">
        <f t="shared" si="22"/>
        <v>0.49138254866687481</v>
      </c>
      <c r="AC42" s="3">
        <f t="shared" si="8"/>
        <v>2.5859747532210826</v>
      </c>
      <c r="AD42" s="3">
        <f>AA42/AA51-1</f>
        <v>0.49963857107324938</v>
      </c>
      <c r="AE42" s="3">
        <f>AB42/AB51-1</f>
        <v>-0.76296269753108537</v>
      </c>
      <c r="AF42" s="3">
        <f>AC42/AC51-1</f>
        <v>-0.37615482637782727</v>
      </c>
      <c r="AG42" s="3"/>
    </row>
    <row r="43" spans="1:33">
      <c r="A43" s="6">
        <v>1200</v>
      </c>
      <c r="B43" s="6">
        <v>28</v>
      </c>
      <c r="C43" s="33">
        <v>19.27</v>
      </c>
      <c r="D43" s="33">
        <v>0.97</v>
      </c>
      <c r="E43" s="33">
        <v>3.02</v>
      </c>
      <c r="F43" s="33">
        <v>2.17</v>
      </c>
      <c r="G43" s="33">
        <v>0.59</v>
      </c>
      <c r="H43" s="33">
        <v>0.1</v>
      </c>
      <c r="I43" s="3">
        <f t="shared" si="9"/>
        <v>5.0991035700274621</v>
      </c>
      <c r="J43" s="3">
        <f t="shared" si="10"/>
        <v>0.5849448199204057</v>
      </c>
      <c r="K43" s="6">
        <f t="shared" si="11"/>
        <v>1.8100110184559135</v>
      </c>
      <c r="L43" s="6">
        <f t="shared" si="12"/>
        <v>1.5508789637180043</v>
      </c>
      <c r="M43" s="6">
        <f t="shared" si="13"/>
        <v>0.24488319532908703</v>
      </c>
      <c r="N43" s="6">
        <f t="shared" si="14"/>
        <v>3.7092896130779991E-2</v>
      </c>
      <c r="O43" s="6">
        <f t="shared" si="15"/>
        <v>73.559348024475852</v>
      </c>
      <c r="P43" s="6">
        <f t="shared" si="16"/>
        <v>76.253118773655416</v>
      </c>
      <c r="Q43" s="3">
        <f>(I43/I51-1)*100</f>
        <v>28.810160427807485</v>
      </c>
      <c r="R43" s="3">
        <f>(J43/J51-1)*100</f>
        <v>-85.05392912172573</v>
      </c>
      <c r="S43" s="3">
        <f>(K43/K51-1)*100</f>
        <v>-4.126984126984123</v>
      </c>
      <c r="T43" s="6">
        <f t="shared" si="31"/>
        <v>654.26099324404402</v>
      </c>
      <c r="U43" s="6">
        <f t="shared" si="32"/>
        <v>1.1776697878392792</v>
      </c>
      <c r="V43" s="6">
        <f t="shared" si="33"/>
        <v>9.8139148986606597E-2</v>
      </c>
      <c r="W43" s="3">
        <f>I51*(100-U43)/100</f>
        <v>3.9119996055410438</v>
      </c>
      <c r="X43" s="3">
        <f>K51*(100-V43)/100</f>
        <v>1.8860726061239692</v>
      </c>
      <c r="Y43" s="6">
        <f t="shared" si="34"/>
        <v>2.0741511184877011</v>
      </c>
      <c r="Z43" s="3">
        <f>Y43/AA51-1</f>
        <v>-1.0805911217836139E-2</v>
      </c>
      <c r="AA43" s="3">
        <f t="shared" si="21"/>
        <v>2.8171671432019303</v>
      </c>
      <c r="AB43" s="3">
        <f t="shared" si="22"/>
        <v>0.32317196633389073</v>
      </c>
      <c r="AC43" s="3">
        <f t="shared" si="8"/>
        <v>0.85683399045881503</v>
      </c>
      <c r="AD43" s="3">
        <f>AA43/AA51-1</f>
        <v>0.34354968658143581</v>
      </c>
      <c r="AE43" s="3">
        <f>AB43/AB51-1</f>
        <v>-0.8441055520974704</v>
      </c>
      <c r="AF43" s="3">
        <f>AC43/AC51-1</f>
        <v>-0.79329583597931597</v>
      </c>
      <c r="AG43" s="3"/>
    </row>
    <row r="44" spans="1:33">
      <c r="A44" s="6">
        <v>1200</v>
      </c>
      <c r="B44" s="6">
        <v>58</v>
      </c>
      <c r="C44" s="33">
        <v>22.79</v>
      </c>
      <c r="D44" s="33">
        <v>1.03</v>
      </c>
      <c r="E44" s="33">
        <v>2.7</v>
      </c>
      <c r="F44" s="33">
        <v>2.02</v>
      </c>
      <c r="G44" s="33">
        <v>0.5</v>
      </c>
      <c r="H44" s="33">
        <v>0.09</v>
      </c>
      <c r="I44" s="3">
        <f t="shared" si="9"/>
        <v>6.0305433503334642</v>
      </c>
      <c r="J44" s="3">
        <f t="shared" si="10"/>
        <v>0.62112697372991532</v>
      </c>
      <c r="K44" s="6">
        <f t="shared" si="11"/>
        <v>1.6182217714672078</v>
      </c>
      <c r="L44" s="6">
        <f t="shared" si="12"/>
        <v>1.4436753487144554</v>
      </c>
      <c r="M44" s="6">
        <f t="shared" si="13"/>
        <v>0.20752813163481953</v>
      </c>
      <c r="N44" s="6">
        <f t="shared" si="14"/>
        <v>3.3383606517701989E-2</v>
      </c>
      <c r="O44" s="6">
        <f t="shared" si="15"/>
        <v>78.165150925455308</v>
      </c>
      <c r="P44" s="6">
        <f t="shared" si="16"/>
        <v>80.325823144132627</v>
      </c>
      <c r="Q44" s="3">
        <f>(I44/I51-1)*100</f>
        <v>52.339572192513351</v>
      </c>
      <c r="R44" s="3">
        <f>(J44/J51-1)*100</f>
        <v>-84.129429892141758</v>
      </c>
      <c r="S44" s="3">
        <f>(K44/K51-1)*100</f>
        <v>-14.285714285714269</v>
      </c>
      <c r="T44" s="6">
        <f t="shared" si="31"/>
        <v>647.14946070878273</v>
      </c>
      <c r="U44" s="6">
        <f t="shared" si="32"/>
        <v>1.1648690292758088</v>
      </c>
      <c r="V44" s="6">
        <f t="shared" si="33"/>
        <v>9.7072419106317406E-2</v>
      </c>
      <c r="W44" s="3">
        <f>I51*(100-U44)/100</f>
        <v>3.9125063388101688</v>
      </c>
      <c r="X44" s="3">
        <f>K51*(100-V44)/100</f>
        <v>1.8860927451883291</v>
      </c>
      <c r="Y44" s="6">
        <f t="shared" si="34"/>
        <v>2.0743976396661763</v>
      </c>
      <c r="Z44" s="3">
        <f>Y44/AA51-1</f>
        <v>-1.0688341533383716E-2</v>
      </c>
      <c r="AA44" s="3">
        <f t="shared" si="21"/>
        <v>3.7266482608658125</v>
      </c>
      <c r="AB44" s="3">
        <f t="shared" si="22"/>
        <v>0.38383303492867515</v>
      </c>
      <c r="AC44" s="3">
        <f t="shared" si="8"/>
        <v>0.89213689629543491</v>
      </c>
      <c r="AD44" s="3">
        <f>AA44/AA51-1</f>
        <v>0.77729500891265557</v>
      </c>
      <c r="AE44" s="3">
        <f>AB44/AB51-1</f>
        <v>-0.81484334874165387</v>
      </c>
      <c r="AF44" s="3">
        <f>AC44/AC51-1</f>
        <v>-0.78477929984779315</v>
      </c>
      <c r="AG44" s="3"/>
    </row>
    <row r="45" spans="1:33">
      <c r="A45" s="6">
        <v>1200</v>
      </c>
      <c r="B45" s="6">
        <v>93</v>
      </c>
      <c r="C45" s="33">
        <v>25.31</v>
      </c>
      <c r="D45" s="33">
        <v>0.81</v>
      </c>
      <c r="E45" s="33">
        <v>2.13</v>
      </c>
      <c r="F45" s="33">
        <v>1.9</v>
      </c>
      <c r="G45" s="33">
        <v>0.32</v>
      </c>
      <c r="H45" s="33">
        <v>0.17</v>
      </c>
      <c r="I45" s="3">
        <f t="shared" si="9"/>
        <v>6.6973695566888978</v>
      </c>
      <c r="J45" s="3">
        <f t="shared" si="10"/>
        <v>0.4884590764283801</v>
      </c>
      <c r="K45" s="6">
        <f t="shared" si="11"/>
        <v>1.2765971752685747</v>
      </c>
      <c r="L45" s="6">
        <f t="shared" si="12"/>
        <v>1.3579124567116165</v>
      </c>
      <c r="M45" s="6">
        <f t="shared" si="13"/>
        <v>0.13281800424628451</v>
      </c>
      <c r="N45" s="6">
        <f t="shared" si="14"/>
        <v>6.3057923422325982E-2</v>
      </c>
      <c r="O45" s="6">
        <f t="shared" si="15"/>
        <v>81.168844476404516</v>
      </c>
      <c r="P45" s="6">
        <f t="shared" si="16"/>
        <v>82.496786397317976</v>
      </c>
      <c r="Q45" s="6">
        <f>(I45/I51-1)*100</f>
        <v>69.184491978609614</v>
      </c>
      <c r="R45" s="6">
        <f>(J45/J51-1)*100</f>
        <v>-87.519260400616332</v>
      </c>
      <c r="S45" s="6">
        <f>(K45/K51-1)*100</f>
        <v>-32.38095238095238</v>
      </c>
      <c r="T45" s="6">
        <f t="shared" si="31"/>
        <v>673.22508000474102</v>
      </c>
      <c r="U45" s="6">
        <f t="shared" si="32"/>
        <v>1.2118051440085338</v>
      </c>
      <c r="V45" s="6">
        <f t="shared" si="33"/>
        <v>0.10098376200071114</v>
      </c>
      <c r="W45" s="6">
        <f>I51*(100-U45)/100</f>
        <v>3.9106483168233779</v>
      </c>
      <c r="X45" s="6">
        <f>K51*(100-V45)/100</f>
        <v>1.886018901952343</v>
      </c>
      <c r="Y45" s="6">
        <f t="shared" si="34"/>
        <v>2.0734937029396718</v>
      </c>
      <c r="Z45" s="6">
        <f>Y45/AA51-1</f>
        <v>-1.111944265158149E-2</v>
      </c>
      <c r="AA45" s="3">
        <f t="shared" si="21"/>
        <v>5.2462669402976569</v>
      </c>
      <c r="AB45" s="3">
        <f t="shared" si="22"/>
        <v>0.38262584775468933</v>
      </c>
      <c r="AC45" s="3">
        <f t="shared" si="8"/>
        <v>1.063696899083248</v>
      </c>
      <c r="AD45" s="6">
        <f>AA45/AA51-1</f>
        <v>1.5020241771484519</v>
      </c>
      <c r="AE45" s="6">
        <f>AB45/AB51-1</f>
        <v>-0.81542568198094567</v>
      </c>
      <c r="AF45" s="6">
        <f>AC45/AC51-1</f>
        <v>-0.7433918579972989</v>
      </c>
      <c r="AG45" s="3"/>
    </row>
    <row r="46" spans="1:33">
      <c r="A46" s="6">
        <v>1200</v>
      </c>
      <c r="B46" s="6">
        <v>119</v>
      </c>
      <c r="C46" s="33">
        <v>22.77</v>
      </c>
      <c r="D46" s="33">
        <v>1.17</v>
      </c>
      <c r="E46" s="33">
        <v>3.77</v>
      </c>
      <c r="F46" s="33">
        <v>1.32</v>
      </c>
      <c r="G46" s="33">
        <v>0.2</v>
      </c>
      <c r="H46" s="33">
        <v>0.02</v>
      </c>
      <c r="I46" s="3">
        <f t="shared" si="9"/>
        <v>6.0252510788544535</v>
      </c>
      <c r="J46" s="3">
        <f t="shared" si="10"/>
        <v>0.70555199928543766</v>
      </c>
      <c r="K46" s="6">
        <f t="shared" si="11"/>
        <v>2.2595170660856936</v>
      </c>
      <c r="L46" s="6">
        <f t="shared" si="12"/>
        <v>0.94339181203122846</v>
      </c>
      <c r="M46" s="6">
        <f t="shared" si="13"/>
        <v>8.3011252653927822E-2</v>
      </c>
      <c r="N46" s="6">
        <f t="shared" si="14"/>
        <v>7.4185792261559974E-3</v>
      </c>
      <c r="O46" s="6">
        <f t="shared" si="15"/>
        <v>85.354710391675098</v>
      </c>
      <c r="P46" s="6">
        <f t="shared" si="16"/>
        <v>86.370383986278981</v>
      </c>
      <c r="Q46" s="6">
        <f>(I46/I51-1)*100</f>
        <v>52.205882352941167</v>
      </c>
      <c r="R46" s="6">
        <f>(J46/J51-1)*100</f>
        <v>-81.972265023112485</v>
      </c>
      <c r="S46" s="6">
        <f>(K46/K51-1)*100</f>
        <v>19.682539682539701</v>
      </c>
      <c r="T46" s="6">
        <f t="shared" si="31"/>
        <v>630.55588479317294</v>
      </c>
      <c r="U46" s="6">
        <f t="shared" si="32"/>
        <v>1.1350005926277114</v>
      </c>
      <c r="V46" s="6">
        <f t="shared" si="33"/>
        <v>9.4583382718975928E-2</v>
      </c>
      <c r="W46" s="6">
        <f>I51*(100-U46)/100</f>
        <v>3.9136887164381267</v>
      </c>
      <c r="X46" s="6">
        <f>K51*(100-V46)/100</f>
        <v>1.8861397363385017</v>
      </c>
      <c r="Y46" s="6">
        <f t="shared" si="34"/>
        <v>2.0749728352765824</v>
      </c>
      <c r="Z46" s="6">
        <f>Y46/AA51-1</f>
        <v>-1.0414022033403358E-2</v>
      </c>
      <c r="AA46" s="3">
        <f t="shared" si="21"/>
        <v>2.6666101218223517</v>
      </c>
      <c r="AB46" s="3">
        <f t="shared" si="22"/>
        <v>0.31225787575382674</v>
      </c>
      <c r="AC46" s="3">
        <f t="shared" si="8"/>
        <v>0.41751922399308389</v>
      </c>
      <c r="AD46" s="6">
        <f>AA46/AA51-1</f>
        <v>0.27174676236542372</v>
      </c>
      <c r="AE46" s="6">
        <f>AB46/AB51-1</f>
        <v>-0.84937038414536958</v>
      </c>
      <c r="AF46" s="6">
        <f>AC46/AC51-1</f>
        <v>-0.89927691580974534</v>
      </c>
    </row>
    <row r="47" spans="1:33">
      <c r="A47" s="6">
        <v>1200</v>
      </c>
      <c r="B47" s="6">
        <v>152</v>
      </c>
      <c r="C47" s="33">
        <v>22.33</v>
      </c>
      <c r="D47" s="33">
        <v>1.1000000000000001</v>
      </c>
      <c r="E47" s="33">
        <v>3.53</v>
      </c>
      <c r="F47" s="33">
        <v>0.61</v>
      </c>
      <c r="G47" s="33">
        <v>0.15</v>
      </c>
      <c r="H47" s="33">
        <v>0.01</v>
      </c>
      <c r="I47" s="3">
        <f t="shared" si="9"/>
        <v>5.9088211063162026</v>
      </c>
      <c r="J47" s="3">
        <f t="shared" si="10"/>
        <v>0.6633394865076766</v>
      </c>
      <c r="K47" s="6">
        <f t="shared" si="11"/>
        <v>2.1156751308441639</v>
      </c>
      <c r="L47" s="6">
        <f t="shared" si="12"/>
        <v>0.43596136768109794</v>
      </c>
      <c r="M47" s="6">
        <f t="shared" si="13"/>
        <v>6.2258439490445856E-2</v>
      </c>
      <c r="N47" s="6">
        <f t="shared" si="14"/>
        <v>3.7092896130779987E-3</v>
      </c>
      <c r="O47" s="6">
        <f t="shared" si="15"/>
        <v>92.170509209018263</v>
      </c>
      <c r="P47" s="6">
        <f t="shared" si="16"/>
        <v>93.07440769137682</v>
      </c>
      <c r="Q47" s="6">
        <f>(I47/I51-1)*100</f>
        <v>49.264705882352921</v>
      </c>
      <c r="R47" s="6">
        <f>(J47/J51-1)*100</f>
        <v>-83.050847457627114</v>
      </c>
      <c r="S47" s="6">
        <f>(K47/K51-1)*100</f>
        <v>12.063492063492065</v>
      </c>
      <c r="T47" s="6">
        <f t="shared" si="31"/>
        <v>638.85267275097783</v>
      </c>
      <c r="U47" s="6">
        <f t="shared" si="32"/>
        <v>1.14993481095176</v>
      </c>
      <c r="V47" s="6">
        <f t="shared" si="33"/>
        <v>9.582790091264666E-2</v>
      </c>
      <c r="W47" s="6">
        <f>I51*(100-U47)/100</f>
        <v>3.9130975276241475</v>
      </c>
      <c r="X47" s="6">
        <f>K51*(100-V47)/100</f>
        <v>1.8861162407634153</v>
      </c>
      <c r="Y47" s="6">
        <f t="shared" si="34"/>
        <v>2.0746852410540195</v>
      </c>
      <c r="Z47" s="6">
        <f>Y47/AA51-1</f>
        <v>-1.0551180074778177E-2</v>
      </c>
      <c r="AA47" s="3">
        <f t="shared" si="21"/>
        <v>2.7928773279849239</v>
      </c>
      <c r="AB47" s="3">
        <f t="shared" si="22"/>
        <v>0.31353560706789663</v>
      </c>
      <c r="AC47" s="3">
        <f t="shared" si="8"/>
        <v>0.20606252884730342</v>
      </c>
      <c r="AD47" s="6">
        <f>AA47/AA51-1</f>
        <v>0.33196550574904182</v>
      </c>
      <c r="AE47" s="6">
        <f>AB47/AB51-1</f>
        <v>-0.84875402122245158</v>
      </c>
      <c r="AF47" s="6">
        <f>AC47/AC51-1</f>
        <v>-0.9502891070666305</v>
      </c>
    </row>
    <row r="48" spans="1:33">
      <c r="A48" s="6">
        <v>1200</v>
      </c>
      <c r="B48" s="6">
        <v>180</v>
      </c>
      <c r="C48" s="33">
        <v>25.28</v>
      </c>
      <c r="D48" s="33">
        <v>0.96</v>
      </c>
      <c r="E48" s="33">
        <v>2.87</v>
      </c>
      <c r="F48" s="33">
        <v>0.41</v>
      </c>
      <c r="G48" s="33">
        <v>0.06</v>
      </c>
      <c r="H48" s="33">
        <v>5.0000000000000001E-3</v>
      </c>
      <c r="I48" s="3">
        <f t="shared" ref="I48:I61" si="35">C48*26.98/101.96</f>
        <v>6.6894311494703809</v>
      </c>
      <c r="J48" s="3">
        <f t="shared" ref="J48:J61" si="36">D48*24.305/40.3044</f>
        <v>0.57891446095215404</v>
      </c>
      <c r="K48" s="6">
        <f t="shared" ref="K48:K61" si="37">E48*47.867/79.866</f>
        <v>1.7201098089299576</v>
      </c>
      <c r="L48" s="6">
        <f t="shared" ref="L48:L61" si="38">F48*40.078/56.0774</f>
        <v>0.29302321434303302</v>
      </c>
      <c r="M48" s="6">
        <f t="shared" ref="M48:M61" si="39">G48*39.0983/94.2</f>
        <v>2.4903375796178344E-2</v>
      </c>
      <c r="N48" s="6">
        <f t="shared" ref="N48:N61" si="40">H48*22.989769/61.9789</f>
        <v>1.8546448065389993E-3</v>
      </c>
      <c r="O48" s="6">
        <f t="shared" ref="O48:O60" si="41">100*(I48/(I48+L48+M48+N48))</f>
        <v>95.437700879820213</v>
      </c>
      <c r="P48" s="6">
        <f t="shared" ref="P48:P60" si="42">100*(I48/(I48+L48+N48))</f>
        <v>95.777995234952556</v>
      </c>
      <c r="Q48" s="6">
        <f>(I48/I51-1)*100</f>
        <v>68.983957219251323</v>
      </c>
      <c r="R48" s="6">
        <f>(J48/J51-1)*100</f>
        <v>-85.208012326656402</v>
      </c>
      <c r="S48" s="6">
        <f>(K48/K51-1)*100</f>
        <v>-8.8888888888888911</v>
      </c>
      <c r="T48" s="6">
        <f t="shared" si="31"/>
        <v>655.44624866658773</v>
      </c>
      <c r="U48" s="6">
        <f t="shared" si="32"/>
        <v>1.1798032475998579</v>
      </c>
      <c r="V48" s="6">
        <f t="shared" si="33"/>
        <v>9.8316937299988152E-2</v>
      </c>
      <c r="W48" s="6">
        <f>I51*(100-U48)/100</f>
        <v>3.9119151499961897</v>
      </c>
      <c r="X48" s="6">
        <f>K51*(100-V48)/100</f>
        <v>1.8860692496132427</v>
      </c>
      <c r="Y48" s="6">
        <f t="shared" si="34"/>
        <v>2.0741100311127849</v>
      </c>
      <c r="Z48" s="6">
        <f>Y48/AA51-1</f>
        <v>-1.0825506409347652E-2</v>
      </c>
      <c r="AA48" s="3">
        <f t="shared" ref="AA48:AA61" si="43">I48/K48</f>
        <v>3.8889558763877572</v>
      </c>
      <c r="AB48" s="3">
        <f t="shared" ref="AB48:AB61" si="44">J48/K48</f>
        <v>0.33655668838507696</v>
      </c>
      <c r="AC48" s="3">
        <f t="shared" si="8"/>
        <v>0.17035145827423442</v>
      </c>
      <c r="AD48" s="6">
        <f>AA48/AA51-1</f>
        <v>0.85470196947958788</v>
      </c>
      <c r="AE48" s="6">
        <f>AB48/AB51-1</f>
        <v>-0.83764891578037504</v>
      </c>
      <c r="AF48" s="6">
        <f>AC48/AC51-1</f>
        <v>-0.95890410958904115</v>
      </c>
    </row>
    <row r="49" spans="1:33">
      <c r="A49" s="6">
        <v>1200</v>
      </c>
      <c r="B49" s="6">
        <v>195</v>
      </c>
      <c r="C49" s="33">
        <v>18.7</v>
      </c>
      <c r="D49" s="33">
        <v>7.56</v>
      </c>
      <c r="E49" s="33">
        <v>3.98</v>
      </c>
      <c r="F49" s="33">
        <v>4.53</v>
      </c>
      <c r="G49" s="33">
        <v>0.02</v>
      </c>
      <c r="H49" s="33">
        <v>0.11</v>
      </c>
      <c r="I49" s="3">
        <f t="shared" si="35"/>
        <v>4.9482738328756382</v>
      </c>
      <c r="J49" s="3">
        <f t="shared" si="36"/>
        <v>4.5589513799982129</v>
      </c>
      <c r="K49" s="6">
        <f t="shared" si="37"/>
        <v>2.3853787594220321</v>
      </c>
      <c r="L49" s="6">
        <f t="shared" si="38"/>
        <v>3.2375491731071704</v>
      </c>
      <c r="M49" s="6">
        <f t="shared" si="39"/>
        <v>8.3011252653927819E-3</v>
      </c>
      <c r="N49" s="6">
        <f t="shared" si="40"/>
        <v>4.0802185743857987E-2</v>
      </c>
      <c r="O49" s="6">
        <f t="shared" si="41"/>
        <v>60.088865915719282</v>
      </c>
      <c r="P49" s="6">
        <f t="shared" si="42"/>
        <v>60.149498944621996</v>
      </c>
      <c r="Q49" s="6">
        <f>(I49/I51-1)*100</f>
        <v>25</v>
      </c>
      <c r="R49" s="6">
        <f>(J49/J51-1)*100</f>
        <v>16.486902927580882</v>
      </c>
      <c r="S49" s="6">
        <f>(K49/K51-1)*100</f>
        <v>26.349206349206366</v>
      </c>
      <c r="T49" s="6">
        <f t="shared" si="31"/>
        <v>-126.82233021216062</v>
      </c>
      <c r="U49" s="6">
        <f t="shared" si="32"/>
        <v>-0.22828019438188912</v>
      </c>
      <c r="V49" s="6">
        <f t="shared" si="33"/>
        <v>-1.902334953182409E-2</v>
      </c>
      <c r="W49" s="6">
        <f>I51*(100-U49)/100</f>
        <v>3.9676558095999002</v>
      </c>
      <c r="X49" s="6">
        <f>K51*(100-V49)/100</f>
        <v>1.888284546692826</v>
      </c>
      <c r="Y49" s="6">
        <f t="shared" si="34"/>
        <v>2.1011959328634662</v>
      </c>
      <c r="Z49" s="6">
        <f>Y49/AA51-1</f>
        <v>2.0921704476037917E-3</v>
      </c>
      <c r="AA49" s="3">
        <f t="shared" si="43"/>
        <v>2.0744185020221213</v>
      </c>
      <c r="AB49" s="3">
        <f t="shared" si="44"/>
        <v>1.9112064958199044</v>
      </c>
      <c r="AC49" s="3">
        <f t="shared" si="8"/>
        <v>1.3572474225819029</v>
      </c>
      <c r="AD49" s="6">
        <f>AA49/AA51-1</f>
        <v>-1.0678391959799138E-2</v>
      </c>
      <c r="AE49" s="6">
        <f>AB49/AB51-1</f>
        <v>-7.8055919040503241E-2</v>
      </c>
      <c r="AF49" s="6">
        <f>AC49/AC51-1</f>
        <v>-0.67257520479107868</v>
      </c>
    </row>
    <row r="50" spans="1:33">
      <c r="A50" s="6">
        <v>1200</v>
      </c>
      <c r="B50" s="6">
        <v>208</v>
      </c>
      <c r="C50" s="33">
        <v>16.38</v>
      </c>
      <c r="D50" s="33">
        <v>7.25</v>
      </c>
      <c r="E50" s="33">
        <v>3.25</v>
      </c>
      <c r="F50" s="33">
        <v>8.2100000000000009</v>
      </c>
      <c r="G50" s="33">
        <v>0.74</v>
      </c>
      <c r="H50" s="33">
        <v>1.9</v>
      </c>
      <c r="I50" s="3">
        <f t="shared" si="35"/>
        <v>4.3343703413103176</v>
      </c>
      <c r="J50" s="3">
        <f t="shared" si="36"/>
        <v>4.372010251982414</v>
      </c>
      <c r="K50" s="6">
        <f t="shared" si="37"/>
        <v>1.9478595397290461</v>
      </c>
      <c r="L50" s="6">
        <f t="shared" si="38"/>
        <v>5.8676111945275657</v>
      </c>
      <c r="M50" s="6">
        <f t="shared" si="39"/>
        <v>0.30714163481953294</v>
      </c>
      <c r="N50" s="6">
        <f t="shared" si="40"/>
        <v>0.70476502648481976</v>
      </c>
      <c r="O50" s="6">
        <f t="shared" si="41"/>
        <v>38.651806270147176</v>
      </c>
      <c r="P50" s="6">
        <f t="shared" si="42"/>
        <v>39.740268250876717</v>
      </c>
      <c r="Q50" s="6">
        <f>(I50/I51-1)*100</f>
        <v>9.4919786096256509</v>
      </c>
      <c r="R50" s="6">
        <f>(J50/J51-1)*100</f>
        <v>11.710323574730364</v>
      </c>
      <c r="S50" s="6">
        <f>(K50/K51-1)*100</f>
        <v>3.1746031746031855</v>
      </c>
      <c r="T50" s="6">
        <f t="shared" si="31"/>
        <v>-90.079412113310482</v>
      </c>
      <c r="U50" s="6">
        <f t="shared" si="32"/>
        <v>-0.16214294180395886</v>
      </c>
      <c r="V50" s="6">
        <f t="shared" si="33"/>
        <v>-1.3511911816996571E-2</v>
      </c>
      <c r="W50" s="6">
        <f>I51*(100-U50)/100</f>
        <v>3.9650376877094224</v>
      </c>
      <c r="X50" s="6">
        <f>K51*(100-V50)/100</f>
        <v>1.8881804948602998</v>
      </c>
      <c r="Y50" s="6">
        <f t="shared" si="34"/>
        <v>2.0999251387790565</v>
      </c>
      <c r="Z50" s="6">
        <f>Y50/AA51-1</f>
        <v>1.4861094980649359E-3</v>
      </c>
      <c r="AA50" s="3">
        <f t="shared" si="43"/>
        <v>2.2251965569926275</v>
      </c>
      <c r="AB50" s="3">
        <f t="shared" si="44"/>
        <v>2.2445202864014391</v>
      </c>
      <c r="AC50" s="3">
        <f t="shared" si="8"/>
        <v>3.0123379406216171</v>
      </c>
      <c r="AD50" s="6">
        <f>AA50/AA51-1</f>
        <v>6.1229946524063994E-2</v>
      </c>
      <c r="AE50" s="6">
        <f>AB50/AB51-1</f>
        <v>8.2730828493540409E-2</v>
      </c>
      <c r="AF50" s="6">
        <f>AC50/AC51-1</f>
        <v>-0.27329820864067433</v>
      </c>
    </row>
    <row r="51" spans="1:33" s="2" customFormat="1">
      <c r="A51" s="2">
        <v>1200</v>
      </c>
      <c r="B51" s="2">
        <v>217</v>
      </c>
      <c r="C51" s="31">
        <v>14.96</v>
      </c>
      <c r="D51" s="31">
        <v>6.49</v>
      </c>
      <c r="E51" s="31">
        <v>3.15</v>
      </c>
      <c r="F51" s="31">
        <v>10.95</v>
      </c>
      <c r="G51" s="31">
        <v>0.68</v>
      </c>
      <c r="H51" s="31">
        <v>2.54</v>
      </c>
      <c r="I51" s="2">
        <f t="shared" si="35"/>
        <v>3.9586190663005105</v>
      </c>
      <c r="J51" s="2">
        <f t="shared" si="36"/>
        <v>3.9137029703952919</v>
      </c>
      <c r="K51" s="2">
        <f t="shared" si="37"/>
        <v>1.8879254000450754</v>
      </c>
      <c r="L51" s="2">
        <f t="shared" si="38"/>
        <v>7.8258638952590536</v>
      </c>
      <c r="M51" s="2">
        <f t="shared" si="39"/>
        <v>0.28223825902335459</v>
      </c>
      <c r="N51" s="2">
        <f t="shared" si="40"/>
        <v>0.9421595617218117</v>
      </c>
      <c r="AA51" s="2">
        <f t="shared" si="43"/>
        <v>2.0968090509328365</v>
      </c>
      <c r="AB51" s="2">
        <f t="shared" si="44"/>
        <v>2.0730178058422486</v>
      </c>
      <c r="AC51" s="2">
        <f t="shared" si="8"/>
        <v>4.1452188180063718</v>
      </c>
    </row>
    <row r="52" spans="1:33">
      <c r="A52" s="6">
        <v>1300</v>
      </c>
      <c r="B52" s="6">
        <v>0</v>
      </c>
      <c r="C52" s="33">
        <v>11.09</v>
      </c>
      <c r="D52" s="33">
        <v>0.64</v>
      </c>
      <c r="E52" s="33">
        <v>2.92</v>
      </c>
      <c r="F52" s="33">
        <v>1.2</v>
      </c>
      <c r="G52" s="33">
        <v>0.67</v>
      </c>
      <c r="H52" s="33">
        <v>0.09</v>
      </c>
      <c r="I52" s="3">
        <f t="shared" si="35"/>
        <v>2.9345645351118086</v>
      </c>
      <c r="J52" s="3">
        <f t="shared" si="36"/>
        <v>0.38594297396810273</v>
      </c>
      <c r="K52" s="6">
        <f t="shared" si="37"/>
        <v>1.750076878771943</v>
      </c>
      <c r="L52" s="6">
        <f t="shared" si="38"/>
        <v>0.85762892002838942</v>
      </c>
      <c r="M52" s="6">
        <f t="shared" si="39"/>
        <v>0.27808769639065822</v>
      </c>
      <c r="N52" s="6">
        <f t="shared" si="40"/>
        <v>3.3383606517701989E-2</v>
      </c>
      <c r="O52" s="6">
        <f t="shared" si="41"/>
        <v>71.510825277728102</v>
      </c>
      <c r="P52" s="6">
        <f t="shared" si="42"/>
        <v>76.709068666363464</v>
      </c>
      <c r="Q52" s="3">
        <f>(I52/I61-1)*100</f>
        <v>-25.420309347679893</v>
      </c>
      <c r="R52" s="3">
        <f>(J52/J61-1)*100</f>
        <v>-87.2</v>
      </c>
      <c r="S52" s="3">
        <f>(K52/K61-1)*100</f>
        <v>-26.448362720403029</v>
      </c>
      <c r="T52" s="6">
        <f t="shared" ref="T52:T60" si="45">R52/-0.13</f>
        <v>670.76923076923072</v>
      </c>
      <c r="U52" s="6">
        <f t="shared" ref="U52:U60" si="46">T52*0.0018</f>
        <v>1.2073846153846153</v>
      </c>
      <c r="V52" s="6">
        <f t="shared" ref="V52:V60" si="47">T52*0.00015</f>
        <v>0.10061538461538459</v>
      </c>
      <c r="W52" s="3">
        <f>I61*(100-U52)/100</f>
        <v>3.8872956283791535</v>
      </c>
      <c r="X52" s="3">
        <f>K61*(100-V52)/100</f>
        <v>2.3769913177368251</v>
      </c>
      <c r="Y52" s="6">
        <f t="shared" ref="Y52:Y60" si="48">W52/X52</f>
        <v>1.6353848663108772</v>
      </c>
      <c r="Z52" s="3">
        <f>Y52/AA61-1</f>
        <v>-1.1078839324489609E-2</v>
      </c>
      <c r="AA52" s="3">
        <f t="shared" si="43"/>
        <v>1.6768203561268917</v>
      </c>
      <c r="AB52" s="3">
        <f t="shared" si="44"/>
        <v>0.22052915426145456</v>
      </c>
      <c r="AC52" s="3">
        <f t="shared" si="8"/>
        <v>0.4900521402409484</v>
      </c>
      <c r="AD52" s="3">
        <f>AA52/AA61-1</f>
        <v>1.3977300992160435E-2</v>
      </c>
      <c r="AE52" s="3">
        <f>AB52/AB61-1</f>
        <v>-0.82597260273972606</v>
      </c>
      <c r="AF52" s="3">
        <f>AC52/AC61-1</f>
        <v>-0.8207135330423001</v>
      </c>
      <c r="AG52" s="3"/>
    </row>
    <row r="53" spans="1:33">
      <c r="A53" s="6">
        <v>1300</v>
      </c>
      <c r="B53" s="6">
        <v>12</v>
      </c>
      <c r="C53" s="33">
        <v>12.81</v>
      </c>
      <c r="D53" s="33">
        <v>0.69</v>
      </c>
      <c r="E53" s="33">
        <v>3.53</v>
      </c>
      <c r="F53" s="33">
        <v>1.1599999999999999</v>
      </c>
      <c r="G53" s="33">
        <v>0.74</v>
      </c>
      <c r="H53" s="33">
        <v>0.1</v>
      </c>
      <c r="I53" s="3">
        <f t="shared" si="35"/>
        <v>3.3896998823067874</v>
      </c>
      <c r="J53" s="3">
        <f t="shared" si="36"/>
        <v>0.41609476880936069</v>
      </c>
      <c r="K53" s="6">
        <f t="shared" si="37"/>
        <v>2.1156751308441639</v>
      </c>
      <c r="L53" s="6">
        <f t="shared" si="38"/>
        <v>0.82904128936077637</v>
      </c>
      <c r="M53" s="6">
        <f t="shared" si="39"/>
        <v>0.30714163481953294</v>
      </c>
      <c r="N53" s="6">
        <f t="shared" si="40"/>
        <v>3.7092896130779991E-2</v>
      </c>
      <c r="O53" s="6">
        <f t="shared" si="41"/>
        <v>74.287046506998593</v>
      </c>
      <c r="P53" s="6">
        <f t="shared" si="42"/>
        <v>79.648309316259841</v>
      </c>
      <c r="Q53" s="3">
        <f>(I53/I61-1)*100</f>
        <v>-13.853396099529247</v>
      </c>
      <c r="R53" s="3">
        <f>(J53/J61-1)*100</f>
        <v>-86.200000000000017</v>
      </c>
      <c r="S53" s="3">
        <f>(K53/K61-1)*100</f>
        <v>-11.083123425692708</v>
      </c>
      <c r="T53" s="6">
        <f t="shared" si="45"/>
        <v>663.07692307692321</v>
      </c>
      <c r="U53" s="6">
        <f t="shared" si="46"/>
        <v>1.1935384615384617</v>
      </c>
      <c r="V53" s="6">
        <f t="shared" si="47"/>
        <v>9.9461538461538476E-2</v>
      </c>
      <c r="W53" s="3">
        <f>I61*(100-U53)/100</f>
        <v>3.8878404473730268</v>
      </c>
      <c r="X53" s="3">
        <f>K61*(100-V53)/100</f>
        <v>2.3770187721831184</v>
      </c>
      <c r="Y53" s="6">
        <f t="shared" si="48"/>
        <v>1.6355951803453066</v>
      </c>
      <c r="Z53" s="3">
        <f>Y53/AA61-1</f>
        <v>-1.0951661922204203E-2</v>
      </c>
      <c r="AA53" s="3">
        <f t="shared" si="43"/>
        <v>1.602183545521132</v>
      </c>
      <c r="AB53" s="3">
        <f t="shared" si="44"/>
        <v>0.19667233534258968</v>
      </c>
      <c r="AC53" s="3">
        <f t="shared" si="8"/>
        <v>0.39185661223421631</v>
      </c>
      <c r="AD53" s="3">
        <f>AA53/AA61-1</f>
        <v>-3.1155757833232434E-2</v>
      </c>
      <c r="AE53" s="3">
        <f>AB53/AB61-1</f>
        <v>-0.84479886685552408</v>
      </c>
      <c r="AF53" s="3">
        <f>AC53/AC61-1</f>
        <v>-0.85663854559038688</v>
      </c>
      <c r="AG53" s="3"/>
    </row>
    <row r="54" spans="1:33">
      <c r="A54" s="6">
        <v>1300</v>
      </c>
      <c r="B54" s="6">
        <v>29</v>
      </c>
      <c r="C54" s="33">
        <v>19.100000000000001</v>
      </c>
      <c r="D54" s="33">
        <v>0.39</v>
      </c>
      <c r="E54" s="33">
        <v>2.29</v>
      </c>
      <c r="F54" s="33">
        <v>0.78</v>
      </c>
      <c r="G54" s="33">
        <v>0.36</v>
      </c>
      <c r="H54" s="33">
        <v>0.08</v>
      </c>
      <c r="I54" s="3">
        <f t="shared" si="35"/>
        <v>5.054119262455866</v>
      </c>
      <c r="J54" s="3">
        <f t="shared" si="36"/>
        <v>0.23518399976181262</v>
      </c>
      <c r="K54" s="6">
        <f t="shared" si="37"/>
        <v>1.3724917987629277</v>
      </c>
      <c r="L54" s="6">
        <f t="shared" si="38"/>
        <v>0.55745879801845311</v>
      </c>
      <c r="M54" s="6">
        <f t="shared" si="39"/>
        <v>0.14942025477707005</v>
      </c>
      <c r="N54" s="6">
        <f t="shared" si="40"/>
        <v>2.9674316904623989E-2</v>
      </c>
      <c r="O54" s="6">
        <f t="shared" si="41"/>
        <v>87.280348648790579</v>
      </c>
      <c r="P54" s="6">
        <f t="shared" si="42"/>
        <v>89.592149479476532</v>
      </c>
      <c r="Q54" s="3">
        <f>(I54/I61-1)*100</f>
        <v>28.446536650975141</v>
      </c>
      <c r="R54" s="3">
        <f>(J54/J61-1)*100</f>
        <v>-92.2</v>
      </c>
      <c r="S54" s="3">
        <f>(K54/K61-1)*100</f>
        <v>-42.317380352644854</v>
      </c>
      <c r="T54" s="6">
        <f t="shared" si="45"/>
        <v>709.23076923076928</v>
      </c>
      <c r="U54" s="6">
        <f t="shared" si="46"/>
        <v>1.2766153846153847</v>
      </c>
      <c r="V54" s="6">
        <f t="shared" si="47"/>
        <v>0.10638461538461538</v>
      </c>
      <c r="W54" s="3">
        <f>I61*(100-U54)/100</f>
        <v>3.8845715334097837</v>
      </c>
      <c r="X54" s="3">
        <f>K61*(100-V54)/100</f>
        <v>2.3768540455053566</v>
      </c>
      <c r="Y54" s="6">
        <f t="shared" si="48"/>
        <v>1.6343332232601866</v>
      </c>
      <c r="Z54" s="3">
        <f>Y54/AA61-1</f>
        <v>-1.1714770405747088E-2</v>
      </c>
      <c r="AA54" s="3">
        <f t="shared" si="43"/>
        <v>3.6824404102168851</v>
      </c>
      <c r="AB54" s="3">
        <f t="shared" si="44"/>
        <v>0.17135548640348289</v>
      </c>
      <c r="AC54" s="3">
        <f t="shared" si="8"/>
        <v>0.40616548566695204</v>
      </c>
      <c r="AD54" s="3">
        <f>AA54/AA61-1</f>
        <v>1.2267805698880849</v>
      </c>
      <c r="AE54" s="3">
        <f>AB54/AB61-1</f>
        <v>-0.86477729257641922</v>
      </c>
      <c r="AF54" s="3">
        <f>AC54/AC61-1</f>
        <v>-0.85140361821584531</v>
      </c>
      <c r="AG54" s="3"/>
    </row>
    <row r="55" spans="1:33">
      <c r="A55" s="6">
        <v>1300</v>
      </c>
      <c r="B55" s="6">
        <v>62</v>
      </c>
      <c r="C55" s="33">
        <v>20.69</v>
      </c>
      <c r="D55" s="33">
        <v>0.34</v>
      </c>
      <c r="E55" s="33">
        <v>1.84</v>
      </c>
      <c r="F55" s="33">
        <v>0.89</v>
      </c>
      <c r="G55" s="33">
        <v>0.37</v>
      </c>
      <c r="H55" s="33">
        <v>0.2</v>
      </c>
      <c r="I55" s="3">
        <f t="shared" si="35"/>
        <v>5.4748548450372709</v>
      </c>
      <c r="J55" s="3">
        <f t="shared" si="36"/>
        <v>0.20503220492055457</v>
      </c>
      <c r="K55" s="6">
        <f t="shared" si="37"/>
        <v>1.1027881701850599</v>
      </c>
      <c r="L55" s="6">
        <f t="shared" si="38"/>
        <v>0.63607478235438886</v>
      </c>
      <c r="M55" s="6">
        <f t="shared" si="39"/>
        <v>0.15357081740976647</v>
      </c>
      <c r="N55" s="6">
        <f t="shared" si="40"/>
        <v>7.4185792261559982E-2</v>
      </c>
      <c r="O55" s="6">
        <f t="shared" si="41"/>
        <v>86.37207522633318</v>
      </c>
      <c r="P55" s="6">
        <f t="shared" si="42"/>
        <v>88.516615674477237</v>
      </c>
      <c r="Q55" s="6">
        <f>(I55/I61-1)*100</f>
        <v>39.139206455951616</v>
      </c>
      <c r="R55" s="6">
        <f>(J55/J61-1)*100</f>
        <v>-93.2</v>
      </c>
      <c r="S55" s="6">
        <f>(K55/K61-1)*100</f>
        <v>-53.652392947103287</v>
      </c>
      <c r="T55" s="6">
        <f t="shared" si="45"/>
        <v>716.92307692307691</v>
      </c>
      <c r="U55" s="6">
        <f t="shared" si="46"/>
        <v>1.2904615384615383</v>
      </c>
      <c r="V55" s="6">
        <f t="shared" si="47"/>
        <v>0.10753846153846153</v>
      </c>
      <c r="W55" s="6">
        <f>I61*(100-U55)/100</f>
        <v>3.8840267144159095</v>
      </c>
      <c r="X55" s="6">
        <f>K61*(100-V55)/100</f>
        <v>2.3768265910590625</v>
      </c>
      <c r="Y55" s="6">
        <f t="shared" si="48"/>
        <v>1.6341228800731615</v>
      </c>
      <c r="Z55" s="6">
        <f>Y55/AA61-1</f>
        <v>-1.1841965436677149E-2</v>
      </c>
      <c r="AA55" s="3">
        <f t="shared" si="43"/>
        <v>4.9645571044877368</v>
      </c>
      <c r="AB55" s="3">
        <f t="shared" si="44"/>
        <v>0.18592165790656598</v>
      </c>
      <c r="AC55" s="3">
        <f t="shared" si="8"/>
        <v>0.57678781796113077</v>
      </c>
      <c r="AD55" s="6">
        <f>AA55/AA61-1</f>
        <v>2.0020796175550433</v>
      </c>
      <c r="AE55" s="6">
        <f>AB55/AB61-1</f>
        <v>-0.8532826086956522</v>
      </c>
      <c r="AF55" s="6">
        <f>AC55/AC61-1</f>
        <v>-0.78898112756808403</v>
      </c>
      <c r="AG55" s="3"/>
    </row>
    <row r="56" spans="1:33">
      <c r="A56" s="6">
        <v>1300</v>
      </c>
      <c r="B56" s="6">
        <v>99</v>
      </c>
      <c r="C56" s="33">
        <v>24</v>
      </c>
      <c r="D56" s="33">
        <v>0.19</v>
      </c>
      <c r="E56" s="33">
        <v>1.25</v>
      </c>
      <c r="F56" s="33">
        <v>0.7</v>
      </c>
      <c r="G56" s="33">
        <v>0.18</v>
      </c>
      <c r="H56" s="33">
        <v>0.13</v>
      </c>
      <c r="I56" s="3">
        <f t="shared" si="35"/>
        <v>6.350725774813653</v>
      </c>
      <c r="J56" s="3">
        <f t="shared" si="36"/>
        <v>0.11457682039678051</v>
      </c>
      <c r="K56" s="6">
        <f t="shared" si="37"/>
        <v>0.74917674604963302</v>
      </c>
      <c r="L56" s="6">
        <f t="shared" si="38"/>
        <v>0.50028353668322711</v>
      </c>
      <c r="M56" s="6">
        <f t="shared" si="39"/>
        <v>7.4710127388535025E-2</v>
      </c>
      <c r="N56" s="6">
        <f t="shared" si="40"/>
        <v>4.8220764970013985E-2</v>
      </c>
      <c r="O56" s="6">
        <f t="shared" si="41"/>
        <v>91.063668301927194</v>
      </c>
      <c r="P56" s="6">
        <f t="shared" si="42"/>
        <v>92.049775183985005</v>
      </c>
      <c r="Q56" s="6">
        <f>(I56/I61-1)*100</f>
        <v>61.398789509078689</v>
      </c>
      <c r="R56" s="6">
        <f>(J56/J61-1)*100</f>
        <v>-96.2</v>
      </c>
      <c r="S56" s="6">
        <f>(K56/K61-1)*100</f>
        <v>-68.513853904282129</v>
      </c>
      <c r="T56" s="6">
        <f t="shared" si="45"/>
        <v>740</v>
      </c>
      <c r="U56" s="6">
        <f t="shared" si="46"/>
        <v>1.3320000000000001</v>
      </c>
      <c r="V56" s="6">
        <f t="shared" si="47"/>
        <v>0.11099999999999999</v>
      </c>
      <c r="W56" s="6">
        <f>I61*(100-U56)/100</f>
        <v>3.8823922574342884</v>
      </c>
      <c r="X56" s="6">
        <f>K61*(100-V56)/100</f>
        <v>2.3767442277201813</v>
      </c>
      <c r="Y56" s="6">
        <f t="shared" si="48"/>
        <v>1.6334918213552805</v>
      </c>
      <c r="Z56" s="6">
        <f>Y56/AA61-1</f>
        <v>-1.222356816065806E-2</v>
      </c>
      <c r="AA56" s="3">
        <f t="shared" si="43"/>
        <v>8.4769392647338222</v>
      </c>
      <c r="AB56" s="3">
        <f t="shared" si="44"/>
        <v>0.15293696848031876</v>
      </c>
      <c r="AC56" s="3">
        <f t="shared" si="8"/>
        <v>0.66777771643499906</v>
      </c>
      <c r="AD56" s="6">
        <f>AA56/AA61-1</f>
        <v>4.1260255548083418</v>
      </c>
      <c r="AE56" s="6">
        <f>AB56/AB61-1</f>
        <v>-0.87931199999999998</v>
      </c>
      <c r="AF56" s="6">
        <f>AC56/AC61-1</f>
        <v>-0.75569230769230766</v>
      </c>
    </row>
    <row r="57" spans="1:33">
      <c r="A57" s="6">
        <v>1300</v>
      </c>
      <c r="B57" s="6">
        <v>120</v>
      </c>
      <c r="C57" s="33">
        <v>22.3</v>
      </c>
      <c r="D57" s="33">
        <v>0.52</v>
      </c>
      <c r="E57" s="33">
        <v>2.92</v>
      </c>
      <c r="F57" s="33">
        <v>0.26</v>
      </c>
      <c r="G57" s="33">
        <v>0.23</v>
      </c>
      <c r="H57" s="33">
        <v>0.04</v>
      </c>
      <c r="I57" s="3">
        <f t="shared" si="35"/>
        <v>5.9008826990976857</v>
      </c>
      <c r="J57" s="3">
        <f t="shared" si="36"/>
        <v>0.31357866634908349</v>
      </c>
      <c r="K57" s="6">
        <f t="shared" si="37"/>
        <v>1.750076878771943</v>
      </c>
      <c r="L57" s="6">
        <f t="shared" si="38"/>
        <v>0.18581959933948439</v>
      </c>
      <c r="M57" s="6">
        <f t="shared" si="39"/>
        <v>9.5462940552016998E-2</v>
      </c>
      <c r="N57" s="6">
        <f t="shared" si="40"/>
        <v>1.4837158452311995E-2</v>
      </c>
      <c r="O57" s="6">
        <f t="shared" si="41"/>
        <v>95.221565535200227</v>
      </c>
      <c r="P57" s="6">
        <f t="shared" si="42"/>
        <v>96.711374904488622</v>
      </c>
      <c r="Q57" s="6">
        <f>(I57/I61-1)*100</f>
        <v>49.966375252185614</v>
      </c>
      <c r="R57" s="6">
        <f>(J57/J61-1)*100</f>
        <v>-89.600000000000009</v>
      </c>
      <c r="S57" s="6">
        <f>(K57/K61-1)*100</f>
        <v>-26.448362720403029</v>
      </c>
      <c r="T57" s="6">
        <f t="shared" si="45"/>
        <v>689.23076923076928</v>
      </c>
      <c r="U57" s="6">
        <f t="shared" si="46"/>
        <v>1.2406153846153847</v>
      </c>
      <c r="V57" s="6">
        <f t="shared" si="47"/>
        <v>0.10338461538461538</v>
      </c>
      <c r="W57" s="6">
        <f>I61*(100-U57)/100</f>
        <v>3.8859880627938561</v>
      </c>
      <c r="X57" s="6">
        <f>K61*(100-V57)/100</f>
        <v>2.3769254270657201</v>
      </c>
      <c r="Y57" s="6">
        <f t="shared" si="48"/>
        <v>1.6348800928058782</v>
      </c>
      <c r="Z57" s="6">
        <f>Y57/AA61-1</f>
        <v>-1.1384077076608379E-2</v>
      </c>
      <c r="AA57" s="3">
        <f t="shared" si="43"/>
        <v>3.3717848459539845</v>
      </c>
      <c r="AB57" s="3">
        <f t="shared" si="44"/>
        <v>0.17917993783743186</v>
      </c>
      <c r="AC57" s="3">
        <f t="shared" si="8"/>
        <v>0.10617796371887216</v>
      </c>
      <c r="AD57" s="6">
        <f>AA57/AA61-1</f>
        <v>1.0389264032574554</v>
      </c>
      <c r="AE57" s="6">
        <f>AB57/AB61-1</f>
        <v>-0.85860273972602741</v>
      </c>
      <c r="AF57" s="6">
        <f>AC57/AC61-1</f>
        <v>-0.96115459882583165</v>
      </c>
    </row>
    <row r="58" spans="1:33">
      <c r="A58" s="6">
        <v>1300</v>
      </c>
      <c r="B58" s="6">
        <v>148</v>
      </c>
      <c r="C58" s="33">
        <v>27.77</v>
      </c>
      <c r="D58" s="33">
        <v>0.41</v>
      </c>
      <c r="E58" s="33">
        <v>3.08</v>
      </c>
      <c r="F58" s="33">
        <v>0.13</v>
      </c>
      <c r="G58" s="33">
        <v>0.05</v>
      </c>
      <c r="H58" s="33">
        <v>5.0000000000000001E-3</v>
      </c>
      <c r="I58" s="3">
        <f t="shared" si="35"/>
        <v>7.3483189486072975</v>
      </c>
      <c r="J58" s="3">
        <f t="shared" si="36"/>
        <v>0.2472447176983158</v>
      </c>
      <c r="K58" s="6">
        <f t="shared" si="37"/>
        <v>1.8459715022662961</v>
      </c>
      <c r="L58" s="6">
        <f t="shared" si="38"/>
        <v>9.2909799669742194E-2</v>
      </c>
      <c r="M58" s="6">
        <f t="shared" si="39"/>
        <v>2.0752813163481956E-2</v>
      </c>
      <c r="N58" s="6">
        <f t="shared" si="40"/>
        <v>1.8546448065389993E-3</v>
      </c>
      <c r="O58" s="6">
        <f t="shared" si="41"/>
        <v>98.452307172241021</v>
      </c>
      <c r="P58" s="6">
        <f t="shared" si="42"/>
        <v>98.726812001537695</v>
      </c>
      <c r="Q58" s="6">
        <f>(I58/I61-1)*100</f>
        <v>86.751849361129814</v>
      </c>
      <c r="R58" s="6">
        <f>(J58/J61-1)*100</f>
        <v>-91.8</v>
      </c>
      <c r="S58" s="6">
        <f>(K58/K61-1)*100</f>
        <v>-22.418136020151135</v>
      </c>
      <c r="T58" s="6">
        <f t="shared" si="45"/>
        <v>706.15384615384608</v>
      </c>
      <c r="U58" s="6">
        <f t="shared" si="46"/>
        <v>1.271076923076923</v>
      </c>
      <c r="V58" s="6">
        <f t="shared" si="47"/>
        <v>0.1059230769230769</v>
      </c>
      <c r="W58" s="6">
        <f>I61*(100-U58)/100</f>
        <v>3.8847894610073337</v>
      </c>
      <c r="X58" s="6">
        <f>K61*(100-V58)/100</f>
        <v>2.3768650272838738</v>
      </c>
      <c r="Y58" s="6">
        <f t="shared" si="48"/>
        <v>1.6344173591744153</v>
      </c>
      <c r="Z58" s="6">
        <f>Y58/AA61-1</f>
        <v>-1.1663893216121823E-2</v>
      </c>
      <c r="AA58" s="3">
        <f t="shared" si="43"/>
        <v>3.980732605885724</v>
      </c>
      <c r="AB58" s="3">
        <f t="shared" si="44"/>
        <v>0.13393745103582252</v>
      </c>
      <c r="AC58" s="3">
        <f t="shared" si="8"/>
        <v>5.0331112671932902E-2</v>
      </c>
      <c r="AD58" s="6">
        <f>AA58/AA61-1</f>
        <v>1.4071585778041733</v>
      </c>
      <c r="AE58" s="6">
        <f>AB58/AB61-1</f>
        <v>-0.89430519480519477</v>
      </c>
      <c r="AF58" s="6">
        <f>AC58/AC61-1</f>
        <v>-0.98158627087198513</v>
      </c>
    </row>
    <row r="59" spans="1:33">
      <c r="A59" s="6">
        <v>1300</v>
      </c>
      <c r="B59" s="6">
        <v>162</v>
      </c>
      <c r="C59" s="33">
        <v>19.190000000000001</v>
      </c>
      <c r="D59" s="33">
        <v>4.8600000000000003</v>
      </c>
      <c r="E59" s="33">
        <v>4.0599999999999996</v>
      </c>
      <c r="F59" s="33">
        <v>6.54</v>
      </c>
      <c r="G59" s="33">
        <v>0.3</v>
      </c>
      <c r="H59" s="33">
        <v>0.85</v>
      </c>
      <c r="I59" s="3">
        <f t="shared" si="35"/>
        <v>5.0779344841114167</v>
      </c>
      <c r="J59" s="3">
        <f t="shared" si="36"/>
        <v>2.9307544585702803</v>
      </c>
      <c r="K59" s="6">
        <f t="shared" si="37"/>
        <v>2.4333260711692084</v>
      </c>
      <c r="L59" s="6">
        <f t="shared" si="38"/>
        <v>4.6740776141547222</v>
      </c>
      <c r="M59" s="6">
        <f t="shared" si="39"/>
        <v>0.12451687898089171</v>
      </c>
      <c r="N59" s="6">
        <f t="shared" si="40"/>
        <v>0.31528961711162989</v>
      </c>
      <c r="O59" s="6">
        <f t="shared" si="41"/>
        <v>49.823634880257167</v>
      </c>
      <c r="P59" s="6">
        <f t="shared" si="42"/>
        <v>50.439875824471315</v>
      </c>
      <c r="Q59" s="6">
        <f>(I59/I61-1)*100</f>
        <v>29.051782111634171</v>
      </c>
      <c r="R59" s="6">
        <f>(J59/J61-1)*100</f>
        <v>-2.8000000000000025</v>
      </c>
      <c r="S59" s="6">
        <f>(K59/K61-1)*100</f>
        <v>2.2670025188916698</v>
      </c>
      <c r="T59" s="6">
        <f t="shared" si="45"/>
        <v>21.538461538461558</v>
      </c>
      <c r="U59" s="6">
        <f t="shared" si="46"/>
        <v>3.8769230769230806E-2</v>
      </c>
      <c r="V59" s="6">
        <f t="shared" si="47"/>
        <v>3.2307692307692332E-3</v>
      </c>
      <c r="W59" s="6">
        <f>I61*(100-U59)/100</f>
        <v>3.9332783514621115</v>
      </c>
      <c r="X59" s="6">
        <f>K61*(100-V59)/100</f>
        <v>2.3793084730040128</v>
      </c>
      <c r="Y59" s="6">
        <f t="shared" si="48"/>
        <v>1.6531182888178106</v>
      </c>
      <c r="Z59" s="6">
        <f>Y59/AA61-1</f>
        <v>-3.5539609741241929E-4</v>
      </c>
      <c r="AA59" s="3">
        <f t="shared" si="43"/>
        <v>2.0868286187684988</v>
      </c>
      <c r="AB59" s="3">
        <f t="shared" si="44"/>
        <v>1.2044232350504749</v>
      </c>
      <c r="AC59" s="3">
        <f t="shared" si="8"/>
        <v>1.9208595467474021</v>
      </c>
      <c r="AD59" s="6">
        <f>AA59/AA61-1</f>
        <v>0.26191028320982213</v>
      </c>
      <c r="AE59" s="6">
        <f>AB59/AB61-1</f>
        <v>-4.9546798029556638E-2</v>
      </c>
      <c r="AF59" s="6">
        <f>AC59/AC61-1</f>
        <v>-0.29725004059979421</v>
      </c>
    </row>
    <row r="60" spans="1:33">
      <c r="A60" s="6">
        <v>1300</v>
      </c>
      <c r="B60" s="6">
        <v>173</v>
      </c>
      <c r="C60" s="33">
        <v>18.170000000000002</v>
      </c>
      <c r="D60" s="33">
        <v>4.96</v>
      </c>
      <c r="E60" s="33">
        <v>4.24</v>
      </c>
      <c r="F60" s="33">
        <v>7.14</v>
      </c>
      <c r="G60" s="33">
        <v>0.26</v>
      </c>
      <c r="H60" s="33">
        <v>0.95</v>
      </c>
      <c r="I60" s="3">
        <f t="shared" si="35"/>
        <v>4.8080286386818374</v>
      </c>
      <c r="J60" s="3">
        <f t="shared" si="36"/>
        <v>2.9910580482527958</v>
      </c>
      <c r="K60" s="6">
        <f t="shared" si="37"/>
        <v>2.5412075226003554</v>
      </c>
      <c r="L60" s="6">
        <f t="shared" si="38"/>
        <v>5.102892074168917</v>
      </c>
      <c r="M60" s="6">
        <f t="shared" si="39"/>
        <v>0.10791462845010616</v>
      </c>
      <c r="N60" s="6">
        <f t="shared" si="40"/>
        <v>0.35238251324240988</v>
      </c>
      <c r="O60" s="6">
        <f t="shared" si="41"/>
        <v>46.359344737663648</v>
      </c>
      <c r="P60" s="6">
        <f t="shared" si="42"/>
        <v>46.846795157118869</v>
      </c>
      <c r="Q60" s="6">
        <f>(I60/I61-1)*100</f>
        <v>22.192333557498344</v>
      </c>
      <c r="R60" s="6">
        <f>(J60/J61-1)*100</f>
        <v>-0.80000000000002292</v>
      </c>
      <c r="S60" s="6">
        <f>(K60/K61-1)*100</f>
        <v>6.8010075566750539</v>
      </c>
      <c r="T60" s="6">
        <f t="shared" si="45"/>
        <v>6.15384615384633</v>
      </c>
      <c r="U60" s="6">
        <f t="shared" si="46"/>
        <v>1.1076923076923394E-2</v>
      </c>
      <c r="V60" s="6">
        <f t="shared" si="47"/>
        <v>9.230769230769494E-4</v>
      </c>
      <c r="W60" s="6">
        <f>I61*(100-U60)/100</f>
        <v>3.9343679894498598</v>
      </c>
      <c r="X60" s="6">
        <f>K61*(100-V60)/100</f>
        <v>2.3793633818966002</v>
      </c>
      <c r="Y60" s="6">
        <f t="shared" si="48"/>
        <v>1.653538093165811</v>
      </c>
      <c r="Z60" s="6">
        <f>Y60/AA61-1</f>
        <v>-1.0153939882517893E-4</v>
      </c>
      <c r="AA60" s="3">
        <f t="shared" si="43"/>
        <v>1.892025187207812</v>
      </c>
      <c r="AB60" s="3">
        <f t="shared" si="44"/>
        <v>1.1770223492775274</v>
      </c>
      <c r="AC60" s="3">
        <f t="shared" si="8"/>
        <v>2.0080579916382635</v>
      </c>
      <c r="AD60" s="6">
        <f>AA60/AA61-1</f>
        <v>0.14411217977185986</v>
      </c>
      <c r="AE60" s="6">
        <f>AB60/AB61-1</f>
        <v>-7.1169811320754839E-2</v>
      </c>
      <c r="AF60" s="6">
        <f>AC60/AC61-1</f>
        <v>-0.2653483309143686</v>
      </c>
    </row>
    <row r="61" spans="1:33" s="2" customFormat="1">
      <c r="A61" s="2">
        <v>1300</v>
      </c>
      <c r="B61" s="2">
        <v>184</v>
      </c>
      <c r="C61" s="31">
        <v>14.87</v>
      </c>
      <c r="D61" s="31">
        <v>5</v>
      </c>
      <c r="E61" s="31">
        <v>3.97</v>
      </c>
      <c r="F61" s="31">
        <v>9.1</v>
      </c>
      <c r="G61" s="31">
        <v>1.05</v>
      </c>
      <c r="H61" s="31">
        <v>2.85</v>
      </c>
      <c r="I61" s="2">
        <f t="shared" si="35"/>
        <v>3.9348038446449589</v>
      </c>
      <c r="J61" s="2">
        <f t="shared" si="36"/>
        <v>3.0151794841258028</v>
      </c>
      <c r="K61" s="2">
        <f t="shared" si="37"/>
        <v>2.3793853454536351</v>
      </c>
      <c r="L61" s="2">
        <f t="shared" si="38"/>
        <v>6.503685976881953</v>
      </c>
      <c r="M61" s="2">
        <f t="shared" si="39"/>
        <v>0.435809076433121</v>
      </c>
      <c r="N61" s="2">
        <f t="shared" si="40"/>
        <v>1.0571475397272296</v>
      </c>
      <c r="AA61" s="2">
        <f t="shared" si="43"/>
        <v>1.6537060094798472</v>
      </c>
      <c r="AB61" s="2">
        <f t="shared" si="44"/>
        <v>1.2672094034230308</v>
      </c>
      <c r="AC61" s="2">
        <f t="shared" si="8"/>
        <v>2.733347076087842</v>
      </c>
    </row>
    <row r="62" spans="1:33">
      <c r="A62" s="6">
        <v>1500</v>
      </c>
      <c r="B62" s="6">
        <v>0</v>
      </c>
      <c r="C62" s="33">
        <v>7.24</v>
      </c>
      <c r="D62" s="33">
        <v>0.56999999999999995</v>
      </c>
      <c r="E62" s="33">
        <v>7.1</v>
      </c>
      <c r="F62" s="33">
        <v>0.28000000000000003</v>
      </c>
      <c r="G62" s="33">
        <v>0.93</v>
      </c>
      <c r="H62" s="33">
        <v>0.03</v>
      </c>
      <c r="I62" s="3">
        <f t="shared" ref="I62:I70" si="49">C62*26.98/101.96</f>
        <v>1.9158022754021187</v>
      </c>
      <c r="J62" s="3">
        <f t="shared" ref="J62:J70" si="50">D62*24.305/40.3044</f>
        <v>0.34373046119034145</v>
      </c>
      <c r="K62" s="6">
        <f t="shared" ref="K62:K70" si="51">E62*47.867/79.866</f>
        <v>4.255323917561916</v>
      </c>
      <c r="L62" s="6">
        <f t="shared" ref="L62:L70" si="52">F62*40.078/56.0774</f>
        <v>0.20011341467329088</v>
      </c>
      <c r="M62" s="6">
        <f t="shared" ref="M62:M70" si="53">G62*39.0983/94.2</f>
        <v>0.38600232484076435</v>
      </c>
      <c r="N62" s="6">
        <f t="shared" ref="N62:N70" si="54">H62*22.989769/61.9789</f>
        <v>1.1127868839233996E-2</v>
      </c>
      <c r="O62" s="6">
        <f t="shared" ref="O62:O69" si="55">100*(I62/(I62+L62+M62+N62))</f>
        <v>76.234273627316767</v>
      </c>
      <c r="P62" s="6">
        <f t="shared" ref="P62:P69" si="56">100*(I62/(I62+L62+N62))</f>
        <v>90.068784316748363</v>
      </c>
      <c r="Q62" s="3">
        <f>(I62/I70-1)*100</f>
        <v>-47.421931735657218</v>
      </c>
      <c r="R62" s="3">
        <f>(J62/J70-1)*100</f>
        <v>-92.509855453350852</v>
      </c>
      <c r="S62" s="3">
        <f>(K62/K70-1)*100</f>
        <v>123.2704402515723</v>
      </c>
      <c r="T62" s="6">
        <f t="shared" ref="T62:T69" si="57">R62/-0.13</f>
        <v>711.6142727180835</v>
      </c>
      <c r="U62" s="6">
        <f t="shared" ref="U62:U69" si="58">T62*0.0018</f>
        <v>1.2809056908925502</v>
      </c>
      <c r="V62" s="6">
        <f t="shared" ref="V62:V69" si="59">T62*0.00015</f>
        <v>0.10674214090771252</v>
      </c>
      <c r="W62" s="3">
        <f>I70*(100-U62)/100</f>
        <v>3.5970561822881844</v>
      </c>
      <c r="X62" s="3">
        <f>K70*(100-V62)/100</f>
        <v>1.903871237464368</v>
      </c>
      <c r="Y62" s="6">
        <f t="shared" ref="Y62:Y69" si="60">W62/X62</f>
        <v>1.8893379507528303</v>
      </c>
      <c r="Z62" s="3">
        <f>Y62/AA70-1</f>
        <v>-1.1754182165538141E-2</v>
      </c>
      <c r="AA62" s="3">
        <f t="shared" ref="AA62:AA70" si="61">I62/K62</f>
        <v>0.45021303019859787</v>
      </c>
      <c r="AB62" s="3">
        <f t="shared" ref="AB62:AB70" si="62">J62/K62</f>
        <v>8.0776567859323273E-2</v>
      </c>
      <c r="AC62" s="3">
        <f t="shared" si="8"/>
        <v>4.7026599748943597E-2</v>
      </c>
      <c r="AD62" s="3">
        <f>AA62/AA70-1</f>
        <v>-0.76450949706956328</v>
      </c>
      <c r="AE62" s="3">
        <f>AB62/AB70-1</f>
        <v>-0.96645259203050105</v>
      </c>
      <c r="AF62" s="3">
        <f>AC62/AC70-1</f>
        <v>-0.98781258982466225</v>
      </c>
      <c r="AG62" s="3"/>
    </row>
    <row r="63" spans="1:33">
      <c r="A63" s="6">
        <v>1500</v>
      </c>
      <c r="B63" s="6">
        <v>19</v>
      </c>
      <c r="C63" s="33">
        <v>12.08</v>
      </c>
      <c r="D63" s="33">
        <v>0.33</v>
      </c>
      <c r="E63" s="33">
        <v>3.61</v>
      </c>
      <c r="F63" s="33">
        <v>0.11</v>
      </c>
      <c r="G63" s="33">
        <v>0.36</v>
      </c>
      <c r="H63" s="33">
        <v>0.02</v>
      </c>
      <c r="I63" s="3">
        <f t="shared" si="49"/>
        <v>3.1965319733228723</v>
      </c>
      <c r="J63" s="3">
        <f t="shared" si="50"/>
        <v>0.19900184595230297</v>
      </c>
      <c r="K63" s="6">
        <f t="shared" si="51"/>
        <v>2.1636224425913406</v>
      </c>
      <c r="L63" s="6">
        <f t="shared" si="52"/>
        <v>7.861598433593571E-2</v>
      </c>
      <c r="M63" s="6">
        <f t="shared" si="53"/>
        <v>0.14942025477707005</v>
      </c>
      <c r="N63" s="6">
        <f t="shared" si="54"/>
        <v>7.4185792261559974E-3</v>
      </c>
      <c r="O63" s="6">
        <f t="shared" si="55"/>
        <v>93.139401966487867</v>
      </c>
      <c r="P63" s="6">
        <f t="shared" si="56"/>
        <v>97.379045859532368</v>
      </c>
      <c r="Q63" s="3">
        <f>(I63/I70-1)*100</f>
        <v>-12.273057371096563</v>
      </c>
      <c r="R63" s="3">
        <f>(J63/J70-1)*100</f>
        <v>-95.663600525624176</v>
      </c>
      <c r="S63" s="3">
        <f>(K63/K70-1)*100</f>
        <v>13.52201257861636</v>
      </c>
      <c r="T63" s="6">
        <f t="shared" si="57"/>
        <v>735.87385019710905</v>
      </c>
      <c r="U63" s="6">
        <f t="shared" si="58"/>
        <v>1.3245729303547962</v>
      </c>
      <c r="V63" s="6">
        <f t="shared" si="59"/>
        <v>0.11038107752956634</v>
      </c>
      <c r="W63" s="3">
        <f>I70*(100-U63)/100</f>
        <v>3.5954650664582588</v>
      </c>
      <c r="X63" s="3">
        <f>K70*(100-V63)/100</f>
        <v>1.9038018827659853</v>
      </c>
      <c r="Y63" s="6">
        <f t="shared" si="60"/>
        <v>1.8885710214943685</v>
      </c>
      <c r="Z63" s="3">
        <f>Y63/AA70-1</f>
        <v>-1.2155335718796123E-2</v>
      </c>
      <c r="AA63" s="3">
        <f t="shared" si="61"/>
        <v>1.4773982328887429</v>
      </c>
      <c r="AB63" s="3">
        <f t="shared" si="62"/>
        <v>9.1976234871164131E-2</v>
      </c>
      <c r="AC63" s="3">
        <f t="shared" si="8"/>
        <v>3.6335352595889346E-2</v>
      </c>
      <c r="AD63" s="3">
        <f>AA63/AA70-1</f>
        <v>-0.22722526991713876</v>
      </c>
      <c r="AE63" s="3">
        <f>AB63/AB70-1</f>
        <v>-0.96180124562738201</v>
      </c>
      <c r="AF63" s="3">
        <f>AC63/AC70-1</f>
        <v>-0.99058333266032972</v>
      </c>
      <c r="AG63" s="3"/>
    </row>
    <row r="64" spans="1:33">
      <c r="A64" s="6">
        <v>1500</v>
      </c>
      <c r="B64" s="6">
        <v>48</v>
      </c>
      <c r="C64" s="33">
        <v>18.95</v>
      </c>
      <c r="D64" s="33">
        <v>0.44</v>
      </c>
      <c r="E64" s="33">
        <v>4.04</v>
      </c>
      <c r="F64" s="33">
        <v>7.0000000000000007E-2</v>
      </c>
      <c r="G64" s="33">
        <v>0.27</v>
      </c>
      <c r="H64" s="33">
        <v>0.03</v>
      </c>
      <c r="I64" s="3">
        <f t="shared" si="49"/>
        <v>5.0144272263632805</v>
      </c>
      <c r="J64" s="3">
        <f t="shared" si="50"/>
        <v>0.26533579460307061</v>
      </c>
      <c r="K64" s="6">
        <f t="shared" si="51"/>
        <v>2.4213392432324143</v>
      </c>
      <c r="L64" s="6">
        <f t="shared" si="52"/>
        <v>5.0028353668322721E-2</v>
      </c>
      <c r="M64" s="6">
        <f t="shared" si="53"/>
        <v>0.11206519108280255</v>
      </c>
      <c r="N64" s="6">
        <f t="shared" si="54"/>
        <v>1.1127868839233996E-2</v>
      </c>
      <c r="O64" s="6">
        <f t="shared" si="55"/>
        <v>96.660887704378013</v>
      </c>
      <c r="P64" s="6">
        <f t="shared" si="56"/>
        <v>98.795089803495173</v>
      </c>
      <c r="Q64" s="6">
        <f>(I64/I70-1)*100</f>
        <v>37.618010167029816</v>
      </c>
      <c r="R64" s="6">
        <f>(J64/J70-1)*100</f>
        <v>-94.218134034165573</v>
      </c>
      <c r="S64" s="6">
        <f>(K64/K70-1)*100</f>
        <v>27.044025157232699</v>
      </c>
      <c r="T64" s="6">
        <f t="shared" si="57"/>
        <v>724.75487718588897</v>
      </c>
      <c r="U64" s="6">
        <f t="shared" si="58"/>
        <v>1.3045587789346</v>
      </c>
      <c r="V64" s="6">
        <f t="shared" si="59"/>
        <v>0.10871323157788333</v>
      </c>
      <c r="W64" s="6">
        <f>I70*(100-U64)/100</f>
        <v>3.5961943278803079</v>
      </c>
      <c r="X64" s="6">
        <f>K70*(100-V64)/100</f>
        <v>1.9038336703360772</v>
      </c>
      <c r="Y64" s="6">
        <f t="shared" si="60"/>
        <v>1.8889225376739367</v>
      </c>
      <c r="Z64" s="6">
        <f>Y64/AA70-1</f>
        <v>-1.1971470045521015E-2</v>
      </c>
      <c r="AA64" s="3">
        <f t="shared" si="61"/>
        <v>2.0709312998492408</v>
      </c>
      <c r="AB64" s="3">
        <f t="shared" si="62"/>
        <v>0.10958224682670049</v>
      </c>
      <c r="AC64" s="3">
        <f t="shared" si="8"/>
        <v>2.0661439246132396E-2</v>
      </c>
      <c r="AD64" s="6">
        <f>AA64/AA70-1</f>
        <v>8.3230872106818676E-2</v>
      </c>
      <c r="AE64" s="6">
        <f>AB64/AB70-1</f>
        <v>-0.95448927284318441</v>
      </c>
      <c r="AF64" s="6">
        <f>AC64/AC70-1</f>
        <v>-0.99464538290563753</v>
      </c>
      <c r="AG64" s="3"/>
    </row>
    <row r="65" spans="1:33">
      <c r="A65" s="6">
        <v>1500</v>
      </c>
      <c r="B65" s="6">
        <v>68</v>
      </c>
      <c r="C65" s="33">
        <v>20.99</v>
      </c>
      <c r="D65" s="33">
        <v>0.45</v>
      </c>
      <c r="E65" s="33">
        <v>3.48</v>
      </c>
      <c r="F65" s="33">
        <v>0.05</v>
      </c>
      <c r="G65" s="33">
        <v>0.16</v>
      </c>
      <c r="H65" s="33">
        <v>0.01</v>
      </c>
      <c r="I65" s="3">
        <f t="shared" si="49"/>
        <v>5.5542389172224409</v>
      </c>
      <c r="J65" s="3">
        <f t="shared" si="50"/>
        <v>0.27136615357132227</v>
      </c>
      <c r="K65" s="6">
        <f t="shared" si="51"/>
        <v>2.0857080610021788</v>
      </c>
      <c r="L65" s="6">
        <f t="shared" si="52"/>
        <v>3.573453833451623E-2</v>
      </c>
      <c r="M65" s="6">
        <f t="shared" si="53"/>
        <v>6.6409002123142255E-2</v>
      </c>
      <c r="N65" s="6">
        <f t="shared" si="54"/>
        <v>3.7092896130779987E-3</v>
      </c>
      <c r="O65" s="6">
        <f t="shared" si="55"/>
        <v>98.129838970872541</v>
      </c>
      <c r="P65" s="6">
        <f t="shared" si="56"/>
        <v>99.294850463558149</v>
      </c>
      <c r="Q65" s="6">
        <f>(I65/I70-1)*100</f>
        <v>52.432824981844604</v>
      </c>
      <c r="R65" s="6">
        <f>(J65/J70-1)*100</f>
        <v>-94.086727989487514</v>
      </c>
      <c r="S65" s="6">
        <f>(K65/K70-1)*100</f>
        <v>9.4339622641509422</v>
      </c>
      <c r="T65" s="6">
        <f t="shared" si="57"/>
        <v>723.74406145759622</v>
      </c>
      <c r="U65" s="6">
        <f t="shared" si="58"/>
        <v>1.3027393106236731</v>
      </c>
      <c r="V65" s="6">
        <f t="shared" si="59"/>
        <v>0.10856160921863943</v>
      </c>
      <c r="W65" s="6">
        <f>I70*(100-U65)/100</f>
        <v>3.5962606243732216</v>
      </c>
      <c r="X65" s="6">
        <f>K70*(100-V65)/100</f>
        <v>1.9038365601151768</v>
      </c>
      <c r="Y65" s="6">
        <f t="shared" si="60"/>
        <v>1.8889544931081994</v>
      </c>
      <c r="Z65" s="6">
        <f>Y65/AA70-1</f>
        <v>-1.1954755288770103E-2</v>
      </c>
      <c r="AA65" s="3">
        <f t="shared" si="61"/>
        <v>2.6629992092726726</v>
      </c>
      <c r="AB65" s="3">
        <f t="shared" si="62"/>
        <v>0.13010744823076117</v>
      </c>
      <c r="AC65" s="3">
        <f t="shared" si="8"/>
        <v>1.7133048964362661E-2</v>
      </c>
      <c r="AD65" s="6">
        <f>AA65/AA70-1</f>
        <v>0.39292064207547672</v>
      </c>
      <c r="AE65" s="6">
        <f>AB65/AB70-1</f>
        <v>-0.94596492817979971</v>
      </c>
      <c r="AF65" s="6">
        <f>AC65/AC70-1</f>
        <v>-0.99555980027478974</v>
      </c>
    </row>
    <row r="66" spans="1:33">
      <c r="A66" s="6">
        <v>1500</v>
      </c>
      <c r="B66" s="6">
        <v>110</v>
      </c>
      <c r="C66" s="33">
        <v>19.16</v>
      </c>
      <c r="D66" s="33">
        <v>0.38</v>
      </c>
      <c r="E66" s="33">
        <v>4.01</v>
      </c>
      <c r="F66" s="33">
        <v>0.06</v>
      </c>
      <c r="G66" s="33">
        <v>0.34</v>
      </c>
      <c r="H66" s="33">
        <v>0.02</v>
      </c>
      <c r="I66" s="3">
        <f t="shared" si="49"/>
        <v>5.0699960768928998</v>
      </c>
      <c r="J66" s="3">
        <f t="shared" si="50"/>
        <v>0.22915364079356101</v>
      </c>
      <c r="K66" s="6">
        <f t="shared" si="51"/>
        <v>2.4033590013272228</v>
      </c>
      <c r="L66" s="6">
        <f t="shared" si="52"/>
        <v>4.2881446001419465E-2</v>
      </c>
      <c r="M66" s="6">
        <f t="shared" si="53"/>
        <v>0.14111912951167729</v>
      </c>
      <c r="N66" s="6">
        <f t="shared" si="54"/>
        <v>7.4185792261559974E-3</v>
      </c>
      <c r="O66" s="6">
        <f t="shared" si="55"/>
        <v>96.361831440551924</v>
      </c>
      <c r="P66" s="6">
        <f t="shared" si="56"/>
        <v>99.017634444876251</v>
      </c>
      <c r="Q66" s="6">
        <f>(I66/I70-1)*100</f>
        <v>39.143064633260735</v>
      </c>
      <c r="R66" s="6">
        <f>(J66/J70-1)*100</f>
        <v>-95.006570302233911</v>
      </c>
      <c r="S66" s="6">
        <f>(K66/K70-1)*100</f>
        <v>26.100628930817592</v>
      </c>
      <c r="T66" s="6">
        <f t="shared" si="57"/>
        <v>730.81977155564539</v>
      </c>
      <c r="U66" s="6">
        <f t="shared" si="58"/>
        <v>1.3154755888001617</v>
      </c>
      <c r="V66" s="6">
        <f t="shared" si="59"/>
        <v>0.1096229657333468</v>
      </c>
      <c r="W66" s="6">
        <f>I70*(100-U66)/100</f>
        <v>3.5957965489228267</v>
      </c>
      <c r="X66" s="6">
        <f>K70*(100-V66)/100</f>
        <v>1.9038163316614816</v>
      </c>
      <c r="Y66" s="6">
        <f t="shared" si="60"/>
        <v>1.8887308030311596</v>
      </c>
      <c r="Z66" s="6">
        <f>Y66/AA70-1</f>
        <v>-1.2071759651614555E-2</v>
      </c>
      <c r="AA66" s="3">
        <f t="shared" si="61"/>
        <v>2.1095458789523591</v>
      </c>
      <c r="AB66" s="3">
        <f t="shared" si="62"/>
        <v>9.5347237207181273E-2</v>
      </c>
      <c r="AC66" s="3">
        <f t="shared" si="8"/>
        <v>1.7842297375356225E-2</v>
      </c>
      <c r="AD66" s="6">
        <f>AA66/AA70-1</f>
        <v>0.10342879185478604</v>
      </c>
      <c r="AE66" s="6">
        <f>AB66/AB70-1</f>
        <v>-0.96040123082569528</v>
      </c>
      <c r="AF66" s="6">
        <f>AC66/AC70-1</f>
        <v>-0.99537599150811018</v>
      </c>
    </row>
    <row r="67" spans="1:33">
      <c r="A67" s="6">
        <v>1500</v>
      </c>
      <c r="B67" s="6">
        <v>133</v>
      </c>
      <c r="C67" s="33">
        <v>20.260000000000002</v>
      </c>
      <c r="D67" s="33">
        <v>0.53</v>
      </c>
      <c r="E67" s="33">
        <v>3.73</v>
      </c>
      <c r="F67" s="33">
        <v>0.05</v>
      </c>
      <c r="G67" s="33">
        <v>0.11</v>
      </c>
      <c r="H67" s="33">
        <v>5.0000000000000001E-3</v>
      </c>
      <c r="I67" s="3">
        <f t="shared" si="49"/>
        <v>5.3610710082385262</v>
      </c>
      <c r="J67" s="3">
        <f t="shared" si="50"/>
        <v>0.31960902531733509</v>
      </c>
      <c r="K67" s="6">
        <f t="shared" si="51"/>
        <v>2.235543410212105</v>
      </c>
      <c r="L67" s="6">
        <f t="shared" si="52"/>
        <v>3.573453833451623E-2</v>
      </c>
      <c r="M67" s="6">
        <f t="shared" si="53"/>
        <v>4.5656188959660303E-2</v>
      </c>
      <c r="N67" s="6">
        <f t="shared" si="54"/>
        <v>1.8546448065389993E-3</v>
      </c>
      <c r="O67" s="6">
        <f t="shared" si="55"/>
        <v>98.470967403706837</v>
      </c>
      <c r="P67" s="6">
        <f t="shared" si="56"/>
        <v>99.303731262784865</v>
      </c>
      <c r="Q67" s="6">
        <f>(I67/I70-1)*100</f>
        <v>47.131445170660903</v>
      </c>
      <c r="R67" s="6">
        <f>(J67/J70-1)*100</f>
        <v>-93.035479632063073</v>
      </c>
      <c r="S67" s="6">
        <f>(K67/K70-1)*100</f>
        <v>17.295597484276716</v>
      </c>
      <c r="T67" s="6">
        <f t="shared" si="57"/>
        <v>715.6575356312544</v>
      </c>
      <c r="U67" s="6">
        <f t="shared" si="58"/>
        <v>1.2881835641362578</v>
      </c>
      <c r="V67" s="6">
        <f t="shared" si="59"/>
        <v>0.10734863034468815</v>
      </c>
      <c r="W67" s="6">
        <f>I70*(100-U67)/100</f>
        <v>3.5967909963165301</v>
      </c>
      <c r="X67" s="6">
        <f>K70*(100-V67)/100</f>
        <v>1.9038596783479711</v>
      </c>
      <c r="Y67" s="6">
        <f t="shared" si="60"/>
        <v>1.8892101330900395</v>
      </c>
      <c r="Z67" s="6">
        <f>Y67/AA70-1</f>
        <v>-1.182103906144083E-2</v>
      </c>
      <c r="AA67" s="3">
        <f t="shared" si="61"/>
        <v>2.3981064217983028</v>
      </c>
      <c r="AB67" s="3">
        <f t="shared" si="62"/>
        <v>0.14296704052238068</v>
      </c>
      <c r="AC67" s="3">
        <f t="shared" si="8"/>
        <v>1.5984721285786076E-2</v>
      </c>
      <c r="AD67" s="6">
        <f>AA67/AA70-1</f>
        <v>0.25436459957828883</v>
      </c>
      <c r="AE67" s="6">
        <f>AB67/AB70-1</f>
        <v>-0.94062419632697203</v>
      </c>
      <c r="AF67" s="6">
        <f>AC67/AC70-1</f>
        <v>-0.99585740079256524</v>
      </c>
    </row>
    <row r="68" spans="1:33">
      <c r="A68" s="6">
        <v>1500</v>
      </c>
      <c r="B68" s="6">
        <v>143</v>
      </c>
      <c r="C68" s="33">
        <v>23.93</v>
      </c>
      <c r="D68" s="33">
        <v>1.1000000000000001</v>
      </c>
      <c r="E68" s="33">
        <v>3.8</v>
      </c>
      <c r="F68" s="33">
        <v>0.37</v>
      </c>
      <c r="G68" s="33">
        <v>7.0000000000000007E-2</v>
      </c>
      <c r="H68" s="33">
        <v>5.0000000000000001E-3</v>
      </c>
      <c r="I68" s="3">
        <f t="shared" si="49"/>
        <v>6.3322028246371129</v>
      </c>
      <c r="J68" s="3">
        <f t="shared" si="50"/>
        <v>0.6633394865076766</v>
      </c>
      <c r="K68" s="6">
        <f t="shared" si="51"/>
        <v>2.2774973079908842</v>
      </c>
      <c r="L68" s="6">
        <f t="shared" si="52"/>
        <v>0.26443558367542008</v>
      </c>
      <c r="M68" s="6">
        <f t="shared" si="53"/>
        <v>2.9053938428874736E-2</v>
      </c>
      <c r="N68" s="6">
        <f t="shared" si="54"/>
        <v>1.8546448065389993E-3</v>
      </c>
      <c r="O68" s="6">
        <f t="shared" si="55"/>
        <v>95.543688075128202</v>
      </c>
      <c r="P68" s="6">
        <f t="shared" si="56"/>
        <v>95.964378133942489</v>
      </c>
      <c r="Q68" s="6">
        <f>(I68/I70-1)*100</f>
        <v>73.783587509077719</v>
      </c>
      <c r="R68" s="6">
        <f>(J68/J70-1)*100</f>
        <v>-85.545335085413939</v>
      </c>
      <c r="S68" s="6">
        <f>(K68/K70-1)*100</f>
        <v>19.496855345911925</v>
      </c>
      <c r="T68" s="6">
        <f t="shared" si="57"/>
        <v>658.04103911856873</v>
      </c>
      <c r="U68" s="6">
        <f t="shared" si="58"/>
        <v>1.1844738704134237</v>
      </c>
      <c r="V68" s="6">
        <f t="shared" si="59"/>
        <v>9.8706155867785306E-2</v>
      </c>
      <c r="W68" s="6">
        <f>I70*(100-U68)/100</f>
        <v>3.6005698964126029</v>
      </c>
      <c r="X68" s="6">
        <f>K70*(100-V68)/100</f>
        <v>1.9040243957566303</v>
      </c>
      <c r="Y68" s="6">
        <f t="shared" si="60"/>
        <v>1.8910313882726231</v>
      </c>
      <c r="Z68" s="6">
        <f>Y68/AA70-1</f>
        <v>-1.0868404930167275E-2</v>
      </c>
      <c r="AA68" s="3">
        <f t="shared" si="61"/>
        <v>2.7803338350477023</v>
      </c>
      <c r="AB68" s="3">
        <f t="shared" si="62"/>
        <v>0.29125807709201984</v>
      </c>
      <c r="AC68" s="3">
        <f t="shared" ref="AC68:AC127" si="63">L68/K68</f>
        <v>0.11610796761322824</v>
      </c>
      <c r="AD68" s="6">
        <f>AA68/AA70-1</f>
        <v>0.45429423231280852</v>
      </c>
      <c r="AE68" s="6">
        <f>AB68/AB70-1</f>
        <v>-0.87903727782004282</v>
      </c>
      <c r="AF68" s="6">
        <f>AC68/AC70-1</f>
        <v>-0.96990946754641705</v>
      </c>
    </row>
    <row r="69" spans="1:33">
      <c r="A69" s="6">
        <v>1500</v>
      </c>
      <c r="B69" s="6">
        <v>170</v>
      </c>
      <c r="C69" s="33">
        <v>16.920000000000002</v>
      </c>
      <c r="D69" s="33">
        <v>5.44</v>
      </c>
      <c r="E69" s="33">
        <v>4.74</v>
      </c>
      <c r="F69" s="33">
        <v>7.27</v>
      </c>
      <c r="G69" s="33">
        <v>0.11</v>
      </c>
      <c r="H69" s="33">
        <v>0.36</v>
      </c>
      <c r="I69" s="3">
        <f t="shared" si="49"/>
        <v>4.4772616712436255</v>
      </c>
      <c r="J69" s="3">
        <f t="shared" si="50"/>
        <v>3.2805152787288732</v>
      </c>
      <c r="K69" s="6">
        <f t="shared" si="51"/>
        <v>2.8408782210202088</v>
      </c>
      <c r="L69" s="6">
        <f t="shared" si="52"/>
        <v>5.1958018738386587</v>
      </c>
      <c r="M69" s="6">
        <f t="shared" si="53"/>
        <v>4.5656188959660303E-2</v>
      </c>
      <c r="N69" s="6">
        <f t="shared" si="54"/>
        <v>0.13353442607080795</v>
      </c>
      <c r="O69" s="6">
        <f t="shared" si="55"/>
        <v>45.444033400701336</v>
      </c>
      <c r="P69" s="6">
        <f t="shared" si="56"/>
        <v>45.655605383374095</v>
      </c>
      <c r="Q69" s="6">
        <f>(I69/I70-1)*100</f>
        <v>22.875816993464081</v>
      </c>
      <c r="R69" s="6">
        <f>(J69/J70-1)*100</f>
        <v>-28.515111695137975</v>
      </c>
      <c r="S69" s="6">
        <f>(K69/K70-1)*100</f>
        <v>49.056603773584897</v>
      </c>
      <c r="T69" s="6">
        <f t="shared" si="57"/>
        <v>219.34701303952286</v>
      </c>
      <c r="U69" s="6">
        <f t="shared" si="58"/>
        <v>0.39482462347114117</v>
      </c>
      <c r="V69" s="6">
        <f t="shared" si="59"/>
        <v>3.2902051955928428E-2</v>
      </c>
      <c r="W69" s="6">
        <f>I70*(100-U69)/100</f>
        <v>3.6293425743370897</v>
      </c>
      <c r="X69" s="6">
        <f>K70*(100-V69)/100</f>
        <v>1.9052785598857214</v>
      </c>
      <c r="Y69" s="6">
        <f t="shared" si="60"/>
        <v>1.9048881621566023</v>
      </c>
      <c r="Z69" s="6">
        <f>Y69/AA70-1</f>
        <v>-3.6204169066038627E-3</v>
      </c>
      <c r="AA69" s="3">
        <f t="shared" si="61"/>
        <v>1.5760132335541517</v>
      </c>
      <c r="AB69" s="3">
        <f t="shared" si="62"/>
        <v>1.1547539259006967</v>
      </c>
      <c r="AC69" s="3">
        <f t="shared" si="63"/>
        <v>1.8289421332438374</v>
      </c>
      <c r="AD69" s="6">
        <f>AA69/AA70-1</f>
        <v>-0.17564325308182338</v>
      </c>
      <c r="AE69" s="6">
        <f>AB69/AB70-1</f>
        <v>-0.52041783795472307</v>
      </c>
      <c r="AF69" s="6">
        <f>AC69/AC70-1</f>
        <v>-0.52601148958679322</v>
      </c>
    </row>
    <row r="70" spans="1:33" s="2" customFormat="1">
      <c r="A70" s="2">
        <v>1500</v>
      </c>
      <c r="B70" s="2">
        <v>195</v>
      </c>
      <c r="C70" s="31">
        <v>13.77</v>
      </c>
      <c r="D70" s="31">
        <v>7.61</v>
      </c>
      <c r="E70" s="31">
        <v>3.18</v>
      </c>
      <c r="F70" s="31">
        <v>10.29</v>
      </c>
      <c r="G70" s="31">
        <v>0.91</v>
      </c>
      <c r="H70" s="31">
        <v>2.83</v>
      </c>
      <c r="I70" s="2">
        <f t="shared" si="49"/>
        <v>3.6437289132993329</v>
      </c>
      <c r="J70" s="2">
        <f t="shared" si="50"/>
        <v>4.5891031748394715</v>
      </c>
      <c r="K70" s="2">
        <f t="shared" si="51"/>
        <v>1.9059056419502667</v>
      </c>
      <c r="L70" s="2">
        <f t="shared" si="52"/>
        <v>7.3541679892434395</v>
      </c>
      <c r="M70" s="2">
        <f t="shared" si="53"/>
        <v>0.37770119957537157</v>
      </c>
      <c r="N70" s="2">
        <f t="shared" si="54"/>
        <v>1.0497289605010738</v>
      </c>
      <c r="AA70" s="2">
        <f t="shared" si="61"/>
        <v>1.911809710354178</v>
      </c>
      <c r="AB70" s="2">
        <f t="shared" si="62"/>
        <v>2.4078333543016086</v>
      </c>
      <c r="AC70" s="2">
        <f t="shared" si="63"/>
        <v>3.8586212388343104</v>
      </c>
    </row>
    <row r="71" spans="1:33">
      <c r="A71" s="6">
        <v>1800</v>
      </c>
      <c r="B71" s="6">
        <v>0</v>
      </c>
      <c r="C71" s="33">
        <v>9.32</v>
      </c>
      <c r="D71" s="33">
        <v>0.62</v>
      </c>
      <c r="E71" s="33">
        <v>4.79</v>
      </c>
      <c r="F71" s="33">
        <v>0.38</v>
      </c>
      <c r="G71" s="33">
        <v>0.87</v>
      </c>
      <c r="H71" s="33">
        <v>0.05</v>
      </c>
      <c r="I71" s="3">
        <f t="shared" ref="I71:I79" si="64">C71*26.98/101.96</f>
        <v>2.4661985092193022</v>
      </c>
      <c r="J71" s="3">
        <f t="shared" ref="J71:J79" si="65">D71*24.305/40.3044</f>
        <v>0.37388225603159947</v>
      </c>
      <c r="K71" s="6">
        <f t="shared" ref="K71:K79" si="66">E71*47.867/79.866</f>
        <v>2.870845290862194</v>
      </c>
      <c r="L71" s="6">
        <f t="shared" ref="L71:L79" si="67">F71*40.078/56.0774</f>
        <v>0.27158249134232332</v>
      </c>
      <c r="M71" s="6">
        <f t="shared" ref="M71:M79" si="68">G71*39.0983/94.2</f>
        <v>0.36109894904458595</v>
      </c>
      <c r="N71" s="6">
        <f t="shared" ref="N71:N79" si="69">H71*22.989769/61.9789</f>
        <v>1.8546448065389996E-2</v>
      </c>
      <c r="O71" s="6">
        <f t="shared" ref="O71:O78" si="70">100*(I71/(I71+L71+M71+N71))</f>
        <v>79.11007974595006</v>
      </c>
      <c r="P71" s="6">
        <f t="shared" ref="P71:P78" si="71">100*(I71/(I71+L71+N71))</f>
        <v>89.474075746978741</v>
      </c>
      <c r="Q71" s="3">
        <f>(I71/I79-1)*100</f>
        <v>-37.700534759358284</v>
      </c>
      <c r="R71" s="3">
        <f>(J71/J79-1)*100</f>
        <v>-90.44684129429892</v>
      </c>
      <c r="S71" s="3">
        <f>(K71/K79-1)*100</f>
        <v>52.063492063492056</v>
      </c>
      <c r="T71" s="6">
        <f t="shared" ref="T71:T78" si="72">R71/-0.13</f>
        <v>695.74493303306861</v>
      </c>
      <c r="U71" s="6">
        <f t="shared" ref="U71:U78" si="73">T71*0.0018</f>
        <v>1.2523408794595234</v>
      </c>
      <c r="V71" s="6">
        <f t="shared" ref="V71:V78" si="74">T71*0.00015</f>
        <v>0.10436173995496029</v>
      </c>
      <c r="W71" s="3">
        <f>I79*(100-U71)/100</f>
        <v>3.9090436614711503</v>
      </c>
      <c r="X71" s="3">
        <f>K79*(100-V71)/100</f>
        <v>1.8859551282485367</v>
      </c>
      <c r="Y71" s="6">
        <f t="shared" ref="Y71:Y78" si="75">W71/X71</f>
        <v>2.0727129733470546</v>
      </c>
      <c r="Z71" s="3">
        <f>Y71/AA79-1</f>
        <v>-1.1491784421219453E-2</v>
      </c>
      <c r="AA71" s="3">
        <f t="shared" ref="AA71:AA79" si="76">I71/K71</f>
        <v>0.85904960363734362</v>
      </c>
      <c r="AB71" s="3">
        <f t="shared" ref="AB71:AB79" si="77">J71/K71</f>
        <v>0.13023420566118779</v>
      </c>
      <c r="AC71" s="3">
        <f t="shared" si="63"/>
        <v>9.4600183509282593E-2</v>
      </c>
      <c r="AD71" s="3">
        <f>AA71/AA79-1</f>
        <v>-0.59030623067218913</v>
      </c>
      <c r="AE71" s="3">
        <f>AB71/AB79-1</f>
        <v>-0.93717651373077582</v>
      </c>
      <c r="AF71" s="3">
        <f>AC71/AC79-1</f>
        <v>-0.97717848256927964</v>
      </c>
      <c r="AG71" s="3"/>
    </row>
    <row r="72" spans="1:33">
      <c r="A72" s="6">
        <v>1800</v>
      </c>
      <c r="B72" s="6">
        <v>10</v>
      </c>
      <c r="C72" s="33">
        <v>25.18</v>
      </c>
      <c r="D72" s="33">
        <v>0.23</v>
      </c>
      <c r="E72" s="33">
        <v>1.24</v>
      </c>
      <c r="F72" s="33">
        <v>0.1</v>
      </c>
      <c r="G72" s="33">
        <v>0.38</v>
      </c>
      <c r="H72" s="33">
        <v>0.3</v>
      </c>
      <c r="I72" s="3">
        <f t="shared" si="64"/>
        <v>6.6629697920753239</v>
      </c>
      <c r="J72" s="3">
        <f t="shared" si="65"/>
        <v>0.13869825626978693</v>
      </c>
      <c r="K72" s="6">
        <f t="shared" si="66"/>
        <v>0.74318333208123599</v>
      </c>
      <c r="L72" s="6">
        <f t="shared" si="67"/>
        <v>7.1469076669032461E-2</v>
      </c>
      <c r="M72" s="6">
        <f t="shared" si="68"/>
        <v>0.15772138004246286</v>
      </c>
      <c r="N72" s="6">
        <f t="shared" si="69"/>
        <v>0.11127868839233997</v>
      </c>
      <c r="O72" s="6">
        <f t="shared" si="70"/>
        <v>95.138543390499393</v>
      </c>
      <c r="P72" s="6">
        <f t="shared" si="71"/>
        <v>97.330480500603528</v>
      </c>
      <c r="Q72" s="3">
        <f>(I72/I79-1)*100</f>
        <v>68.315508021390372</v>
      </c>
      <c r="R72" s="3">
        <f>(J72/J79-1)*100</f>
        <v>-96.456086286594768</v>
      </c>
      <c r="S72" s="3">
        <f>(K72/K79-1)*100</f>
        <v>-60.63492063492064</v>
      </c>
      <c r="T72" s="6">
        <f t="shared" si="72"/>
        <v>741.96989451226739</v>
      </c>
      <c r="U72" s="6">
        <f t="shared" si="73"/>
        <v>1.3355458101220812</v>
      </c>
      <c r="V72" s="6">
        <f t="shared" si="74"/>
        <v>0.1112954841768401</v>
      </c>
      <c r="W72" s="3">
        <f>I79*(100-U72)/100</f>
        <v>3.9057498952218399</v>
      </c>
      <c r="X72" s="3">
        <f>K79*(100-V72)/100</f>
        <v>1.8858242243301979</v>
      </c>
      <c r="Y72" s="6">
        <f t="shared" si="75"/>
        <v>2.071110257695981</v>
      </c>
      <c r="Z72" s="3">
        <f>Y72/AA79-1</f>
        <v>-1.2256143794029617E-2</v>
      </c>
      <c r="AA72" s="3">
        <f t="shared" si="76"/>
        <v>8.9654456773352482</v>
      </c>
      <c r="AB72" s="3">
        <f t="shared" si="77"/>
        <v>0.18662724294605962</v>
      </c>
      <c r="AC72" s="3">
        <f t="shared" si="63"/>
        <v>9.616614579997107E-2</v>
      </c>
      <c r="AD72" s="3">
        <f>AA72/AA79-1</f>
        <v>3.2757568569949971</v>
      </c>
      <c r="AE72" s="3">
        <f>AB72/AB79-1</f>
        <v>-0.9099731596997862</v>
      </c>
      <c r="AF72" s="3">
        <f>AC72/AC79-1</f>
        <v>-0.97680070702607158</v>
      </c>
      <c r="AG72" s="3"/>
    </row>
    <row r="73" spans="1:33">
      <c r="A73" s="6">
        <v>1800</v>
      </c>
      <c r="B73" s="6">
        <v>24</v>
      </c>
      <c r="C73" s="33">
        <v>26.88</v>
      </c>
      <c r="D73" s="33">
        <v>0.22</v>
      </c>
      <c r="E73" s="33">
        <v>1.0900000000000001</v>
      </c>
      <c r="F73" s="33">
        <v>7.0000000000000007E-2</v>
      </c>
      <c r="G73" s="33">
        <v>0.38</v>
      </c>
      <c r="H73" s="33">
        <v>0.34</v>
      </c>
      <c r="I73" s="3">
        <f t="shared" si="64"/>
        <v>7.1128128677912912</v>
      </c>
      <c r="J73" s="3">
        <f t="shared" si="65"/>
        <v>0.1326678973015353</v>
      </c>
      <c r="K73" s="6">
        <f t="shared" si="66"/>
        <v>0.65328212255528006</v>
      </c>
      <c r="L73" s="6">
        <f t="shared" si="67"/>
        <v>5.0028353668322721E-2</v>
      </c>
      <c r="M73" s="6">
        <f t="shared" si="68"/>
        <v>0.15772138004246286</v>
      </c>
      <c r="N73" s="6">
        <f t="shared" si="69"/>
        <v>0.12611584684465196</v>
      </c>
      <c r="O73" s="6">
        <f t="shared" si="70"/>
        <v>95.5165838988313</v>
      </c>
      <c r="P73" s="6">
        <f t="shared" si="71"/>
        <v>97.58341009746195</v>
      </c>
      <c r="Q73" s="6">
        <f>(I73/I79-1)*100</f>
        <v>79.679144385026717</v>
      </c>
      <c r="R73" s="6">
        <f>(J73/J79-1)*100</f>
        <v>-96.610169491525426</v>
      </c>
      <c r="S73" s="6">
        <f>(K73/K79-1)*100</f>
        <v>-65.396825396825392</v>
      </c>
      <c r="T73" s="6">
        <f t="shared" si="72"/>
        <v>743.15514993481099</v>
      </c>
      <c r="U73" s="6">
        <f t="shared" si="73"/>
        <v>1.3376792698826598</v>
      </c>
      <c r="V73" s="6">
        <f t="shared" si="74"/>
        <v>0.11147327249022164</v>
      </c>
      <c r="W73" s="6">
        <f>I79*(100-U73)/100</f>
        <v>3.9056654396769863</v>
      </c>
      <c r="X73" s="6">
        <f>K79*(100-V73)/100</f>
        <v>1.8858208678194712</v>
      </c>
      <c r="Y73" s="6">
        <f t="shared" si="75"/>
        <v>2.071069159497112</v>
      </c>
      <c r="Z73" s="6">
        <f>Y73/AA79-1</f>
        <v>-1.2275744147648204E-2</v>
      </c>
      <c r="AA73" s="3">
        <f t="shared" si="76"/>
        <v>10.887811899658118</v>
      </c>
      <c r="AB73" s="3">
        <f t="shared" si="77"/>
        <v>0.20307902622929816</v>
      </c>
      <c r="AC73" s="3">
        <f t="shared" si="63"/>
        <v>7.6580013352637505E-2</v>
      </c>
      <c r="AD73" s="6">
        <f>AA73/AA79-1</f>
        <v>4.1925624294755437</v>
      </c>
      <c r="AE73" s="6">
        <f>AB73/AB79-1</f>
        <v>-0.90203700824133104</v>
      </c>
      <c r="AF73" s="6">
        <f>AC73/AC79-1</f>
        <v>-0.98152570064094513</v>
      </c>
      <c r="AG73" s="3"/>
    </row>
    <row r="74" spans="1:33">
      <c r="A74" s="6">
        <v>1800</v>
      </c>
      <c r="B74" s="6">
        <v>44</v>
      </c>
      <c r="C74" s="33">
        <v>23.91</v>
      </c>
      <c r="D74" s="33">
        <v>0.33</v>
      </c>
      <c r="E74" s="33">
        <v>2.08</v>
      </c>
      <c r="F74" s="33">
        <v>0.06</v>
      </c>
      <c r="G74" s="33">
        <v>0.39</v>
      </c>
      <c r="H74" s="33">
        <v>0.13</v>
      </c>
      <c r="I74" s="3">
        <f t="shared" si="64"/>
        <v>6.3269105531581022</v>
      </c>
      <c r="J74" s="3">
        <f t="shared" si="65"/>
        <v>0.19900184595230297</v>
      </c>
      <c r="K74" s="6">
        <f t="shared" si="66"/>
        <v>1.2466301054265896</v>
      </c>
      <c r="L74" s="6">
        <f t="shared" si="67"/>
        <v>4.2881446001419465E-2</v>
      </c>
      <c r="M74" s="6">
        <f t="shared" si="68"/>
        <v>0.16187194267515925</v>
      </c>
      <c r="N74" s="6">
        <f t="shared" si="69"/>
        <v>4.8220764970013985E-2</v>
      </c>
      <c r="O74" s="6">
        <f t="shared" si="70"/>
        <v>96.155340634084737</v>
      </c>
      <c r="P74" s="6">
        <f t="shared" si="71"/>
        <v>98.580523063453441</v>
      </c>
      <c r="Q74" s="6">
        <f>(I74/I79-1)*100</f>
        <v>59.826203208556159</v>
      </c>
      <c r="R74" s="6">
        <f>(J74/J79-1)*100</f>
        <v>-94.915254237288138</v>
      </c>
      <c r="S74" s="6">
        <f>(K74/K79-1)*100</f>
        <v>-33.968253968253961</v>
      </c>
      <c r="T74" s="6">
        <f t="shared" si="72"/>
        <v>730.11734028683179</v>
      </c>
      <c r="U74" s="6">
        <f t="shared" si="73"/>
        <v>1.3142112125162972</v>
      </c>
      <c r="V74" s="6">
        <f t="shared" si="74"/>
        <v>0.10951760104302476</v>
      </c>
      <c r="W74" s="6">
        <f>I79*(100-U74)/100</f>
        <v>3.9065944506703811</v>
      </c>
      <c r="X74" s="6">
        <f>K79*(100-V74)/100</f>
        <v>1.8858577894374642</v>
      </c>
      <c r="Y74" s="6">
        <f t="shared" si="75"/>
        <v>2.0715212316384077</v>
      </c>
      <c r="Z74" s="6">
        <f>Y74/AA79-1</f>
        <v>-1.2060144095228265E-2</v>
      </c>
      <c r="AA74" s="3">
        <f t="shared" si="76"/>
        <v>5.0752107827470363</v>
      </c>
      <c r="AB74" s="3">
        <f t="shared" si="77"/>
        <v>0.15963183071389545</v>
      </c>
      <c r="AC74" s="3">
        <f t="shared" si="63"/>
        <v>3.4397890613066563E-2</v>
      </c>
      <c r="AD74" s="6">
        <f>AA74/AA79-1</f>
        <v>1.4204449043603455</v>
      </c>
      <c r="AE74" s="6">
        <f>AB74/AB79-1</f>
        <v>-0.92299543676662321</v>
      </c>
      <c r="AF74" s="6">
        <f>AC74/AC79-1</f>
        <v>-0.99170179135932557</v>
      </c>
    </row>
    <row r="75" spans="1:33">
      <c r="A75" s="6">
        <v>1800</v>
      </c>
      <c r="B75" s="6">
        <v>61</v>
      </c>
      <c r="C75" s="33">
        <v>19.95</v>
      </c>
      <c r="D75" s="33">
        <v>0.43</v>
      </c>
      <c r="E75" s="33">
        <v>3.35</v>
      </c>
      <c r="F75" s="33">
        <v>0.05</v>
      </c>
      <c r="G75" s="33">
        <v>0.54</v>
      </c>
      <c r="H75" s="33">
        <v>0.06</v>
      </c>
      <c r="I75" s="3">
        <f t="shared" si="64"/>
        <v>5.2790408003138483</v>
      </c>
      <c r="J75" s="3">
        <f t="shared" si="65"/>
        <v>0.259305435634819</v>
      </c>
      <c r="K75" s="6">
        <f t="shared" si="66"/>
        <v>2.0077936794130165</v>
      </c>
      <c r="L75" s="6">
        <f t="shared" si="67"/>
        <v>3.573453833451623E-2</v>
      </c>
      <c r="M75" s="6">
        <f t="shared" si="68"/>
        <v>0.2241303821656051</v>
      </c>
      <c r="N75" s="6">
        <f t="shared" si="69"/>
        <v>2.2255737678467991E-2</v>
      </c>
      <c r="O75" s="6">
        <f t="shared" si="70"/>
        <v>94.926947180291549</v>
      </c>
      <c r="P75" s="6">
        <f t="shared" si="71"/>
        <v>98.913435668939456</v>
      </c>
      <c r="Q75" s="6">
        <f>(I75/I79-1)*100</f>
        <v>33.355614973262007</v>
      </c>
      <c r="R75" s="6">
        <f>(J75/J79-1)*100</f>
        <v>-93.374422187981509</v>
      </c>
      <c r="S75" s="6">
        <f>(K75/K79-1)*100</f>
        <v>6.3492063492063489</v>
      </c>
      <c r="T75" s="6">
        <f t="shared" si="72"/>
        <v>718.26478606139619</v>
      </c>
      <c r="U75" s="6">
        <f t="shared" si="73"/>
        <v>1.2928766149105131</v>
      </c>
      <c r="V75" s="6">
        <f t="shared" si="74"/>
        <v>0.10773971790920941</v>
      </c>
      <c r="W75" s="6">
        <f>I79*(100-U75)/100</f>
        <v>3.9074390061189224</v>
      </c>
      <c r="X75" s="6">
        <f>K79*(100-V75)/100</f>
        <v>1.8858913545447304</v>
      </c>
      <c r="Y75" s="6">
        <f t="shared" si="75"/>
        <v>2.0719321909518005</v>
      </c>
      <c r="Z75" s="6">
        <f>Y75/AA79-1</f>
        <v>-1.1864151373234821E-2</v>
      </c>
      <c r="AA75" s="3">
        <f t="shared" si="76"/>
        <v>2.62927453873507</v>
      </c>
      <c r="AB75" s="3">
        <f t="shared" si="77"/>
        <v>0.12914944313931082</v>
      </c>
      <c r="AC75" s="3">
        <f t="shared" si="63"/>
        <v>1.7797913551039424E-2</v>
      </c>
      <c r="AD75" s="6">
        <f>AA75/AA79-1</f>
        <v>0.2539408572112698</v>
      </c>
      <c r="AE75" s="6">
        <f>AB75/AB79-1</f>
        <v>-0.93769979072281118</v>
      </c>
      <c r="AF75" s="6">
        <f>AC75/AC79-1</f>
        <v>-0.99570639950930284</v>
      </c>
    </row>
    <row r="76" spans="1:33">
      <c r="A76" s="6">
        <v>1800</v>
      </c>
      <c r="B76" s="6">
        <v>100</v>
      </c>
      <c r="C76" s="33">
        <v>23.34</v>
      </c>
      <c r="D76" s="33">
        <v>0.41</v>
      </c>
      <c r="E76" s="33">
        <v>3.62</v>
      </c>
      <c r="F76" s="33">
        <v>0.04</v>
      </c>
      <c r="G76" s="33">
        <v>0.26</v>
      </c>
      <c r="H76" s="33">
        <v>0.02</v>
      </c>
      <c r="I76" s="3">
        <f t="shared" si="64"/>
        <v>6.1760808160062775</v>
      </c>
      <c r="J76" s="3">
        <f t="shared" si="65"/>
        <v>0.2472447176983158</v>
      </c>
      <c r="K76" s="6">
        <f t="shared" si="66"/>
        <v>2.1696158565597377</v>
      </c>
      <c r="L76" s="6">
        <f t="shared" si="67"/>
        <v>2.8587630667612982E-2</v>
      </c>
      <c r="M76" s="6">
        <f t="shared" si="68"/>
        <v>0.10791462845010616</v>
      </c>
      <c r="N76" s="6">
        <f t="shared" si="69"/>
        <v>7.4185792261559974E-3</v>
      </c>
      <c r="O76" s="6">
        <f t="shared" si="70"/>
        <v>97.722772141288715</v>
      </c>
      <c r="P76" s="6">
        <f t="shared" si="71"/>
        <v>99.420384651025515</v>
      </c>
      <c r="Q76" s="6">
        <f>(I76/I79-1)*100</f>
        <v>56.016042780748656</v>
      </c>
      <c r="R76" s="6">
        <f>(J76/J79-1)*100</f>
        <v>-93.682588597842837</v>
      </c>
      <c r="S76" s="6">
        <f>(K76/K79-1)*100</f>
        <v>14.920634920634935</v>
      </c>
      <c r="T76" s="6">
        <f t="shared" si="72"/>
        <v>720.63529690648329</v>
      </c>
      <c r="U76" s="6">
        <f t="shared" si="73"/>
        <v>1.29714353443167</v>
      </c>
      <c r="V76" s="6">
        <f t="shared" si="74"/>
        <v>0.10809529453597248</v>
      </c>
      <c r="W76" s="6">
        <f>I79*(100-U76)/100</f>
        <v>3.9072700950292143</v>
      </c>
      <c r="X76" s="6">
        <f>K79*(100-V76)/100</f>
        <v>1.8858846415232773</v>
      </c>
      <c r="Y76" s="6">
        <f t="shared" si="75"/>
        <v>2.0718500002594071</v>
      </c>
      <c r="Z76" s="6">
        <f>Y76/AA79-1</f>
        <v>-1.1903349359506765E-2</v>
      </c>
      <c r="AA76" s="3">
        <f t="shared" si="76"/>
        <v>2.8466241142795718</v>
      </c>
      <c r="AB76" s="3">
        <f t="shared" si="77"/>
        <v>0.1139578312680479</v>
      </c>
      <c r="AC76" s="3">
        <f t="shared" si="63"/>
        <v>1.3176355888614818E-2</v>
      </c>
      <c r="AD76" s="6">
        <f>AA76/AA79-1</f>
        <v>0.35759816231866925</v>
      </c>
      <c r="AE76" s="6">
        <f>AB76/AB79-1</f>
        <v>-0.94502804995360479</v>
      </c>
      <c r="AF76" s="6">
        <f>AC76/AC79-1</f>
        <v>-0.9968213123439037</v>
      </c>
    </row>
    <row r="77" spans="1:33">
      <c r="A77" s="6">
        <v>1800</v>
      </c>
      <c r="B77" s="6">
        <v>140</v>
      </c>
      <c r="C77" s="33">
        <v>23.67</v>
      </c>
      <c r="D77" s="33">
        <v>0.57999999999999996</v>
      </c>
      <c r="E77" s="33">
        <v>4.74</v>
      </c>
      <c r="F77" s="33">
        <v>0.14000000000000001</v>
      </c>
      <c r="G77" s="33">
        <v>0.2</v>
      </c>
      <c r="H77" s="33">
        <v>5.0000000000000001E-3</v>
      </c>
      <c r="I77" s="3">
        <f t="shared" si="64"/>
        <v>6.2634032954099661</v>
      </c>
      <c r="J77" s="3">
        <f t="shared" si="65"/>
        <v>0.34976082015859306</v>
      </c>
      <c r="K77" s="6">
        <f t="shared" si="66"/>
        <v>2.8408782210202088</v>
      </c>
      <c r="L77" s="6">
        <f t="shared" si="67"/>
        <v>0.10005670733664544</v>
      </c>
      <c r="M77" s="6">
        <f t="shared" si="68"/>
        <v>8.3011252653927822E-2</v>
      </c>
      <c r="N77" s="6">
        <f t="shared" si="69"/>
        <v>1.8546448065389993E-3</v>
      </c>
      <c r="O77" s="6">
        <f t="shared" si="70"/>
        <v>97.132238542856925</v>
      </c>
      <c r="P77" s="6">
        <f t="shared" si="71"/>
        <v>98.398958138191034</v>
      </c>
      <c r="Q77" s="6">
        <f>(I77/I79-1)*100</f>
        <v>58.221925133689844</v>
      </c>
      <c r="R77" s="6">
        <f>(J77/J79-1)*100</f>
        <v>-91.063174114021578</v>
      </c>
      <c r="S77" s="6">
        <f>(K77/K79-1)*100</f>
        <v>50.476190476190474</v>
      </c>
      <c r="T77" s="6">
        <f t="shared" si="72"/>
        <v>700.48595472324291</v>
      </c>
      <c r="U77" s="6">
        <f t="shared" si="73"/>
        <v>1.2608747185018372</v>
      </c>
      <c r="V77" s="6">
        <f t="shared" si="74"/>
        <v>0.10507289320848642</v>
      </c>
      <c r="W77" s="6">
        <f>I79*(100-U77)/100</f>
        <v>3.9087058392917338</v>
      </c>
      <c r="X77" s="6">
        <f>K79*(100-V77)/100</f>
        <v>1.88594170220563</v>
      </c>
      <c r="Y77" s="6">
        <f t="shared" si="75"/>
        <v>2.0725486024941588</v>
      </c>
      <c r="Z77" s="6">
        <f>Y77/AA79-1</f>
        <v>-1.1570175370945068E-2</v>
      </c>
      <c r="AA77" s="3">
        <f t="shared" si="76"/>
        <v>2.2047419171528828</v>
      </c>
      <c r="AB77" s="3">
        <f t="shared" si="77"/>
        <v>0.12311714651147132</v>
      </c>
      <c r="AC77" s="3">
        <f t="shared" si="63"/>
        <v>3.5220343693829065E-2</v>
      </c>
      <c r="AD77" s="6">
        <f>AA77/AA79-1</f>
        <v>5.147481892642003E-2</v>
      </c>
      <c r="AE77" s="6">
        <f>AB77/AB79-1</f>
        <v>-0.9406097013906497</v>
      </c>
      <c r="AF77" s="6">
        <f>AC77/AC79-1</f>
        <v>-0.99150338130743887</v>
      </c>
    </row>
    <row r="78" spans="1:33">
      <c r="A78" s="6">
        <v>1800</v>
      </c>
      <c r="B78" s="6">
        <v>157</v>
      </c>
      <c r="C78" s="33">
        <v>16.52</v>
      </c>
      <c r="D78" s="33">
        <v>5.0999999999999996</v>
      </c>
      <c r="E78" s="33">
        <v>5.67</v>
      </c>
      <c r="F78" s="33">
        <v>6.29</v>
      </c>
      <c r="G78" s="33">
        <v>0.32</v>
      </c>
      <c r="H78" s="33">
        <v>0.49</v>
      </c>
      <c r="I78" s="3">
        <f t="shared" si="64"/>
        <v>4.3714162416633977</v>
      </c>
      <c r="J78" s="3">
        <f t="shared" si="65"/>
        <v>3.0754830738083183</v>
      </c>
      <c r="K78" s="6">
        <f t="shared" si="66"/>
        <v>3.3982657200811359</v>
      </c>
      <c r="L78" s="6">
        <f t="shared" si="67"/>
        <v>4.4954049224821411</v>
      </c>
      <c r="M78" s="6">
        <f t="shared" si="68"/>
        <v>0.13281800424628451</v>
      </c>
      <c r="N78" s="6">
        <f t="shared" si="69"/>
        <v>0.18175519104082194</v>
      </c>
      <c r="O78" s="6">
        <f t="shared" si="70"/>
        <v>47.611681521689107</v>
      </c>
      <c r="P78" s="6">
        <f t="shared" si="71"/>
        <v>48.310541571081949</v>
      </c>
      <c r="Q78" s="6">
        <f>(I78/I79-1)*100</f>
        <v>10.427807486631014</v>
      </c>
      <c r="R78" s="6">
        <f>(J78/J79-1)*100</f>
        <v>-21.417565485362111</v>
      </c>
      <c r="S78" s="6">
        <f>(K78/K79-1)*100</f>
        <v>80</v>
      </c>
      <c r="T78" s="6">
        <f t="shared" si="72"/>
        <v>164.75050373355469</v>
      </c>
      <c r="U78" s="6">
        <f t="shared" si="73"/>
        <v>0.29655090672039847</v>
      </c>
      <c r="V78" s="6">
        <f t="shared" si="74"/>
        <v>2.4712575560033201E-2</v>
      </c>
      <c r="W78" s="6">
        <f>I79*(100-U78)/100</f>
        <v>3.9468797455657896</v>
      </c>
      <c r="X78" s="6">
        <f>K79*(100-V78)/100</f>
        <v>1.8874588450540721</v>
      </c>
      <c r="Y78" s="6">
        <f t="shared" si="75"/>
        <v>2.0911077112532852</v>
      </c>
      <c r="Z78" s="6">
        <f>Y78/AA79-1</f>
        <v>-2.7190552601892293E-3</v>
      </c>
      <c r="AA78" s="3">
        <f t="shared" si="76"/>
        <v>1.2863668122924263</v>
      </c>
      <c r="AB78" s="3">
        <f t="shared" si="77"/>
        <v>0.90501547764042689</v>
      </c>
      <c r="AC78" s="3">
        <f t="shared" si="63"/>
        <v>1.3228526821542401</v>
      </c>
      <c r="AD78" s="6">
        <f>AA78/AA79-1</f>
        <v>-0.38651218062982773</v>
      </c>
      <c r="AE78" s="6">
        <f>AB78/AB79-1</f>
        <v>-0.56343091936312284</v>
      </c>
      <c r="AF78" s="6">
        <f>AC78/AC79-1</f>
        <v>-0.68087265347539327</v>
      </c>
    </row>
    <row r="79" spans="1:33" s="2" customFormat="1">
      <c r="A79" s="2">
        <v>1800</v>
      </c>
      <c r="B79" s="2">
        <v>179</v>
      </c>
      <c r="C79" s="31">
        <v>14.96</v>
      </c>
      <c r="D79" s="31">
        <v>6.49</v>
      </c>
      <c r="E79" s="31">
        <v>3.15</v>
      </c>
      <c r="F79" s="31">
        <v>10.95</v>
      </c>
      <c r="G79" s="31">
        <v>0.68</v>
      </c>
      <c r="H79" s="31">
        <v>2.54</v>
      </c>
      <c r="I79" s="2">
        <f t="shared" si="64"/>
        <v>3.9586190663005105</v>
      </c>
      <c r="J79" s="2">
        <f t="shared" si="65"/>
        <v>3.9137029703952919</v>
      </c>
      <c r="K79" s="2">
        <f t="shared" si="66"/>
        <v>1.8879254000450754</v>
      </c>
      <c r="L79" s="2">
        <f t="shared" si="67"/>
        <v>7.8258638952590536</v>
      </c>
      <c r="M79" s="2">
        <f t="shared" si="68"/>
        <v>0.28223825902335459</v>
      </c>
      <c r="N79" s="2">
        <f t="shared" si="69"/>
        <v>0.9421595617218117</v>
      </c>
      <c r="AA79" s="2">
        <f t="shared" si="76"/>
        <v>2.0968090509328365</v>
      </c>
      <c r="AB79" s="2">
        <f t="shared" si="77"/>
        <v>2.0730178058422486</v>
      </c>
      <c r="AC79" s="2">
        <f t="shared" si="63"/>
        <v>4.1452188180063718</v>
      </c>
    </row>
    <row r="80" spans="1:33">
      <c r="A80" s="6">
        <v>1900</v>
      </c>
      <c r="B80" s="6">
        <v>0</v>
      </c>
      <c r="C80" s="33">
        <v>10.71</v>
      </c>
      <c r="D80" s="33">
        <v>0.68</v>
      </c>
      <c r="E80" s="33">
        <v>3.47</v>
      </c>
      <c r="F80" s="33">
        <v>0.98</v>
      </c>
      <c r="G80" s="33">
        <v>0.55000000000000004</v>
      </c>
      <c r="H80" s="33">
        <v>0.04</v>
      </c>
      <c r="I80" s="3">
        <f t="shared" ref="I80:I90" si="78">C80*26.98/101.96</f>
        <v>2.8340113770105928</v>
      </c>
      <c r="J80" s="3">
        <f t="shared" ref="J80:J90" si="79">D80*24.305/40.3044</f>
        <v>0.41006440984110915</v>
      </c>
      <c r="K80" s="6">
        <f t="shared" ref="K80:K90" si="80">E80*47.867/79.866</f>
        <v>2.0797146470337817</v>
      </c>
      <c r="L80" s="6">
        <f t="shared" ref="L80:L90" si="81">F80*40.078/56.0774</f>
        <v>0.70039695135651803</v>
      </c>
      <c r="M80" s="6">
        <f t="shared" ref="M80:M90" si="82">G80*39.0983/94.2</f>
        <v>0.22828094479830152</v>
      </c>
      <c r="N80" s="6">
        <f t="shared" ref="N80:N90" si="83">H80*22.989769/61.9789</f>
        <v>1.4837158452311995E-2</v>
      </c>
      <c r="O80" s="6">
        <f t="shared" ref="O80:O89" si="84">100*(I80/(I80+L80+M80+N80))</f>
        <v>75.022939701759498</v>
      </c>
      <c r="P80" s="6">
        <f t="shared" ref="P80:P89" si="85">100*(I80/(I80+L80+N80))</f>
        <v>79.848277261605503</v>
      </c>
      <c r="Q80" s="3">
        <f>(I80/I90-1)*100</f>
        <v>-22.222222222222211</v>
      </c>
      <c r="R80" s="3">
        <f>(J80/J90-1)*100</f>
        <v>-91.064388961892249</v>
      </c>
      <c r="S80" s="3">
        <f>(K80/K90-1)*100</f>
        <v>9.1194968553459219</v>
      </c>
      <c r="T80" s="6">
        <f t="shared" ref="T80:T89" si="86">R80/-0.13</f>
        <v>700.49529970686342</v>
      </c>
      <c r="U80" s="6">
        <f t="shared" ref="U80:U89" si="87">T80*0.0018</f>
        <v>1.2608915394723541</v>
      </c>
      <c r="V80" s="6">
        <f t="shared" ref="V80:V89" si="88">T80*0.00015</f>
        <v>0.1050742949560295</v>
      </c>
      <c r="W80" s="3">
        <f>I90*(100-U80)/100</f>
        <v>3.5977854437102339</v>
      </c>
      <c r="X80" s="3">
        <f>K90*(100-V80)/100</f>
        <v>1.9039030250344604</v>
      </c>
      <c r="Y80" s="6">
        <f t="shared" ref="Y80:Y89" si="89">W80/X80</f>
        <v>1.8896894413228396</v>
      </c>
      <c r="Z80" s="3">
        <f>Y80/AA90-1</f>
        <v>-1.1570329887717001E-2</v>
      </c>
      <c r="AA80" s="3">
        <f t="shared" ref="AA80:AA90" si="90">I80/K80</f>
        <v>1.3626924160257448</v>
      </c>
      <c r="AB80" s="3">
        <f t="shared" ref="AB80:AB90" si="91">J80/K80</f>
        <v>0.1971734008922659</v>
      </c>
      <c r="AC80" s="3">
        <f t="shared" si="63"/>
        <v>0.33677550540669976</v>
      </c>
      <c r="AD80" s="3">
        <f>AA80/AA90-1</f>
        <v>-0.2872238232468779</v>
      </c>
      <c r="AE80" s="3">
        <f>AB80/AB90-1</f>
        <v>-0.91811169135105863</v>
      </c>
      <c r="AF80" s="3">
        <f>AC80/AC90-1</f>
        <v>-0.91272128447920953</v>
      </c>
      <c r="AG80" s="3"/>
    </row>
    <row r="81" spans="1:33">
      <c r="A81" s="6">
        <v>1900</v>
      </c>
      <c r="B81" s="6">
        <v>13</v>
      </c>
      <c r="C81" s="33">
        <v>12.85</v>
      </c>
      <c r="D81" s="33">
        <v>0.68</v>
      </c>
      <c r="E81" s="33">
        <v>3.55</v>
      </c>
      <c r="F81" s="33">
        <v>0.96</v>
      </c>
      <c r="G81" s="33">
        <v>0.5</v>
      </c>
      <c r="H81" s="33">
        <v>0.05</v>
      </c>
      <c r="I81" s="3">
        <f t="shared" si="78"/>
        <v>3.4002844252648097</v>
      </c>
      <c r="J81" s="3">
        <f t="shared" si="79"/>
        <v>0.41006440984110915</v>
      </c>
      <c r="K81" s="6">
        <f t="shared" si="80"/>
        <v>2.127661958780958</v>
      </c>
      <c r="L81" s="6">
        <f t="shared" si="81"/>
        <v>0.68610313602271145</v>
      </c>
      <c r="M81" s="6">
        <f t="shared" si="82"/>
        <v>0.20752813163481953</v>
      </c>
      <c r="N81" s="6">
        <f t="shared" si="83"/>
        <v>1.8546448065389996E-2</v>
      </c>
      <c r="O81" s="6">
        <f t="shared" si="84"/>
        <v>78.847867276256366</v>
      </c>
      <c r="P81" s="6">
        <f t="shared" si="85"/>
        <v>82.834082533785221</v>
      </c>
      <c r="Q81" s="3">
        <f>(I81/I90-1)*100</f>
        <v>-6.681190994916486</v>
      </c>
      <c r="R81" s="3">
        <f>(J81/J90-1)*100</f>
        <v>-91.064388961892249</v>
      </c>
      <c r="S81" s="3">
        <f>(K81/K90-1)*100</f>
        <v>11.63522012578615</v>
      </c>
      <c r="T81" s="6">
        <f t="shared" si="86"/>
        <v>700.49529970686342</v>
      </c>
      <c r="U81" s="6">
        <f t="shared" si="87"/>
        <v>1.2608915394723541</v>
      </c>
      <c r="V81" s="6">
        <f t="shared" si="88"/>
        <v>0.1050742949560295</v>
      </c>
      <c r="W81" s="3">
        <f>I90*(100-U81)/100</f>
        <v>3.5977854437102339</v>
      </c>
      <c r="X81" s="3">
        <f>K90*(100-V81)/100</f>
        <v>1.9039030250344604</v>
      </c>
      <c r="Y81" s="6">
        <f t="shared" si="89"/>
        <v>1.8896894413228396</v>
      </c>
      <c r="Z81" s="3">
        <f>Y81/AA90-1</f>
        <v>-1.1570329887717001E-2</v>
      </c>
      <c r="AA81" s="3">
        <f t="shared" si="90"/>
        <v>1.5981318889646359</v>
      </c>
      <c r="AB81" s="3">
        <f t="shared" si="91"/>
        <v>0.19273005664680642</v>
      </c>
      <c r="AC81" s="3">
        <f t="shared" si="63"/>
        <v>0.32246811256418462</v>
      </c>
      <c r="AD81" s="3">
        <f>AA81/AA90-1</f>
        <v>-0.16407376722206879</v>
      </c>
      <c r="AE81" s="3">
        <f>AB81/AB90-1</f>
        <v>-0.91995706168680946</v>
      </c>
      <c r="AF81" s="3">
        <f>AC81/AC90-1</f>
        <v>-0.91642918736911261</v>
      </c>
      <c r="AG81" s="3"/>
    </row>
    <row r="82" spans="1:33">
      <c r="A82" s="6">
        <v>1900</v>
      </c>
      <c r="B82" s="6">
        <v>25</v>
      </c>
      <c r="C82" s="33">
        <v>17.72</v>
      </c>
      <c r="D82" s="33">
        <v>0.61</v>
      </c>
      <c r="E82" s="33">
        <v>3.37</v>
      </c>
      <c r="F82" s="33">
        <v>0.79</v>
      </c>
      <c r="G82" s="33">
        <v>0.31</v>
      </c>
      <c r="H82" s="33">
        <v>0.03</v>
      </c>
      <c r="I82" s="3">
        <f t="shared" si="78"/>
        <v>4.6889525304040802</v>
      </c>
      <c r="J82" s="3">
        <f t="shared" si="79"/>
        <v>0.36785189706334787</v>
      </c>
      <c r="K82" s="6">
        <f t="shared" si="80"/>
        <v>2.019780507349811</v>
      </c>
      <c r="L82" s="6">
        <f t="shared" si="81"/>
        <v>0.5646057056853564</v>
      </c>
      <c r="M82" s="6">
        <f t="shared" si="82"/>
        <v>0.12866744161358812</v>
      </c>
      <c r="N82" s="6">
        <f t="shared" si="83"/>
        <v>1.1127868839233996E-2</v>
      </c>
      <c r="O82" s="6">
        <f t="shared" si="84"/>
        <v>86.939461504618436</v>
      </c>
      <c r="P82" s="6">
        <f t="shared" si="85"/>
        <v>89.064237391368835</v>
      </c>
      <c r="Q82" s="3">
        <f>(I82/I90-1)*100</f>
        <v>28.685548293391449</v>
      </c>
      <c r="R82" s="3">
        <f>(J82/J90-1)*100</f>
        <v>-91.984231274638645</v>
      </c>
      <c r="S82" s="3">
        <f>(K82/K90-1)*100</f>
        <v>5.9748427672956073</v>
      </c>
      <c r="T82" s="6">
        <f t="shared" si="86"/>
        <v>707.57100980491259</v>
      </c>
      <c r="U82" s="6">
        <f t="shared" si="87"/>
        <v>1.2736278176488427</v>
      </c>
      <c r="V82" s="6">
        <f t="shared" si="88"/>
        <v>0.10613565147073688</v>
      </c>
      <c r="W82" s="3">
        <f>I90*(100-U82)/100</f>
        <v>3.5973213682598386</v>
      </c>
      <c r="X82" s="3">
        <f>K90*(100-V82)/100</f>
        <v>1.9038827965807652</v>
      </c>
      <c r="Y82" s="6">
        <f t="shared" si="89"/>
        <v>1.8894657668635726</v>
      </c>
      <c r="Z82" s="3">
        <f>Y82/AA90-1</f>
        <v>-1.1687326081457172E-2</v>
      </c>
      <c r="AA82" s="3">
        <f t="shared" si="90"/>
        <v>2.3215158841970092</v>
      </c>
      <c r="AB82" s="3">
        <f t="shared" si="91"/>
        <v>0.18212468915546309</v>
      </c>
      <c r="AC82" s="3">
        <f t="shared" si="63"/>
        <v>0.27953814963101381</v>
      </c>
      <c r="AD82" s="3">
        <f>AA82/AA90-1</f>
        <v>0.21430279991983614</v>
      </c>
      <c r="AE82" s="3">
        <f>AB82/AB90-1</f>
        <v>-0.92436158888234676</v>
      </c>
      <c r="AF82" s="3">
        <f>AC82/AC90-1</f>
        <v>-0.92755491344481833</v>
      </c>
      <c r="AG82" s="3"/>
    </row>
    <row r="83" spans="1:33">
      <c r="A83" s="6">
        <v>1900</v>
      </c>
      <c r="B83" s="6">
        <v>40</v>
      </c>
      <c r="C83" s="33">
        <v>11.52</v>
      </c>
      <c r="D83" s="33">
        <v>0.64</v>
      </c>
      <c r="E83" s="33">
        <v>5.19</v>
      </c>
      <c r="F83" s="33">
        <v>0.37</v>
      </c>
      <c r="G83" s="33">
        <v>0.68</v>
      </c>
      <c r="H83" s="33">
        <v>0.01</v>
      </c>
      <c r="I83" s="3">
        <f t="shared" si="78"/>
        <v>3.0483483719105533</v>
      </c>
      <c r="J83" s="3">
        <f t="shared" si="79"/>
        <v>0.38594297396810273</v>
      </c>
      <c r="K83" s="6">
        <f t="shared" si="80"/>
        <v>3.110581849598077</v>
      </c>
      <c r="L83" s="6">
        <f t="shared" si="81"/>
        <v>0.26443558367542008</v>
      </c>
      <c r="M83" s="6">
        <f t="shared" si="82"/>
        <v>0.28223825902335459</v>
      </c>
      <c r="N83" s="6">
        <f t="shared" si="83"/>
        <v>3.7092896130779987E-3</v>
      </c>
      <c r="O83" s="6">
        <f t="shared" si="84"/>
        <v>84.706190732315363</v>
      </c>
      <c r="P83" s="6">
        <f t="shared" si="85"/>
        <v>91.914807193511876</v>
      </c>
      <c r="Q83" s="3">
        <f>(I83/I90-1)*100</f>
        <v>-16.33986928104575</v>
      </c>
      <c r="R83" s="3">
        <f>(J83/J90-1)*100</f>
        <v>-91.590013140604469</v>
      </c>
      <c r="S83" s="3">
        <f>(K83/K90-1)*100</f>
        <v>63.207547169811342</v>
      </c>
      <c r="T83" s="6">
        <f t="shared" si="86"/>
        <v>704.53856262003433</v>
      </c>
      <c r="U83" s="6">
        <f t="shared" si="87"/>
        <v>1.2681694127160617</v>
      </c>
      <c r="V83" s="6">
        <f t="shared" si="88"/>
        <v>0.10568078439300514</v>
      </c>
      <c r="W83" s="3">
        <f>I90*(100-U83)/100</f>
        <v>3.5975202577385796</v>
      </c>
      <c r="X83" s="3">
        <f>K90*(100-V83)/100</f>
        <v>1.903891465918063</v>
      </c>
      <c r="Y83" s="6">
        <f t="shared" si="89"/>
        <v>1.8895616279281147</v>
      </c>
      <c r="Z83" s="3">
        <f>Y83/AA90-1</f>
        <v>-1.1637184551145374E-2</v>
      </c>
      <c r="AA83" s="3">
        <f t="shared" si="90"/>
        <v>0.97999297858194445</v>
      </c>
      <c r="AB83" s="3">
        <f t="shared" si="91"/>
        <v>0.1240742062511459</v>
      </c>
      <c r="AC83" s="3">
        <f t="shared" si="63"/>
        <v>8.5011614052074594E-2</v>
      </c>
      <c r="AD83" s="3">
        <f>AA83/AA90-1</f>
        <v>-0.48740035513241908</v>
      </c>
      <c r="AE83" s="3">
        <f>AB83/AB90-1</f>
        <v>-0.94847060074590017</v>
      </c>
      <c r="AF83" s="3">
        <f>AC83/AC90-1</f>
        <v>-0.97796839627676013</v>
      </c>
      <c r="AG83" s="3"/>
    </row>
    <row r="84" spans="1:33">
      <c r="A84" s="6">
        <v>1900</v>
      </c>
      <c r="B84" s="6">
        <v>62</v>
      </c>
      <c r="C84" s="33">
        <v>20.99</v>
      </c>
      <c r="D84" s="33">
        <v>0.56999999999999995</v>
      </c>
      <c r="E84" s="33">
        <v>3.32</v>
      </c>
      <c r="F84" s="33">
        <v>0.34</v>
      </c>
      <c r="G84" s="33">
        <v>0.23</v>
      </c>
      <c r="H84" s="33">
        <v>0.02</v>
      </c>
      <c r="I84" s="3">
        <f t="shared" si="78"/>
        <v>5.5542389172224409</v>
      </c>
      <c r="J84" s="3">
        <f t="shared" si="79"/>
        <v>0.34373046119034145</v>
      </c>
      <c r="K84" s="6">
        <f t="shared" si="80"/>
        <v>1.9898134375078254</v>
      </c>
      <c r="L84" s="6">
        <f t="shared" si="81"/>
        <v>0.24299486067471038</v>
      </c>
      <c r="M84" s="6">
        <f t="shared" si="82"/>
        <v>9.5462940552016998E-2</v>
      </c>
      <c r="N84" s="6">
        <f t="shared" si="83"/>
        <v>7.4185792261559974E-3</v>
      </c>
      <c r="O84" s="6">
        <f t="shared" si="84"/>
        <v>94.137803025829669</v>
      </c>
      <c r="P84" s="6">
        <f t="shared" si="85"/>
        <v>95.685987299591403</v>
      </c>
      <c r="Q84" s="6">
        <f>(I84/I90-1)*100</f>
        <v>52.432824981844604</v>
      </c>
      <c r="R84" s="6">
        <f>(J84/J90-1)*100</f>
        <v>-92.509855453350852</v>
      </c>
      <c r="S84" s="6">
        <f>(K84/K90-1)*100</f>
        <v>4.4025157232704171</v>
      </c>
      <c r="T84" s="6">
        <f t="shared" si="86"/>
        <v>711.6142727180835</v>
      </c>
      <c r="U84" s="6">
        <f t="shared" si="87"/>
        <v>1.2809056908925502</v>
      </c>
      <c r="V84" s="6">
        <f t="shared" si="88"/>
        <v>0.10674214090771252</v>
      </c>
      <c r="W84" s="6">
        <f>I90*(100-U84)/100</f>
        <v>3.5970561822881844</v>
      </c>
      <c r="X84" s="6">
        <f>K90*(100-V84)/100</f>
        <v>1.903871237464368</v>
      </c>
      <c r="Y84" s="6">
        <f t="shared" si="89"/>
        <v>1.8893379507528303</v>
      </c>
      <c r="Z84" s="6">
        <f>Y84/AA90-1</f>
        <v>-1.1754182165538141E-2</v>
      </c>
      <c r="AA84" s="3">
        <f t="shared" si="90"/>
        <v>2.7913365205629224</v>
      </c>
      <c r="AB84" s="3">
        <f t="shared" si="91"/>
        <v>0.17274506981963714</v>
      </c>
      <c r="AC84" s="3">
        <f t="shared" si="63"/>
        <v>0.12211941888333677</v>
      </c>
      <c r="AD84" s="6">
        <f>AA84/AA90-1</f>
        <v>0.46004934771766859</v>
      </c>
      <c r="AE84" s="6">
        <f>AB84/AB90-1</f>
        <v>-0.92825704922185459</v>
      </c>
      <c r="AF84" s="6">
        <f>AC84/AC90-1</f>
        <v>-0.96835154027187464</v>
      </c>
      <c r="AG84" s="3"/>
    </row>
    <row r="85" spans="1:33">
      <c r="A85" s="6">
        <v>1900</v>
      </c>
      <c r="B85" s="6">
        <v>82</v>
      </c>
      <c r="C85" s="33">
        <v>21.92</v>
      </c>
      <c r="D85" s="33">
        <v>0.43</v>
      </c>
      <c r="E85" s="33">
        <v>2.54</v>
      </c>
      <c r="F85" s="33">
        <v>0.14000000000000001</v>
      </c>
      <c r="G85" s="33">
        <v>0.15</v>
      </c>
      <c r="H85" s="33">
        <v>0.02</v>
      </c>
      <c r="I85" s="3">
        <f t="shared" si="78"/>
        <v>5.8003295409964695</v>
      </c>
      <c r="J85" s="3">
        <f t="shared" si="79"/>
        <v>0.259305435634819</v>
      </c>
      <c r="K85" s="6">
        <f t="shared" si="80"/>
        <v>1.5223271479728544</v>
      </c>
      <c r="L85" s="6">
        <f t="shared" si="81"/>
        <v>0.10005670733664544</v>
      </c>
      <c r="M85" s="6">
        <f t="shared" si="82"/>
        <v>6.2258439490445856E-2</v>
      </c>
      <c r="N85" s="6">
        <f t="shared" si="83"/>
        <v>7.4185792261559974E-3</v>
      </c>
      <c r="O85" s="6">
        <f t="shared" si="84"/>
        <v>97.156919140370746</v>
      </c>
      <c r="P85" s="6">
        <f t="shared" si="85"/>
        <v>98.180791517325673</v>
      </c>
      <c r="Q85" s="6">
        <f>(I85/I90-1)*100</f>
        <v>59.186637618010174</v>
      </c>
      <c r="R85" s="6">
        <f>(J85/J90-1)*100</f>
        <v>-94.349540078843631</v>
      </c>
      <c r="S85" s="6">
        <f>(K85/K90-1)*100</f>
        <v>-20.125786163522019</v>
      </c>
      <c r="T85" s="6">
        <f t="shared" si="86"/>
        <v>725.76569291418173</v>
      </c>
      <c r="U85" s="6">
        <f t="shared" si="87"/>
        <v>1.306378247245527</v>
      </c>
      <c r="V85" s="6">
        <f t="shared" si="88"/>
        <v>0.10886485393712725</v>
      </c>
      <c r="W85" s="6">
        <f>I90*(100-U85)/100</f>
        <v>3.5961280313873942</v>
      </c>
      <c r="X85" s="6">
        <f>K90*(100-V85)/100</f>
        <v>1.9038307805569781</v>
      </c>
      <c r="Y85" s="6">
        <f t="shared" si="89"/>
        <v>1.8888905821426647</v>
      </c>
      <c r="Z85" s="6">
        <f>Y85/AA90-1</f>
        <v>-1.1988184853014117E-2</v>
      </c>
      <c r="AA85" s="3">
        <f t="shared" si="90"/>
        <v>3.8101728322458444</v>
      </c>
      <c r="AB85" s="3">
        <f t="shared" si="91"/>
        <v>0.17033489547901226</v>
      </c>
      <c r="AC85" s="3">
        <f t="shared" si="63"/>
        <v>6.5726153192421172E-2</v>
      </c>
      <c r="AD85" s="6">
        <f>AA85/AA90-1</f>
        <v>0.99296656545382822</v>
      </c>
      <c r="AE85" s="6">
        <f>AB85/AB90-1</f>
        <v>-0.92925802145953829</v>
      </c>
      <c r="AF85" s="6">
        <f>AC85/AC90-1</f>
        <v>-0.98296641491242165</v>
      </c>
    </row>
    <row r="86" spans="1:33">
      <c r="A86" s="6">
        <v>1900</v>
      </c>
      <c r="B86" s="6">
        <v>108</v>
      </c>
      <c r="C86" s="33">
        <v>22.78</v>
      </c>
      <c r="D86" s="33">
        <v>0.46</v>
      </c>
      <c r="E86" s="33">
        <v>3.1</v>
      </c>
      <c r="F86" s="33">
        <v>7.0000000000000007E-2</v>
      </c>
      <c r="G86" s="33">
        <v>0.16</v>
      </c>
      <c r="H86" s="33">
        <v>0.01</v>
      </c>
      <c r="I86" s="3">
        <f t="shared" si="78"/>
        <v>6.0278972145939589</v>
      </c>
      <c r="J86" s="3">
        <f t="shared" si="79"/>
        <v>0.27739651253957387</v>
      </c>
      <c r="K86" s="6">
        <f t="shared" si="80"/>
        <v>1.8579583302030902</v>
      </c>
      <c r="L86" s="6">
        <f t="shared" si="81"/>
        <v>5.0028353668322721E-2</v>
      </c>
      <c r="M86" s="6">
        <f t="shared" si="82"/>
        <v>6.6409002123142255E-2</v>
      </c>
      <c r="N86" s="6">
        <f t="shared" si="83"/>
        <v>3.7092896130779987E-3</v>
      </c>
      <c r="O86" s="6">
        <f t="shared" si="84"/>
        <v>98.045774426134756</v>
      </c>
      <c r="P86" s="6">
        <f t="shared" si="85"/>
        <v>99.116394776450392</v>
      </c>
      <c r="Q86" s="6">
        <f>(I86/I90-1)*100</f>
        <v>65.43209876543213</v>
      </c>
      <c r="R86" s="6">
        <f>(J86/J90-1)*100</f>
        <v>-93.955321944809455</v>
      </c>
      <c r="S86" s="6">
        <f>(K86/K90-1)*100</f>
        <v>-2.515723270440251</v>
      </c>
      <c r="T86" s="6">
        <f t="shared" si="86"/>
        <v>722.73324572930346</v>
      </c>
      <c r="U86" s="6">
        <f t="shared" si="87"/>
        <v>1.3009198423127462</v>
      </c>
      <c r="V86" s="6">
        <f t="shared" si="88"/>
        <v>0.10840998685939551</v>
      </c>
      <c r="W86" s="6">
        <f>I90*(100-U86)/100</f>
        <v>3.5963269208661353</v>
      </c>
      <c r="X86" s="6">
        <f>K90*(100-V86)/100</f>
        <v>1.9038394498942759</v>
      </c>
      <c r="Y86" s="6">
        <f t="shared" si="89"/>
        <v>1.8889864484454542</v>
      </c>
      <c r="Z86" s="6">
        <f>Y86/AA90-1</f>
        <v>-1.193804058276049E-2</v>
      </c>
      <c r="AA86" s="3">
        <f t="shared" si="90"/>
        <v>3.2443662038077354</v>
      </c>
      <c r="AB86" s="3">
        <f t="shared" si="91"/>
        <v>0.14930179435684768</v>
      </c>
      <c r="AC86" s="3">
        <f t="shared" si="63"/>
        <v>2.6926520823991898E-2</v>
      </c>
      <c r="AD86" s="6">
        <f>AA86/AA90-1</f>
        <v>0.69701314217443255</v>
      </c>
      <c r="AE86" s="6">
        <f>AB86/AB90-1</f>
        <v>-0.93799330253062607</v>
      </c>
      <c r="AF86" s="6">
        <f>AC86/AC90-1</f>
        <v>-0.99302172481895989</v>
      </c>
    </row>
    <row r="87" spans="1:33">
      <c r="A87" s="6">
        <v>1900</v>
      </c>
      <c r="B87" s="6">
        <v>125</v>
      </c>
      <c r="C87" s="33">
        <v>25.45</v>
      </c>
      <c r="D87" s="33">
        <v>0.49</v>
      </c>
      <c r="E87" s="33">
        <v>3.43</v>
      </c>
      <c r="F87" s="33">
        <v>0.14000000000000001</v>
      </c>
      <c r="G87" s="33">
        <v>0.06</v>
      </c>
      <c r="H87" s="33">
        <v>5.0000000000000001E-3</v>
      </c>
      <c r="I87" s="3">
        <f t="shared" si="78"/>
        <v>6.734415457041977</v>
      </c>
      <c r="J87" s="3">
        <f t="shared" si="79"/>
        <v>0.29548758944432862</v>
      </c>
      <c r="K87" s="6">
        <f t="shared" si="80"/>
        <v>2.0557409911601932</v>
      </c>
      <c r="L87" s="6">
        <f t="shared" si="81"/>
        <v>0.10005670733664544</v>
      </c>
      <c r="M87" s="6">
        <f t="shared" si="82"/>
        <v>2.4903375796178344E-2</v>
      </c>
      <c r="N87" s="6">
        <f t="shared" si="83"/>
        <v>1.8546448065389993E-3</v>
      </c>
      <c r="O87" s="6">
        <f t="shared" si="84"/>
        <v>98.151720252485489</v>
      </c>
      <c r="P87" s="6">
        <f t="shared" si="85"/>
        <v>98.509267403567392</v>
      </c>
      <c r="Q87" s="6">
        <f>(I87/I90-1)*100</f>
        <v>84.822076978939734</v>
      </c>
      <c r="R87" s="6">
        <f>(J87/J90-1)*100</f>
        <v>-93.561103810775293</v>
      </c>
      <c r="S87" s="6">
        <f>(K87/K90-1)*100</f>
        <v>7.8616352201257733</v>
      </c>
      <c r="T87" s="6">
        <f t="shared" si="86"/>
        <v>719.70079854442531</v>
      </c>
      <c r="U87" s="6">
        <f t="shared" si="87"/>
        <v>1.2954614373799656</v>
      </c>
      <c r="V87" s="6">
        <f t="shared" si="88"/>
        <v>0.10795511978166379</v>
      </c>
      <c r="W87" s="6">
        <f>I90*(100-U87)/100</f>
        <v>3.5965258103448758</v>
      </c>
      <c r="X87" s="6">
        <f>K90*(100-V87)/100</f>
        <v>1.9038481192315737</v>
      </c>
      <c r="Y87" s="6">
        <f t="shared" si="89"/>
        <v>1.8890823138751722</v>
      </c>
      <c r="Z87" s="6">
        <f>Y87/AA90-1</f>
        <v>-1.1887896769179673E-2</v>
      </c>
      <c r="AA87" s="3">
        <f t="shared" si="90"/>
        <v>3.275906588427413</v>
      </c>
      <c r="AB87" s="3">
        <f t="shared" si="91"/>
        <v>0.14373775233112662</v>
      </c>
      <c r="AC87" s="3">
        <f t="shared" si="63"/>
        <v>4.8671845221209847E-2</v>
      </c>
      <c r="AD87" s="6">
        <f>AA87/AA90-1</f>
        <v>0.7135108011458553</v>
      </c>
      <c r="AE87" s="6">
        <f>AB87/AB90-1</f>
        <v>-0.94030411113196921</v>
      </c>
      <c r="AF87" s="6">
        <f>AC87/AC90-1</f>
        <v>-0.98738620812756595</v>
      </c>
    </row>
    <row r="88" spans="1:33">
      <c r="A88" s="6">
        <v>1900</v>
      </c>
      <c r="B88" s="6">
        <v>150</v>
      </c>
      <c r="C88" s="33">
        <v>18.170000000000002</v>
      </c>
      <c r="D88" s="33">
        <v>4.4000000000000004</v>
      </c>
      <c r="E88" s="33">
        <v>3.86</v>
      </c>
      <c r="F88" s="33">
        <v>6.06</v>
      </c>
      <c r="G88" s="33">
        <v>0.96</v>
      </c>
      <c r="H88" s="33">
        <v>1.89</v>
      </c>
      <c r="I88" s="3">
        <f t="shared" si="78"/>
        <v>4.8080286386818374</v>
      </c>
      <c r="J88" s="3">
        <f t="shared" si="79"/>
        <v>2.6533579460307064</v>
      </c>
      <c r="K88" s="6">
        <f t="shared" si="80"/>
        <v>2.3134577918012669</v>
      </c>
      <c r="L88" s="6">
        <f t="shared" si="81"/>
        <v>4.3310260461433661</v>
      </c>
      <c r="M88" s="6">
        <f t="shared" si="82"/>
        <v>0.3984540127388535</v>
      </c>
      <c r="N88" s="6">
        <f t="shared" si="83"/>
        <v>0.70105573687174172</v>
      </c>
      <c r="O88" s="6">
        <f t="shared" si="84"/>
        <v>46.959988086911778</v>
      </c>
      <c r="P88" s="6">
        <f t="shared" si="85"/>
        <v>48.861531351115502</v>
      </c>
      <c r="Q88" s="6">
        <f>(I88/I90-1)*100</f>
        <v>31.953522149600634</v>
      </c>
      <c r="R88" s="6">
        <f>(J88/J90-1)*100</f>
        <v>-42.181340341655712</v>
      </c>
      <c r="S88" s="6">
        <f>(K88/K90-1)*100</f>
        <v>21.383647798742132</v>
      </c>
      <c r="T88" s="6">
        <f t="shared" si="86"/>
        <v>324.47184878196703</v>
      </c>
      <c r="U88" s="6">
        <f t="shared" si="87"/>
        <v>0.5840493278075406</v>
      </c>
      <c r="V88" s="6">
        <f t="shared" si="88"/>
        <v>4.867077731729505E-2</v>
      </c>
      <c r="W88" s="6">
        <f>I90*(100-U88)/100</f>
        <v>3.6224477390740795</v>
      </c>
      <c r="X88" s="6">
        <f>K90*(100-V88)/100</f>
        <v>1.9049780228593951</v>
      </c>
      <c r="Y88" s="6">
        <f t="shared" si="89"/>
        <v>1.9015693071549149</v>
      </c>
      <c r="Z88" s="6">
        <f>Y88/AA90-1</f>
        <v>-5.3563925027695358E-3</v>
      </c>
      <c r="AA88" s="3">
        <f t="shared" si="90"/>
        <v>2.078286734135006</v>
      </c>
      <c r="AB88" s="3">
        <f t="shared" si="91"/>
        <v>1.146922997875311</v>
      </c>
      <c r="AC88" s="3">
        <f t="shared" si="63"/>
        <v>1.8721007409308354</v>
      </c>
      <c r="AD88" s="6">
        <f>AA88/AA90-1</f>
        <v>8.7078239470803176E-2</v>
      </c>
      <c r="AE88" s="6">
        <f>AB88/AB90-1</f>
        <v>-0.52367010955042792</v>
      </c>
      <c r="AF88" s="6">
        <f>AC88/AC90-1</f>
        <v>-0.51482650795329232</v>
      </c>
    </row>
    <row r="89" spans="1:33">
      <c r="A89" s="6">
        <v>1900</v>
      </c>
      <c r="B89" s="6">
        <v>158</v>
      </c>
      <c r="C89" s="33">
        <v>17.760000000000002</v>
      </c>
      <c r="D89" s="33">
        <v>4.2300000000000004</v>
      </c>
      <c r="E89" s="33">
        <v>3.73</v>
      </c>
      <c r="F89" s="33">
        <v>6.51</v>
      </c>
      <c r="G89" s="33">
        <v>0.99</v>
      </c>
      <c r="H89" s="33">
        <v>2.29</v>
      </c>
      <c r="I89" s="3">
        <f t="shared" si="78"/>
        <v>4.6995370733621034</v>
      </c>
      <c r="J89" s="3">
        <f t="shared" si="79"/>
        <v>2.5508418435704292</v>
      </c>
      <c r="K89" s="6">
        <f t="shared" si="80"/>
        <v>2.235543410212105</v>
      </c>
      <c r="L89" s="6">
        <f t="shared" si="81"/>
        <v>4.6526368911540121</v>
      </c>
      <c r="M89" s="6">
        <f t="shared" si="82"/>
        <v>0.41090570063694271</v>
      </c>
      <c r="N89" s="6">
        <f t="shared" si="83"/>
        <v>0.84942732139486166</v>
      </c>
      <c r="O89" s="6">
        <f t="shared" si="84"/>
        <v>44.283005696194962</v>
      </c>
      <c r="P89" s="6">
        <f t="shared" si="85"/>
        <v>46.066660925598477</v>
      </c>
      <c r="Q89" s="6">
        <f>(I89/I90-1)*100</f>
        <v>28.976034858387823</v>
      </c>
      <c r="R89" s="6">
        <f>(J89/J90-1)*100</f>
        <v>-44.415243101182647</v>
      </c>
      <c r="S89" s="6">
        <f>(K89/K90-1)*100</f>
        <v>17.295597484276716</v>
      </c>
      <c r="T89" s="6">
        <f t="shared" si="86"/>
        <v>341.65571616294341</v>
      </c>
      <c r="U89" s="6">
        <f t="shared" si="87"/>
        <v>0.61498028909329816</v>
      </c>
      <c r="V89" s="6">
        <f t="shared" si="88"/>
        <v>5.1248357424441504E-2</v>
      </c>
      <c r="W89" s="6">
        <f>I90*(100-U89)/100</f>
        <v>3.6213206986945488</v>
      </c>
      <c r="X89" s="6">
        <f>K90*(100-V89)/100</f>
        <v>1.9049288966147073</v>
      </c>
      <c r="Y89" s="6">
        <f t="shared" si="89"/>
        <v>1.9010267024297236</v>
      </c>
      <c r="Z89" s="6">
        <f>Y89/AA90-1</f>
        <v>-5.6402098315824212E-3</v>
      </c>
      <c r="AA89" s="3">
        <f t="shared" si="90"/>
        <v>2.1021900321390845</v>
      </c>
      <c r="AB89" s="3">
        <f t="shared" si="91"/>
        <v>1.1410388328484344</v>
      </c>
      <c r="AC89" s="3">
        <f t="shared" si="63"/>
        <v>2.0812107114093465</v>
      </c>
      <c r="AD89" s="6">
        <f>AA89/AA90-1</f>
        <v>9.9581208712260949E-2</v>
      </c>
      <c r="AE89" s="6">
        <f>AB89/AB90-1</f>
        <v>-0.52611386879828625</v>
      </c>
      <c r="AF89" s="6">
        <f>AC89/AC90-1</f>
        <v>-0.46063358319198999</v>
      </c>
    </row>
    <row r="90" spans="1:33" s="2" customFormat="1">
      <c r="A90" s="2">
        <v>1900</v>
      </c>
      <c r="B90" s="2">
        <v>170</v>
      </c>
      <c r="C90" s="31">
        <v>13.77</v>
      </c>
      <c r="D90" s="31">
        <v>7.61</v>
      </c>
      <c r="E90" s="31">
        <v>3.18</v>
      </c>
      <c r="F90" s="31">
        <v>10.29</v>
      </c>
      <c r="G90" s="31">
        <v>0.91</v>
      </c>
      <c r="H90" s="31">
        <v>2.83</v>
      </c>
      <c r="I90" s="2">
        <f t="shared" si="78"/>
        <v>3.6437289132993329</v>
      </c>
      <c r="J90" s="2">
        <f t="shared" si="79"/>
        <v>4.5891031748394715</v>
      </c>
      <c r="K90" s="2">
        <f t="shared" si="80"/>
        <v>1.9059056419502667</v>
      </c>
      <c r="L90" s="2">
        <f t="shared" si="81"/>
        <v>7.3541679892434395</v>
      </c>
      <c r="M90" s="2">
        <f t="shared" si="82"/>
        <v>0.37770119957537157</v>
      </c>
      <c r="N90" s="2">
        <f t="shared" si="83"/>
        <v>1.0497289605010738</v>
      </c>
      <c r="AA90" s="2">
        <f t="shared" si="90"/>
        <v>1.911809710354178</v>
      </c>
      <c r="AB90" s="2">
        <f t="shared" si="91"/>
        <v>2.4078333543016086</v>
      </c>
      <c r="AC90" s="2">
        <f t="shared" si="63"/>
        <v>3.8586212388343104</v>
      </c>
    </row>
    <row r="91" spans="1:33">
      <c r="A91" s="6">
        <v>2000</v>
      </c>
      <c r="B91" s="6">
        <v>0</v>
      </c>
      <c r="C91" s="33">
        <v>6.04</v>
      </c>
      <c r="D91" s="33">
        <v>0.53</v>
      </c>
      <c r="E91" s="33">
        <v>7.03</v>
      </c>
      <c r="F91" s="33">
        <v>0.2</v>
      </c>
      <c r="G91" s="33">
        <v>0.79</v>
      </c>
      <c r="H91" s="33">
        <v>0.03</v>
      </c>
      <c r="I91" s="3">
        <f t="shared" ref="I91:I99" si="92">C91*26.98/101.96</f>
        <v>1.5982659866614362</v>
      </c>
      <c r="J91" s="3">
        <f t="shared" ref="J91:J99" si="93">D91*24.305/40.3044</f>
        <v>0.31960902531733509</v>
      </c>
      <c r="K91" s="6">
        <f t="shared" ref="K91:K99" si="94">E91*47.867/79.866</f>
        <v>4.2133700197831363</v>
      </c>
      <c r="L91" s="6">
        <f t="shared" ref="L91:L99" si="95">F91*40.078/56.0774</f>
        <v>0.14293815333806492</v>
      </c>
      <c r="M91" s="6">
        <f t="shared" ref="M91:M99" si="96">G91*39.0983/94.2</f>
        <v>0.32789444798301493</v>
      </c>
      <c r="N91" s="6">
        <f t="shared" ref="N91:N99" si="97">H91*22.989769/61.9789</f>
        <v>1.1127868839233996E-2</v>
      </c>
      <c r="O91" s="6">
        <f t="shared" ref="O91:O98" si="98">100*(I91/(I91+L91+M91+N91))</f>
        <v>76.831346001787153</v>
      </c>
      <c r="P91" s="6">
        <f t="shared" ref="P91:P98" si="99">100*(I91/(I91+L91+N91))</f>
        <v>91.207943391994647</v>
      </c>
      <c r="Q91" s="3">
        <f>(I91/I99-1)*100</f>
        <v>-59.381304640215191</v>
      </c>
      <c r="R91" s="3">
        <f>(J91/J99-1)*100</f>
        <v>-89.4</v>
      </c>
      <c r="S91" s="3">
        <f>(K91/K99-1)*100</f>
        <v>77.078085642317347</v>
      </c>
      <c r="T91" s="6">
        <f t="shared" ref="T91:T98" si="100">R91/-0.13</f>
        <v>687.69230769230774</v>
      </c>
      <c r="U91" s="6">
        <f t="shared" ref="U91:U98" si="101">T91*0.0018</f>
        <v>1.2378461538461538</v>
      </c>
      <c r="V91" s="6">
        <f t="shared" ref="V91:V98" si="102">T91*0.00015</f>
        <v>0.10315384615384615</v>
      </c>
      <c r="W91" s="3">
        <f>I99*(100-U91)/100</f>
        <v>3.8860970265926307</v>
      </c>
      <c r="X91" s="3">
        <f>K99*(100-V91)/100</f>
        <v>2.3769309179549789</v>
      </c>
      <c r="Y91" s="6">
        <f t="shared" ref="Y91:Y98" si="103">W91/X91</f>
        <v>1.6349221583335207</v>
      </c>
      <c r="Z91" s="3">
        <f>Y91/AA99-1</f>
        <v>-1.1358639950903249E-2</v>
      </c>
      <c r="AA91" s="3">
        <f t="shared" ref="AA91:AA99" si="104">I91/K91</f>
        <v>0.37933197871467733</v>
      </c>
      <c r="AB91" s="3">
        <f t="shared" ref="AB91:AB99" si="105">J91/K91</f>
        <v>7.5855911969911788E-2</v>
      </c>
      <c r="AC91" s="3">
        <f t="shared" si="63"/>
        <v>3.3924899229577275E-2</v>
      </c>
      <c r="AD91" s="3">
        <f>AA91/AA99-1</f>
        <v>-0.77061704042909573</v>
      </c>
      <c r="AE91" s="3">
        <f>AB91/AB99-1</f>
        <v>-0.94013940256045514</v>
      </c>
      <c r="AF91" s="3">
        <f>AC91/AC99-1</f>
        <v>-0.98758851390430336</v>
      </c>
      <c r="AG91" s="3"/>
    </row>
    <row r="92" spans="1:33">
      <c r="A92" s="6">
        <v>2000</v>
      </c>
      <c r="B92" s="6">
        <v>9</v>
      </c>
      <c r="C92" s="33">
        <v>6.94</v>
      </c>
      <c r="D92" s="33">
        <v>0.78</v>
      </c>
      <c r="E92" s="33">
        <v>8.6300000000000008</v>
      </c>
      <c r="F92" s="33">
        <v>0.08</v>
      </c>
      <c r="G92" s="33">
        <v>0.4</v>
      </c>
      <c r="H92" s="33">
        <v>5.0000000000000001E-3</v>
      </c>
      <c r="I92" s="3">
        <f t="shared" si="92"/>
        <v>1.836418203216948</v>
      </c>
      <c r="J92" s="3">
        <f t="shared" si="93"/>
        <v>0.47036799952362524</v>
      </c>
      <c r="K92" s="6">
        <f t="shared" si="94"/>
        <v>5.1723162547266677</v>
      </c>
      <c r="L92" s="6">
        <f t="shared" si="95"/>
        <v>5.7175261335225963E-2</v>
      </c>
      <c r="M92" s="6">
        <f t="shared" si="96"/>
        <v>0.16602250530785564</v>
      </c>
      <c r="N92" s="6">
        <f t="shared" si="97"/>
        <v>1.8546448065389993E-3</v>
      </c>
      <c r="O92" s="6">
        <f t="shared" si="98"/>
        <v>89.082919259267655</v>
      </c>
      <c r="P92" s="6">
        <f t="shared" si="99"/>
        <v>96.88570181107535</v>
      </c>
      <c r="Q92" s="3">
        <f>(I92/I99-1)*100</f>
        <v>-53.32885003362474</v>
      </c>
      <c r="R92" s="3">
        <f>(J92/J99-1)*100</f>
        <v>-84.399999999999991</v>
      </c>
      <c r="S92" s="3">
        <f>(K92/K99-1)*100</f>
        <v>117.38035264483626</v>
      </c>
      <c r="T92" s="6">
        <f t="shared" si="100"/>
        <v>649.23076923076917</v>
      </c>
      <c r="U92" s="6">
        <f t="shared" si="101"/>
        <v>1.1686153846153844</v>
      </c>
      <c r="V92" s="6">
        <f t="shared" si="102"/>
        <v>9.7384615384615361E-2</v>
      </c>
      <c r="W92" s="3">
        <f>I99*(100-U92)/100</f>
        <v>3.8888211215620005</v>
      </c>
      <c r="X92" s="3">
        <f>K99*(100-V92)/100</f>
        <v>2.3770681901864474</v>
      </c>
      <c r="Y92" s="6">
        <f t="shared" si="103"/>
        <v>1.6359737333647872</v>
      </c>
      <c r="Z92" s="3">
        <f>Y92/AA99-1</f>
        <v>-1.0722750001154968E-2</v>
      </c>
      <c r="AA92" s="3">
        <f t="shared" si="104"/>
        <v>0.35504754790250043</v>
      </c>
      <c r="AB92" s="3">
        <f t="shared" si="105"/>
        <v>9.0939528126066205E-2</v>
      </c>
      <c r="AC92" s="3">
        <f t="shared" si="63"/>
        <v>1.1054092309799684E-2</v>
      </c>
      <c r="AD92" s="3">
        <f>AA92/AA99-1</f>
        <v>-0.78530189412918916</v>
      </c>
      <c r="AE92" s="3">
        <f>AB92/AB99-1</f>
        <v>-0.92823638470451908</v>
      </c>
      <c r="AF92" s="3">
        <f>AC92/AC99-1</f>
        <v>-0.99595584022003492</v>
      </c>
      <c r="AG92" s="3"/>
    </row>
    <row r="93" spans="1:33">
      <c r="A93" s="6">
        <v>2000</v>
      </c>
      <c r="B93" s="6">
        <v>22</v>
      </c>
      <c r="C93" s="33">
        <v>10.9</v>
      </c>
      <c r="D93" s="33">
        <v>0.59</v>
      </c>
      <c r="E93" s="33">
        <v>6.47</v>
      </c>
      <c r="F93" s="33">
        <v>0.11</v>
      </c>
      <c r="G93" s="33">
        <v>0.42</v>
      </c>
      <c r="H93" s="33">
        <v>5.0000000000000001E-3</v>
      </c>
      <c r="I93" s="3">
        <f t="shared" si="92"/>
        <v>2.8842879560612005</v>
      </c>
      <c r="J93" s="3">
        <f t="shared" si="93"/>
        <v>0.35579117912684466</v>
      </c>
      <c r="K93" s="6">
        <f t="shared" si="94"/>
        <v>3.8777388375529007</v>
      </c>
      <c r="L93" s="6">
        <f t="shared" si="95"/>
        <v>7.861598433593571E-2</v>
      </c>
      <c r="M93" s="6">
        <f t="shared" si="96"/>
        <v>0.17432363057324837</v>
      </c>
      <c r="N93" s="6">
        <f t="shared" si="97"/>
        <v>1.8546448065389993E-3</v>
      </c>
      <c r="O93" s="6">
        <f t="shared" si="98"/>
        <v>91.883160675590602</v>
      </c>
      <c r="P93" s="6">
        <f t="shared" si="99"/>
        <v>97.285761156268094</v>
      </c>
      <c r="Q93" s="6">
        <f>(I93/I99-1)*100</f>
        <v>-26.698049764626763</v>
      </c>
      <c r="R93" s="6">
        <f>(J93/J99-1)*100</f>
        <v>-88.2</v>
      </c>
      <c r="S93" s="6">
        <f>(K93/K99-1)*100</f>
        <v>62.972292191435741</v>
      </c>
      <c r="T93" s="6">
        <f t="shared" si="100"/>
        <v>678.46153846153845</v>
      </c>
      <c r="U93" s="6">
        <f t="shared" si="101"/>
        <v>1.2212307692307691</v>
      </c>
      <c r="V93" s="6">
        <f t="shared" si="102"/>
        <v>0.10176923076923076</v>
      </c>
      <c r="W93" s="6">
        <f>I99*(100-U93)/100</f>
        <v>3.8867508093852789</v>
      </c>
      <c r="X93" s="6">
        <f>K99*(100-V93)/100</f>
        <v>2.376963863290531</v>
      </c>
      <c r="Y93" s="6">
        <f t="shared" si="103"/>
        <v>1.6351745474181028</v>
      </c>
      <c r="Z93" s="6">
        <f>Y93/AA99-1</f>
        <v>-1.1206019664627864E-2</v>
      </c>
      <c r="AA93" s="3">
        <f t="shared" si="104"/>
        <v>0.74380665560277115</v>
      </c>
      <c r="AB93" s="3">
        <f t="shared" si="105"/>
        <v>9.1752228304104011E-2</v>
      </c>
      <c r="AC93" s="3">
        <f t="shared" si="63"/>
        <v>2.0273666595233469E-2</v>
      </c>
      <c r="AD93" s="6">
        <f>AA93/AA99-1</f>
        <v>-0.55021832699469586</v>
      </c>
      <c r="AE93" s="6">
        <f>AB93/AB99-1</f>
        <v>-0.92759505409582688</v>
      </c>
      <c r="AF93" s="6">
        <f>AC93/AC99-1</f>
        <v>-0.99258284219644344</v>
      </c>
      <c r="AG93" s="3"/>
    </row>
    <row r="94" spans="1:33">
      <c r="A94" s="6">
        <v>2000</v>
      </c>
      <c r="B94" s="6">
        <v>40</v>
      </c>
      <c r="C94" s="33">
        <v>17.37</v>
      </c>
      <c r="D94" s="33">
        <v>0.47</v>
      </c>
      <c r="E94" s="33">
        <v>4.74</v>
      </c>
      <c r="F94" s="33">
        <v>0.1</v>
      </c>
      <c r="G94" s="33">
        <v>0.31</v>
      </c>
      <c r="H94" s="33">
        <v>0.01</v>
      </c>
      <c r="I94" s="3">
        <f t="shared" si="92"/>
        <v>4.5963377795213818</v>
      </c>
      <c r="J94" s="3">
        <f t="shared" si="93"/>
        <v>0.28342687150782542</v>
      </c>
      <c r="K94" s="6">
        <f t="shared" si="94"/>
        <v>2.8408782210202088</v>
      </c>
      <c r="L94" s="6">
        <f t="shared" si="95"/>
        <v>7.1469076669032461E-2</v>
      </c>
      <c r="M94" s="6">
        <f t="shared" si="96"/>
        <v>0.12866744161358812</v>
      </c>
      <c r="N94" s="6">
        <f t="shared" si="97"/>
        <v>3.7092896130779987E-3</v>
      </c>
      <c r="O94" s="6">
        <f t="shared" si="98"/>
        <v>95.753374757789501</v>
      </c>
      <c r="P94" s="6">
        <f t="shared" si="99"/>
        <v>98.390707343489652</v>
      </c>
      <c r="Q94" s="6">
        <f>(I94/I99-1)*100</f>
        <v>16.81237390719572</v>
      </c>
      <c r="R94" s="6">
        <f>(J94/J99-1)*100</f>
        <v>-90.600000000000009</v>
      </c>
      <c r="S94" s="6">
        <f>(K94/K99-1)*100</f>
        <v>19.395465994962201</v>
      </c>
      <c r="T94" s="6">
        <f t="shared" si="100"/>
        <v>696.92307692307702</v>
      </c>
      <c r="U94" s="6">
        <f t="shared" si="101"/>
        <v>1.2544615384615385</v>
      </c>
      <c r="V94" s="6">
        <f t="shared" si="102"/>
        <v>0.10453846153846154</v>
      </c>
      <c r="W94" s="6">
        <f>I99*(100-U94)/100</f>
        <v>3.885443243799982</v>
      </c>
      <c r="X94" s="6">
        <f>K99*(100-V94)/100</f>
        <v>2.3768979726194259</v>
      </c>
      <c r="Y94" s="6">
        <f t="shared" si="103"/>
        <v>1.6346697622523889</v>
      </c>
      <c r="Z94" s="6">
        <f>Y94/AA99-1</f>
        <v>-1.1511264468008986E-2</v>
      </c>
      <c r="AA94" s="3">
        <f t="shared" si="104"/>
        <v>1.6179284791274007</v>
      </c>
      <c r="AB94" s="3">
        <f t="shared" si="105"/>
        <v>9.976734286274401E-2</v>
      </c>
      <c r="AC94" s="3">
        <f t="shared" si="63"/>
        <v>2.5157388352735045E-2</v>
      </c>
      <c r="AD94" s="6">
        <f>AA94/AA99-1</f>
        <v>-2.1634758625385886E-2</v>
      </c>
      <c r="AE94" s="6">
        <f>AB94/AB99-1</f>
        <v>-0.92127004219409281</v>
      </c>
      <c r="AF94" s="6">
        <f>AC94/AC99-1</f>
        <v>-0.99079612370751613</v>
      </c>
    </row>
    <row r="95" spans="1:33">
      <c r="A95" s="6">
        <v>2000</v>
      </c>
      <c r="B95" s="6">
        <v>79</v>
      </c>
      <c r="C95" s="33">
        <v>22.28</v>
      </c>
      <c r="D95" s="33">
        <v>0.23</v>
      </c>
      <c r="E95" s="33">
        <v>2.78</v>
      </c>
      <c r="F95" s="33">
        <v>0.03</v>
      </c>
      <c r="G95" s="33">
        <v>0.1</v>
      </c>
      <c r="H95" s="33">
        <v>5.0000000000000001E-3</v>
      </c>
      <c r="I95" s="3">
        <f t="shared" si="92"/>
        <v>5.895590427618675</v>
      </c>
      <c r="J95" s="3">
        <f t="shared" si="93"/>
        <v>0.13869825626978693</v>
      </c>
      <c r="K95" s="6">
        <f t="shared" si="94"/>
        <v>1.6661690832143841</v>
      </c>
      <c r="L95" s="6">
        <f t="shared" si="95"/>
        <v>2.1440723000709733E-2</v>
      </c>
      <c r="M95" s="6">
        <f t="shared" si="96"/>
        <v>4.1505626326963911E-2</v>
      </c>
      <c r="N95" s="6">
        <f t="shared" si="97"/>
        <v>1.8546448065389993E-3</v>
      </c>
      <c r="O95" s="6">
        <f t="shared" si="98"/>
        <v>98.91280639896037</v>
      </c>
      <c r="P95" s="6">
        <f t="shared" si="99"/>
        <v>99.606423090216552</v>
      </c>
      <c r="Q95" s="6">
        <f>(I95/I99-1)*100</f>
        <v>49.831876260928063</v>
      </c>
      <c r="R95" s="6">
        <f>(J95/J99-1)*100</f>
        <v>-95.399999999999991</v>
      </c>
      <c r="S95" s="6">
        <f>(K95/K99-1)*100</f>
        <v>-29.974811083123431</v>
      </c>
      <c r="T95" s="6">
        <f t="shared" si="100"/>
        <v>733.84615384615381</v>
      </c>
      <c r="U95" s="6">
        <f t="shared" si="101"/>
        <v>1.3209230769230769</v>
      </c>
      <c r="V95" s="6">
        <f t="shared" si="102"/>
        <v>0.11007692307692306</v>
      </c>
      <c r="W95" s="6">
        <f>I99*(100-U95)/100</f>
        <v>3.8828281126293871</v>
      </c>
      <c r="X95" s="6">
        <f>K99*(100-V95)/100</f>
        <v>2.3767661912772167</v>
      </c>
      <c r="Y95" s="6">
        <f t="shared" si="103"/>
        <v>1.6336601079565378</v>
      </c>
      <c r="Z95" s="6">
        <f>Y95/AA99-1</f>
        <v>-1.2121804848259976E-2</v>
      </c>
      <c r="AA95" s="3">
        <f t="shared" si="104"/>
        <v>3.5384106493230951</v>
      </c>
      <c r="AB95" s="3">
        <f t="shared" si="105"/>
        <v>8.3243806206156082E-2</v>
      </c>
      <c r="AC95" s="3">
        <f t="shared" si="63"/>
        <v>1.2868275625032096E-2</v>
      </c>
      <c r="AD95" s="6">
        <f>AA95/AA99-1</f>
        <v>1.1396854271794408</v>
      </c>
      <c r="AE95" s="6">
        <f>AB95/AB99-1</f>
        <v>-0.93430935251798564</v>
      </c>
      <c r="AF95" s="6">
        <f>AC95/AC99-1</f>
        <v>-0.99529211795398842</v>
      </c>
    </row>
    <row r="96" spans="1:33">
      <c r="A96" s="6">
        <v>2000</v>
      </c>
      <c r="B96" s="6">
        <v>124</v>
      </c>
      <c r="C96" s="33">
        <v>27.14</v>
      </c>
      <c r="D96" s="33">
        <v>0.57999999999999996</v>
      </c>
      <c r="E96" s="33">
        <v>5.64</v>
      </c>
      <c r="F96" s="33">
        <v>0.14000000000000001</v>
      </c>
      <c r="G96" s="33">
        <v>0.11</v>
      </c>
      <c r="H96" s="33">
        <v>5.0000000000000001E-3</v>
      </c>
      <c r="I96" s="3">
        <f t="shared" si="92"/>
        <v>7.1816123970184389</v>
      </c>
      <c r="J96" s="3">
        <f t="shared" si="93"/>
        <v>0.34976082015859306</v>
      </c>
      <c r="K96" s="6">
        <f t="shared" si="94"/>
        <v>3.3802854781759444</v>
      </c>
      <c r="L96" s="6">
        <f t="shared" si="95"/>
        <v>0.10005670733664544</v>
      </c>
      <c r="M96" s="6">
        <f t="shared" si="96"/>
        <v>4.5656188959660303E-2</v>
      </c>
      <c r="N96" s="6">
        <f t="shared" si="97"/>
        <v>1.8546448065389993E-3</v>
      </c>
      <c r="O96" s="6">
        <f t="shared" si="98"/>
        <v>97.986575000904239</v>
      </c>
      <c r="P96" s="6">
        <f t="shared" si="99"/>
        <v>98.600796047999225</v>
      </c>
      <c r="Q96" s="6">
        <f>(I96/I99-1)*100</f>
        <v>82.515131136516473</v>
      </c>
      <c r="R96" s="6">
        <f>(J96/J99-1)*100</f>
        <v>-88.4</v>
      </c>
      <c r="S96" s="6">
        <f>(K96/K99-1)*100</f>
        <v>42.065491183879054</v>
      </c>
      <c r="T96" s="6">
        <f t="shared" si="100"/>
        <v>680</v>
      </c>
      <c r="U96" s="6">
        <f t="shared" si="101"/>
        <v>1.224</v>
      </c>
      <c r="V96" s="6">
        <f t="shared" si="102"/>
        <v>0.10199999999999999</v>
      </c>
      <c r="W96" s="6">
        <f>I99*(100-U96)/100</f>
        <v>3.8866418455865044</v>
      </c>
      <c r="X96" s="6">
        <f>K99*(100-V96)/100</f>
        <v>2.3769583724012722</v>
      </c>
      <c r="Y96" s="6">
        <f t="shared" si="103"/>
        <v>1.6351324830565317</v>
      </c>
      <c r="Z96" s="6">
        <f>Y96/AA99-1</f>
        <v>-1.1231456085206815E-2</v>
      </c>
      <c r="AA96" s="3">
        <f t="shared" si="104"/>
        <v>2.1245579532808425</v>
      </c>
      <c r="AB96" s="3">
        <f t="shared" si="105"/>
        <v>0.10347079334474718</v>
      </c>
      <c r="AC96" s="3">
        <f t="shared" si="63"/>
        <v>2.9600076083111663E-2</v>
      </c>
      <c r="AD96" s="6">
        <f>AA96/AA99-1</f>
        <v>0.28472530250349393</v>
      </c>
      <c r="AE96" s="6">
        <f>AB96/AB99-1</f>
        <v>-0.9183475177304965</v>
      </c>
      <c r="AF96" s="6">
        <f>AC96/AC99-1</f>
        <v>-0.98917075831969448</v>
      </c>
    </row>
    <row r="97" spans="1:33">
      <c r="A97" s="6">
        <v>2000</v>
      </c>
      <c r="B97" s="6">
        <v>160</v>
      </c>
      <c r="C97" s="33">
        <v>18.36</v>
      </c>
      <c r="D97" s="33">
        <v>4.42</v>
      </c>
      <c r="E97" s="33">
        <v>3.99</v>
      </c>
      <c r="F97" s="33">
        <v>5.82</v>
      </c>
      <c r="G97" s="33">
        <v>1.02</v>
      </c>
      <c r="H97" s="33">
        <v>1.88</v>
      </c>
      <c r="I97" s="3">
        <f t="shared" si="92"/>
        <v>4.8583052177324442</v>
      </c>
      <c r="J97" s="3">
        <f t="shared" si="93"/>
        <v>2.6654186639672095</v>
      </c>
      <c r="K97" s="6">
        <f t="shared" si="94"/>
        <v>2.3913721733904287</v>
      </c>
      <c r="L97" s="6">
        <f t="shared" si="95"/>
        <v>4.1595002621376889</v>
      </c>
      <c r="M97" s="6">
        <f t="shared" si="96"/>
        <v>0.42335738853503191</v>
      </c>
      <c r="N97" s="6">
        <f t="shared" si="97"/>
        <v>0.69734644725866368</v>
      </c>
      <c r="O97" s="6">
        <f t="shared" si="98"/>
        <v>47.919324887599039</v>
      </c>
      <c r="P97" s="6">
        <f t="shared" si="99"/>
        <v>50.007506358866181</v>
      </c>
      <c r="Q97" s="6">
        <f>(I97/I99-1)*100</f>
        <v>23.470073974445182</v>
      </c>
      <c r="R97" s="6">
        <f>(J97/J99-1)*100</f>
        <v>-11.60000000000001</v>
      </c>
      <c r="S97" s="6">
        <f>(K97/K99-1)*100</f>
        <v>0.50377833753145751</v>
      </c>
      <c r="T97" s="6">
        <f t="shared" si="100"/>
        <v>89.230769230769312</v>
      </c>
      <c r="U97" s="6">
        <f t="shared" si="101"/>
        <v>0.16061538461538474</v>
      </c>
      <c r="V97" s="6">
        <f t="shared" si="102"/>
        <v>1.3384615384615396E-2</v>
      </c>
      <c r="W97" s="6">
        <f>I99*(100-U97)/100</f>
        <v>3.9284839443160218</v>
      </c>
      <c r="X97" s="6">
        <f>K99*(100-V97)/100</f>
        <v>2.3790668738766283</v>
      </c>
      <c r="Y97" s="6">
        <f t="shared" si="103"/>
        <v>1.6512709194738433</v>
      </c>
      <c r="Z97" s="6">
        <f>Y97/AA99-1</f>
        <v>-1.4725047814090342E-3</v>
      </c>
      <c r="AA97" s="3">
        <f t="shared" si="104"/>
        <v>2.0315972861909062</v>
      </c>
      <c r="AB97" s="3">
        <f t="shared" si="105"/>
        <v>1.114598009304526</v>
      </c>
      <c r="AC97" s="3">
        <f t="shared" si="63"/>
        <v>1.7393780476421834</v>
      </c>
      <c r="AD97" s="6">
        <f>AA97/AA99-1</f>
        <v>0.22851176360538239</v>
      </c>
      <c r="AE97" s="6">
        <f>AB97/AB99-1</f>
        <v>-0.12043107769423544</v>
      </c>
      <c r="AF97" s="6">
        <f>AC97/AC99-1</f>
        <v>-0.36364537717921164</v>
      </c>
    </row>
    <row r="98" spans="1:33">
      <c r="A98" s="6">
        <v>2000</v>
      </c>
      <c r="B98" s="6">
        <v>187</v>
      </c>
      <c r="C98" s="33">
        <v>17.760000000000002</v>
      </c>
      <c r="D98" s="33">
        <v>4.2300000000000004</v>
      </c>
      <c r="E98" s="33">
        <v>3.73</v>
      </c>
      <c r="F98" s="33">
        <v>6.51</v>
      </c>
      <c r="G98" s="33">
        <v>0.99</v>
      </c>
      <c r="H98" s="33">
        <v>2.29</v>
      </c>
      <c r="I98" s="3">
        <f t="shared" si="92"/>
        <v>4.6995370733621034</v>
      </c>
      <c r="J98" s="3">
        <f t="shared" si="93"/>
        <v>2.5508418435704292</v>
      </c>
      <c r="K98" s="6">
        <f t="shared" si="94"/>
        <v>2.235543410212105</v>
      </c>
      <c r="L98" s="6">
        <f t="shared" si="95"/>
        <v>4.6526368911540121</v>
      </c>
      <c r="M98" s="6">
        <f t="shared" si="96"/>
        <v>0.41090570063694271</v>
      </c>
      <c r="N98" s="6">
        <f t="shared" si="97"/>
        <v>0.84942732139486166</v>
      </c>
      <c r="O98" s="6">
        <f t="shared" si="98"/>
        <v>44.283005696194962</v>
      </c>
      <c r="P98" s="6">
        <f t="shared" si="99"/>
        <v>46.066660925598477</v>
      </c>
      <c r="Q98" s="6">
        <f>(I98/I99-1)*100</f>
        <v>19.435104236718239</v>
      </c>
      <c r="R98" s="6">
        <f>(J98/J99-1)*100</f>
        <v>-15.400000000000002</v>
      </c>
      <c r="S98" s="6">
        <f>(K98/K99-1)*100</f>
        <v>-6.045340050377856</v>
      </c>
      <c r="T98" s="6">
        <f t="shared" si="100"/>
        <v>118.46153846153847</v>
      </c>
      <c r="U98" s="6">
        <f t="shared" si="101"/>
        <v>0.21323076923076922</v>
      </c>
      <c r="V98" s="6">
        <f t="shared" si="102"/>
        <v>1.776923076923077E-2</v>
      </c>
      <c r="W98" s="6">
        <f>I99*(100-U98)/100</f>
        <v>3.9264136321393006</v>
      </c>
      <c r="X98" s="6">
        <f>K99*(100-V98)/100</f>
        <v>2.3789625469807119</v>
      </c>
      <c r="Y98" s="6">
        <f t="shared" si="103"/>
        <v>1.650473075804642</v>
      </c>
      <c r="Z98" s="6">
        <f>Y98/AA99-1</f>
        <v>-1.9549627664605662E-3</v>
      </c>
      <c r="AA98" s="3">
        <f t="shared" si="104"/>
        <v>2.1021900321390845</v>
      </c>
      <c r="AB98" s="3">
        <f t="shared" si="105"/>
        <v>1.1410388328484344</v>
      </c>
      <c r="AC98" s="3">
        <f t="shared" si="63"/>
        <v>2.0812107114093465</v>
      </c>
      <c r="AD98" s="6">
        <f>AA98/AA99-1</f>
        <v>0.27119936680903911</v>
      </c>
      <c r="AE98" s="6">
        <f>AB98/AB99-1</f>
        <v>-9.9565683646112402E-2</v>
      </c>
      <c r="AF98" s="6">
        <f>AC98/AC99-1</f>
        <v>-0.2385852753144978</v>
      </c>
    </row>
    <row r="99" spans="1:33" s="2" customFormat="1">
      <c r="A99" s="2">
        <v>2000</v>
      </c>
      <c r="B99" s="2">
        <v>200</v>
      </c>
      <c r="C99" s="31">
        <v>14.87</v>
      </c>
      <c r="D99" s="31">
        <v>5</v>
      </c>
      <c r="E99" s="31">
        <v>3.97</v>
      </c>
      <c r="F99" s="31">
        <v>9.1</v>
      </c>
      <c r="G99" s="31">
        <v>1.05</v>
      </c>
      <c r="H99" s="31">
        <v>2.85</v>
      </c>
      <c r="I99" s="2">
        <f t="shared" si="92"/>
        <v>3.9348038446449589</v>
      </c>
      <c r="J99" s="2">
        <f t="shared" si="93"/>
        <v>3.0151794841258028</v>
      </c>
      <c r="K99" s="2">
        <f t="shared" si="94"/>
        <v>2.3793853454536351</v>
      </c>
      <c r="L99" s="2">
        <f t="shared" si="95"/>
        <v>6.503685976881953</v>
      </c>
      <c r="M99" s="2">
        <f t="shared" si="96"/>
        <v>0.435809076433121</v>
      </c>
      <c r="N99" s="2">
        <f t="shared" si="97"/>
        <v>1.0571475397272296</v>
      </c>
      <c r="AA99" s="2">
        <f t="shared" si="104"/>
        <v>1.6537060094798472</v>
      </c>
      <c r="AB99" s="2">
        <f t="shared" si="105"/>
        <v>1.2672094034230308</v>
      </c>
      <c r="AC99" s="2">
        <f t="shared" si="63"/>
        <v>2.733347076087842</v>
      </c>
    </row>
    <row r="100" spans="1:33">
      <c r="A100" s="6">
        <v>2100</v>
      </c>
      <c r="B100" s="6">
        <v>0</v>
      </c>
      <c r="C100" s="33">
        <v>8.0500000000000007</v>
      </c>
      <c r="D100" s="33">
        <v>0.57999999999999996</v>
      </c>
      <c r="E100" s="33">
        <v>6.18</v>
      </c>
      <c r="F100" s="33">
        <v>0.12</v>
      </c>
      <c r="G100" s="33">
        <v>0.95</v>
      </c>
      <c r="H100" s="33">
        <v>0.02</v>
      </c>
      <c r="I100" s="3">
        <f t="shared" ref="I100:I107" si="106">C100*26.98/101.96</f>
        <v>2.1301392703020796</v>
      </c>
      <c r="J100" s="3">
        <f t="shared" ref="J100:J107" si="107">D100*24.305/40.3044</f>
        <v>0.34976082015859306</v>
      </c>
      <c r="K100" s="6">
        <f t="shared" ref="K100:K107" si="108">E100*47.867/79.866</f>
        <v>3.7039298324693855</v>
      </c>
      <c r="L100" s="6">
        <f t="shared" ref="L100:L107" si="109">F100*40.078/56.0774</f>
        <v>8.5762892002838931E-2</v>
      </c>
      <c r="M100" s="6">
        <f t="shared" ref="M100:M107" si="110">G100*39.0983/94.2</f>
        <v>0.39430345010615714</v>
      </c>
      <c r="N100" s="6">
        <f t="shared" ref="N100:N107" si="111">H100*22.989769/61.9789</f>
        <v>7.4185792261559974E-3</v>
      </c>
      <c r="O100" s="6">
        <f t="shared" ref="O100:O106" si="112">100*(I100/(I100+L100+M100+N100))</f>
        <v>81.376817845259623</v>
      </c>
      <c r="P100" s="6">
        <f t="shared" ref="P100:P106" si="113">100*(I100/(I100+L100+N100))</f>
        <v>95.808905593853893</v>
      </c>
      <c r="Q100" s="3">
        <f>(I100/I107-1)*100</f>
        <v>-45.864156018829846</v>
      </c>
      <c r="R100" s="3">
        <f>(J100/J107-1)*100</f>
        <v>-88.4</v>
      </c>
      <c r="S100" s="3">
        <f>(K100/K107-1)*100</f>
        <v>55.667506297229167</v>
      </c>
      <c r="T100" s="6">
        <f t="shared" ref="T100:T106" si="114">R100/-0.13</f>
        <v>680</v>
      </c>
      <c r="U100" s="6">
        <f t="shared" ref="U100:U106" si="115">T100*0.0018</f>
        <v>1.224</v>
      </c>
      <c r="V100" s="6">
        <f t="shared" ref="V100:V106" si="116">T100*0.00015</f>
        <v>0.10199999999999999</v>
      </c>
      <c r="W100" s="3">
        <f>I107*(100-U100)/100</f>
        <v>3.8866418455865044</v>
      </c>
      <c r="X100" s="3">
        <f>K107*(100-V100)/100</f>
        <v>2.3769583724012722</v>
      </c>
      <c r="Y100" s="6">
        <f t="shared" ref="Y100:Y106" si="117">W100/X100</f>
        <v>1.6351324830565317</v>
      </c>
      <c r="Z100" s="3">
        <f>Y100/AA107-1</f>
        <v>-1.1231456085206815E-2</v>
      </c>
      <c r="AA100" s="3">
        <f t="shared" ref="AA100:AA107" si="118">I100/K100</f>
        <v>0.57510249023317217</v>
      </c>
      <c r="AB100" s="3">
        <f t="shared" ref="AB100:AB107" si="119">J100/K100</f>
        <v>9.4429656062196471E-2</v>
      </c>
      <c r="AC100" s="3">
        <f t="shared" si="63"/>
        <v>2.3154567144070701E-2</v>
      </c>
      <c r="AD100" s="3">
        <f>AA100/AA107-1</f>
        <v>-0.65223414141546021</v>
      </c>
      <c r="AE100" s="3">
        <f>AB100/AB107-1</f>
        <v>-0.92548220064724918</v>
      </c>
      <c r="AF100" s="3">
        <f>AC100/AC107-1</f>
        <v>-0.99152885949002456</v>
      </c>
      <c r="AG100" s="3"/>
    </row>
    <row r="101" spans="1:33">
      <c r="A101" s="6">
        <v>2100</v>
      </c>
      <c r="B101" s="6">
        <v>15</v>
      </c>
      <c r="C101" s="33">
        <v>9.08</v>
      </c>
      <c r="D101" s="33">
        <v>0.73</v>
      </c>
      <c r="E101" s="33">
        <v>7.03</v>
      </c>
      <c r="F101" s="33">
        <v>0.11</v>
      </c>
      <c r="G101" s="33">
        <v>1.19</v>
      </c>
      <c r="H101" s="33">
        <v>0.02</v>
      </c>
      <c r="I101" s="3">
        <f t="shared" si="106"/>
        <v>2.4026912514711651</v>
      </c>
      <c r="J101" s="3">
        <f t="shared" si="107"/>
        <v>0.44021620468236711</v>
      </c>
      <c r="K101" s="6">
        <f t="shared" si="108"/>
        <v>4.2133700197831363</v>
      </c>
      <c r="L101" s="6">
        <f t="shared" si="109"/>
        <v>7.861598433593571E-2</v>
      </c>
      <c r="M101" s="6">
        <f t="shared" si="110"/>
        <v>0.49391695329087049</v>
      </c>
      <c r="N101" s="6">
        <f t="shared" si="111"/>
        <v>7.4185792261559974E-3</v>
      </c>
      <c r="O101" s="6">
        <f t="shared" si="112"/>
        <v>80.55578351480483</v>
      </c>
      <c r="P101" s="6">
        <f t="shared" si="113"/>
        <v>96.543027639188068</v>
      </c>
      <c r="Q101" s="6">
        <f>(I101/I107-1)*100</f>
        <v>-38.937457969065235</v>
      </c>
      <c r="R101" s="6">
        <f>(J101/J107-1)*100</f>
        <v>-85.4</v>
      </c>
      <c r="S101" s="6">
        <f>(K101/K107-1)*100</f>
        <v>77.078085642317347</v>
      </c>
      <c r="T101" s="6">
        <f t="shared" si="114"/>
        <v>656.92307692307691</v>
      </c>
      <c r="U101" s="6">
        <f t="shared" si="115"/>
        <v>1.1824615384615385</v>
      </c>
      <c r="V101" s="6">
        <f t="shared" si="116"/>
        <v>9.8538461538461533E-2</v>
      </c>
      <c r="W101" s="6">
        <f>I107*(100-U101)/100</f>
        <v>3.8882763025681264</v>
      </c>
      <c r="X101" s="6">
        <f>K107*(100-V101)/100</f>
        <v>2.3770407357401533</v>
      </c>
      <c r="Y101" s="6">
        <f t="shared" si="117"/>
        <v>1.6357634280749551</v>
      </c>
      <c r="Z101" s="6">
        <f>Y101/AA107-1</f>
        <v>-1.084992211556135E-2</v>
      </c>
      <c r="AA101" s="3">
        <f t="shared" si="118"/>
        <v>0.57025403422670018</v>
      </c>
      <c r="AB101" s="3">
        <f t="shared" si="119"/>
        <v>0.10448078441138792</v>
      </c>
      <c r="AC101" s="3">
        <f t="shared" si="63"/>
        <v>1.8658694576267502E-2</v>
      </c>
      <c r="AD101" s="6">
        <f>AA101/AA107-1</f>
        <v>-0.65516601441989897</v>
      </c>
      <c r="AE101" s="6">
        <f>AB101/AB107-1</f>
        <v>-0.9175504978662874</v>
      </c>
      <c r="AF101" s="6">
        <f>AC101/AC107-1</f>
        <v>-0.99317368264736683</v>
      </c>
      <c r="AG101" s="3"/>
    </row>
    <row r="102" spans="1:33">
      <c r="A102" s="6">
        <v>2100</v>
      </c>
      <c r="B102" s="6">
        <v>30</v>
      </c>
      <c r="C102" s="33">
        <v>10.97</v>
      </c>
      <c r="D102" s="33">
        <v>0.43</v>
      </c>
      <c r="E102" s="33">
        <v>5.0999999999999996</v>
      </c>
      <c r="F102" s="33">
        <v>0.06</v>
      </c>
      <c r="G102" s="33">
        <v>0.57999999999999996</v>
      </c>
      <c r="H102" s="33">
        <v>0.01</v>
      </c>
      <c r="I102" s="3">
        <f t="shared" si="106"/>
        <v>2.902810906237741</v>
      </c>
      <c r="J102" s="3">
        <f t="shared" si="107"/>
        <v>0.259305435634819</v>
      </c>
      <c r="K102" s="6">
        <f t="shared" si="108"/>
        <v>3.0566411238825029</v>
      </c>
      <c r="L102" s="6">
        <f t="shared" si="109"/>
        <v>4.2881446001419465E-2</v>
      </c>
      <c r="M102" s="6">
        <f t="shared" si="110"/>
        <v>0.24073263269639064</v>
      </c>
      <c r="N102" s="6">
        <f t="shared" si="111"/>
        <v>3.7092896130779987E-3</v>
      </c>
      <c r="O102" s="6">
        <f t="shared" si="112"/>
        <v>90.993376968386656</v>
      </c>
      <c r="P102" s="6">
        <f t="shared" si="113"/>
        <v>98.420332620916355</v>
      </c>
      <c r="Q102" s="6">
        <f>(I102/I107-1)*100</f>
        <v>-26.227303295225269</v>
      </c>
      <c r="R102" s="6">
        <f>(J102/J107-1)*100</f>
        <v>-91.4</v>
      </c>
      <c r="S102" s="6">
        <f>(K102/K107-1)*100</f>
        <v>28.463476070528948</v>
      </c>
      <c r="T102" s="6">
        <f t="shared" si="114"/>
        <v>703.07692307692309</v>
      </c>
      <c r="U102" s="6">
        <f t="shared" si="115"/>
        <v>1.2655384615384615</v>
      </c>
      <c r="V102" s="6">
        <f t="shared" si="116"/>
        <v>0.10546153846153845</v>
      </c>
      <c r="W102" s="6">
        <f>I107*(100-U102)/100</f>
        <v>3.8850073886048828</v>
      </c>
      <c r="X102" s="6">
        <f>K107*(100-V102)/100</f>
        <v>2.3768760090623915</v>
      </c>
      <c r="Y102" s="6">
        <f t="shared" si="117"/>
        <v>1.6345014943111842</v>
      </c>
      <c r="Z102" s="6">
        <f>Y102/AA107-1</f>
        <v>-1.1613016496628492E-2</v>
      </c>
      <c r="AA102" s="3">
        <f t="shared" si="118"/>
        <v>0.94967344499724293</v>
      </c>
      <c r="AB102" s="3">
        <f t="shared" si="119"/>
        <v>8.4833457748370825E-2</v>
      </c>
      <c r="AC102" s="3">
        <f t="shared" si="63"/>
        <v>1.4028943622584012E-2</v>
      </c>
      <c r="AD102" s="6">
        <f>AA102/AA107-1</f>
        <v>-0.42573018447459654</v>
      </c>
      <c r="AE102" s="6">
        <f>AB102/AB107-1</f>
        <v>-0.93305490196078433</v>
      </c>
      <c r="AF102" s="6">
        <f>AC102/AC107-1</f>
        <v>-0.99486748545572079</v>
      </c>
    </row>
    <row r="103" spans="1:33">
      <c r="A103" s="6">
        <v>2100</v>
      </c>
      <c r="B103" s="6">
        <v>50</v>
      </c>
      <c r="C103" s="33">
        <v>16.940000000000001</v>
      </c>
      <c r="D103" s="33">
        <v>0.54</v>
      </c>
      <c r="E103" s="33">
        <v>7.8</v>
      </c>
      <c r="F103" s="33">
        <v>0.06</v>
      </c>
      <c r="G103" s="33">
        <v>0.52</v>
      </c>
      <c r="H103" s="33">
        <v>0.05</v>
      </c>
      <c r="I103" s="3">
        <f t="shared" si="106"/>
        <v>4.4825539427226371</v>
      </c>
      <c r="J103" s="3">
        <f t="shared" si="107"/>
        <v>0.3256393842855867</v>
      </c>
      <c r="K103" s="6">
        <f t="shared" si="108"/>
        <v>4.6748628953497109</v>
      </c>
      <c r="L103" s="6">
        <f t="shared" si="109"/>
        <v>4.2881446001419465E-2</v>
      </c>
      <c r="M103" s="6">
        <f t="shared" si="110"/>
        <v>0.21582925690021232</v>
      </c>
      <c r="N103" s="6">
        <f t="shared" si="111"/>
        <v>1.8546448065389996E-2</v>
      </c>
      <c r="O103" s="6">
        <f t="shared" si="112"/>
        <v>94.17503876709317</v>
      </c>
      <c r="P103" s="6">
        <f t="shared" si="113"/>
        <v>98.648148336125146</v>
      </c>
      <c r="Q103" s="6">
        <f>(I103/I107-1)*100</f>
        <v>13.920645595158042</v>
      </c>
      <c r="R103" s="6">
        <f>(J103/J107-1)*100</f>
        <v>-89.2</v>
      </c>
      <c r="S103" s="6">
        <f>(K103/K107-1)*100</f>
        <v>96.47355163727957</v>
      </c>
      <c r="T103" s="6">
        <f t="shared" si="114"/>
        <v>686.15384615384619</v>
      </c>
      <c r="U103" s="6">
        <f t="shared" si="115"/>
        <v>1.2350769230769232</v>
      </c>
      <c r="V103" s="6">
        <f t="shared" si="116"/>
        <v>0.10292307692307692</v>
      </c>
      <c r="W103" s="6">
        <f>I107*(100-U103)/100</f>
        <v>3.8862059903914057</v>
      </c>
      <c r="X103" s="6">
        <f>K107*(100-V103)/100</f>
        <v>2.3769364088442377</v>
      </c>
      <c r="Y103" s="6">
        <f t="shared" si="117"/>
        <v>1.6349642236668147</v>
      </c>
      <c r="Z103" s="6">
        <f>Y103/AA107-1</f>
        <v>-1.133320294272111E-2</v>
      </c>
      <c r="AA103" s="3">
        <f t="shared" si="118"/>
        <v>0.95886318873257825</v>
      </c>
      <c r="AB103" s="3">
        <f t="shared" si="119"/>
        <v>6.9657526129699832E-2</v>
      </c>
      <c r="AC103" s="3">
        <f t="shared" si="63"/>
        <v>9.1727708301510835E-3</v>
      </c>
      <c r="AD103" s="6">
        <f>AA103/AA107-1</f>
        <v>-0.42017312434259291</v>
      </c>
      <c r="AE103" s="6">
        <f>AB103/AB107-1</f>
        <v>-0.94503076923076923</v>
      </c>
      <c r="AF103" s="6">
        <f>AC103/AC107-1</f>
        <v>-0.99664412510566358</v>
      </c>
    </row>
    <row r="104" spans="1:33">
      <c r="A104" s="6">
        <v>2100</v>
      </c>
      <c r="B104" s="6">
        <v>80</v>
      </c>
      <c r="C104" s="33">
        <v>23.83</v>
      </c>
      <c r="D104" s="33">
        <v>0.38</v>
      </c>
      <c r="E104" s="33">
        <v>1.91</v>
      </c>
      <c r="F104" s="33">
        <v>0.05</v>
      </c>
      <c r="G104" s="33">
        <v>0.09</v>
      </c>
      <c r="H104" s="33">
        <v>5.0000000000000001E-3</v>
      </c>
      <c r="I104" s="3">
        <f t="shared" si="106"/>
        <v>6.305741467242056</v>
      </c>
      <c r="J104" s="3">
        <f t="shared" si="107"/>
        <v>0.22915364079356101</v>
      </c>
      <c r="K104" s="6">
        <f t="shared" si="108"/>
        <v>1.1447420679638394</v>
      </c>
      <c r="L104" s="6">
        <f t="shared" si="109"/>
        <v>3.573453833451623E-2</v>
      </c>
      <c r="M104" s="6">
        <f t="shared" si="110"/>
        <v>3.7355063694267512E-2</v>
      </c>
      <c r="N104" s="6">
        <f t="shared" si="111"/>
        <v>1.8546448065389993E-3</v>
      </c>
      <c r="O104" s="6">
        <f t="shared" si="112"/>
        <v>98.825451523650869</v>
      </c>
      <c r="P104" s="6">
        <f t="shared" si="113"/>
        <v>99.407421980457784</v>
      </c>
      <c r="Q104" s="6">
        <f>(I104/I107-1)*100</f>
        <v>60.255548083389378</v>
      </c>
      <c r="R104" s="6">
        <f>(J104/J107-1)*100</f>
        <v>-92.4</v>
      </c>
      <c r="S104" s="6">
        <f>(K104/K107-1)*100</f>
        <v>-51.889168765743079</v>
      </c>
      <c r="T104" s="6">
        <f t="shared" si="114"/>
        <v>710.76923076923083</v>
      </c>
      <c r="U104" s="6">
        <f t="shared" si="115"/>
        <v>1.2793846153846156</v>
      </c>
      <c r="V104" s="6">
        <f t="shared" si="116"/>
        <v>0.10661538461538461</v>
      </c>
      <c r="W104" s="6">
        <f>I107*(100-U104)/100</f>
        <v>3.8844625696110091</v>
      </c>
      <c r="X104" s="6">
        <f>K107*(100-V104)/100</f>
        <v>2.3768485546160978</v>
      </c>
      <c r="Y104" s="6">
        <f t="shared" si="117"/>
        <v>1.634291155011522</v>
      </c>
      <c r="Z104" s="6">
        <f>Y104/AA107-1</f>
        <v>-1.1740209176860805E-2</v>
      </c>
      <c r="AA104" s="3">
        <f t="shared" si="118"/>
        <v>5.5084386637927283</v>
      </c>
      <c r="AB104" s="3">
        <f t="shared" si="119"/>
        <v>0.20017927811560046</v>
      </c>
      <c r="AC104" s="3">
        <f t="shared" si="63"/>
        <v>3.1216235809414693E-2</v>
      </c>
      <c r="AD104" s="6">
        <f>AA104/AA107-1</f>
        <v>2.3309661041416541</v>
      </c>
      <c r="AE104" s="6">
        <f>AB104/AB107-1</f>
        <v>-0.84203141361256539</v>
      </c>
      <c r="AF104" s="6">
        <f>AC104/AC107-1</f>
        <v>-0.98857948334388124</v>
      </c>
    </row>
    <row r="105" spans="1:33">
      <c r="A105" s="6">
        <v>2100</v>
      </c>
      <c r="B105" s="6">
        <v>120</v>
      </c>
      <c r="C105" s="33">
        <v>27.14</v>
      </c>
      <c r="D105" s="33">
        <v>0.57999999999999996</v>
      </c>
      <c r="E105" s="33">
        <v>5.64</v>
      </c>
      <c r="F105" s="33">
        <v>0.14000000000000001</v>
      </c>
      <c r="G105" s="33">
        <v>0.11</v>
      </c>
      <c r="H105" s="33">
        <v>5.0000000000000001E-3</v>
      </c>
      <c r="I105" s="3">
        <f t="shared" si="106"/>
        <v>7.1816123970184389</v>
      </c>
      <c r="J105" s="3">
        <f t="shared" si="107"/>
        <v>0.34976082015859306</v>
      </c>
      <c r="K105" s="6">
        <f t="shared" si="108"/>
        <v>3.3802854781759444</v>
      </c>
      <c r="L105" s="6">
        <f t="shared" si="109"/>
        <v>0.10005670733664544</v>
      </c>
      <c r="M105" s="6">
        <f t="shared" si="110"/>
        <v>4.5656188959660303E-2</v>
      </c>
      <c r="N105" s="6">
        <f t="shared" si="111"/>
        <v>1.8546448065389993E-3</v>
      </c>
      <c r="O105" s="6">
        <f t="shared" si="112"/>
        <v>97.986575000904239</v>
      </c>
      <c r="P105" s="6">
        <f t="shared" si="113"/>
        <v>98.600796047999225</v>
      </c>
      <c r="Q105" s="6">
        <f>(I105/I107-1)*100</f>
        <v>82.515131136516473</v>
      </c>
      <c r="R105" s="6">
        <f>(J105/J107-1)*100</f>
        <v>-88.4</v>
      </c>
      <c r="S105" s="6">
        <f>(K105/K107-1)*100</f>
        <v>42.065491183879054</v>
      </c>
      <c r="T105" s="6">
        <f t="shared" si="114"/>
        <v>680</v>
      </c>
      <c r="U105" s="6">
        <f t="shared" si="115"/>
        <v>1.224</v>
      </c>
      <c r="V105" s="6">
        <f t="shared" si="116"/>
        <v>0.10199999999999999</v>
      </c>
      <c r="W105" s="6">
        <f>I107*(100-U105)/100</f>
        <v>3.8866418455865044</v>
      </c>
      <c r="X105" s="6">
        <f>K107*(100-V105)/100</f>
        <v>2.3769583724012722</v>
      </c>
      <c r="Y105" s="6">
        <f t="shared" si="117"/>
        <v>1.6351324830565317</v>
      </c>
      <c r="Z105" s="6">
        <f>Y105/AA107-1</f>
        <v>-1.1231456085206815E-2</v>
      </c>
      <c r="AA105" s="3">
        <f t="shared" si="118"/>
        <v>2.1245579532808425</v>
      </c>
      <c r="AB105" s="3">
        <f t="shared" si="119"/>
        <v>0.10347079334474718</v>
      </c>
      <c r="AC105" s="3">
        <f t="shared" si="63"/>
        <v>2.9600076083111663E-2</v>
      </c>
      <c r="AD105" s="6">
        <f>AA105/AA107-1</f>
        <v>0.28472530250349393</v>
      </c>
      <c r="AE105" s="6">
        <f>AB105/AB107-1</f>
        <v>-0.9183475177304965</v>
      </c>
      <c r="AF105" s="6">
        <f>AC105/AC107-1</f>
        <v>-0.98917075831969448</v>
      </c>
    </row>
    <row r="106" spans="1:33">
      <c r="A106" s="6">
        <v>2100</v>
      </c>
      <c r="B106" s="6">
        <v>145</v>
      </c>
      <c r="C106" s="33">
        <v>18.36</v>
      </c>
      <c r="D106" s="33">
        <v>4.42</v>
      </c>
      <c r="E106" s="33">
        <v>3.99</v>
      </c>
      <c r="F106" s="33">
        <v>5.82</v>
      </c>
      <c r="G106" s="33">
        <v>1.02</v>
      </c>
      <c r="H106" s="33">
        <v>1.88</v>
      </c>
      <c r="I106" s="3">
        <f t="shared" si="106"/>
        <v>4.8583052177324442</v>
      </c>
      <c r="J106" s="3">
        <f t="shared" si="107"/>
        <v>2.6654186639672095</v>
      </c>
      <c r="K106" s="6">
        <f t="shared" si="108"/>
        <v>2.3913721733904287</v>
      </c>
      <c r="L106" s="6">
        <f t="shared" si="109"/>
        <v>4.1595002621376889</v>
      </c>
      <c r="M106" s="6">
        <f t="shared" si="110"/>
        <v>0.42335738853503191</v>
      </c>
      <c r="N106" s="6">
        <f t="shared" si="111"/>
        <v>0.69734644725866368</v>
      </c>
      <c r="O106" s="6">
        <f t="shared" si="112"/>
        <v>47.919324887599039</v>
      </c>
      <c r="P106" s="6">
        <f t="shared" si="113"/>
        <v>50.007506358866181</v>
      </c>
      <c r="Q106" s="6">
        <f>(I106/I107-1)*100</f>
        <v>23.470073974445182</v>
      </c>
      <c r="R106" s="6">
        <f>(J106/J107-1)*100</f>
        <v>-11.60000000000001</v>
      </c>
      <c r="S106" s="6">
        <f>(K106/K107-1)*100</f>
        <v>0.50377833753145751</v>
      </c>
      <c r="T106" s="6">
        <f t="shared" si="114"/>
        <v>89.230769230769312</v>
      </c>
      <c r="U106" s="6">
        <f t="shared" si="115"/>
        <v>0.16061538461538474</v>
      </c>
      <c r="V106" s="6">
        <f t="shared" si="116"/>
        <v>1.3384615384615396E-2</v>
      </c>
      <c r="W106" s="6">
        <f>I107*(100-U106)/100</f>
        <v>3.9284839443160218</v>
      </c>
      <c r="X106" s="6">
        <f>K107*(100-V106)/100</f>
        <v>2.3790668738766283</v>
      </c>
      <c r="Y106" s="6">
        <f t="shared" si="117"/>
        <v>1.6512709194738433</v>
      </c>
      <c r="Z106" s="6">
        <f>Y106/AA107-1</f>
        <v>-1.4725047814090342E-3</v>
      </c>
      <c r="AA106" s="3">
        <f t="shared" si="118"/>
        <v>2.0315972861909062</v>
      </c>
      <c r="AB106" s="3">
        <f t="shared" si="119"/>
        <v>1.114598009304526</v>
      </c>
      <c r="AC106" s="3">
        <f t="shared" si="63"/>
        <v>1.7393780476421834</v>
      </c>
      <c r="AD106" s="6">
        <f>AA106/AA107-1</f>
        <v>0.22851176360538239</v>
      </c>
      <c r="AE106" s="6">
        <f>AB106/AB107-1</f>
        <v>-0.12043107769423544</v>
      </c>
      <c r="AF106" s="6">
        <f>AC106/AC107-1</f>
        <v>-0.36364537717921164</v>
      </c>
    </row>
    <row r="107" spans="1:33" s="2" customFormat="1">
      <c r="A107" s="2">
        <v>2100</v>
      </c>
      <c r="B107" s="2">
        <v>160</v>
      </c>
      <c r="C107" s="31">
        <v>14.87</v>
      </c>
      <c r="D107" s="31">
        <v>5</v>
      </c>
      <c r="E107" s="31">
        <v>3.97</v>
      </c>
      <c r="F107" s="31">
        <v>9.1</v>
      </c>
      <c r="G107" s="31">
        <v>1.05</v>
      </c>
      <c r="H107" s="31">
        <v>2.85</v>
      </c>
      <c r="I107" s="2">
        <f t="shared" si="106"/>
        <v>3.9348038446449589</v>
      </c>
      <c r="J107" s="2">
        <f t="shared" si="107"/>
        <v>3.0151794841258028</v>
      </c>
      <c r="K107" s="2">
        <f t="shared" si="108"/>
        <v>2.3793853454536351</v>
      </c>
      <c r="L107" s="2">
        <f t="shared" si="109"/>
        <v>6.503685976881953</v>
      </c>
      <c r="M107" s="2">
        <f t="shared" si="110"/>
        <v>0.435809076433121</v>
      </c>
      <c r="N107" s="2">
        <f t="shared" si="111"/>
        <v>1.0571475397272296</v>
      </c>
      <c r="AA107" s="2">
        <f t="shared" si="118"/>
        <v>1.6537060094798472</v>
      </c>
      <c r="AB107" s="2">
        <f t="shared" si="119"/>
        <v>1.2672094034230308</v>
      </c>
      <c r="AC107" s="2">
        <f t="shared" si="63"/>
        <v>2.733347076087842</v>
      </c>
    </row>
    <row r="108" spans="1:33">
      <c r="A108" s="6">
        <v>2400</v>
      </c>
      <c r="B108" s="6">
        <v>0</v>
      </c>
      <c r="C108" s="33">
        <v>7.15</v>
      </c>
      <c r="D108" s="33">
        <v>0.5</v>
      </c>
      <c r="E108" s="33">
        <v>6.09</v>
      </c>
      <c r="F108" s="33">
        <v>0.15</v>
      </c>
      <c r="G108" s="33">
        <v>0.74</v>
      </c>
      <c r="H108" s="33">
        <v>0.02</v>
      </c>
      <c r="I108" s="3">
        <f t="shared" ref="I108:I116" si="120">C108*26.98/101.96</f>
        <v>1.8919870537465675</v>
      </c>
      <c r="J108" s="3">
        <f t="shared" ref="J108:J116" si="121">D108*24.305/40.3044</f>
        <v>0.30151794841258023</v>
      </c>
      <c r="K108" s="6">
        <f t="shared" ref="K108:K116" si="122">E108*47.867/79.866</f>
        <v>3.6499891067538122</v>
      </c>
      <c r="L108" s="6">
        <f t="shared" ref="L108:L116" si="123">F108*40.078/56.0774</f>
        <v>0.10720361500354868</v>
      </c>
      <c r="M108" s="6">
        <f t="shared" ref="M108:M116" si="124">G108*39.0983/94.2</f>
        <v>0.30714163481953294</v>
      </c>
      <c r="N108" s="6">
        <f t="shared" ref="N108:N116" si="125">H108*22.989769/61.9789</f>
        <v>7.4185792261559974E-3</v>
      </c>
      <c r="O108" s="6">
        <f t="shared" ref="O108:O115" si="126">100*(I108/(I108+L108+M108+N108))</f>
        <v>81.771424392084839</v>
      </c>
      <c r="P108" s="6">
        <f t="shared" ref="P108:P115" si="127">100*(I108/(I108+L108+N108))</f>
        <v>94.287767070479489</v>
      </c>
      <c r="Q108" s="3">
        <f>(I108/I116-1)*100</f>
        <v>-54.166666666666671</v>
      </c>
      <c r="R108" s="3">
        <f>(J108/J116-1)*100</f>
        <v>-92.163009404388717</v>
      </c>
      <c r="S108" s="3">
        <f>(K108/K116-1)*100</f>
        <v>121.45454545454544</v>
      </c>
      <c r="T108" s="6">
        <f t="shared" ref="T108:T115" si="128">R108/-0.13</f>
        <v>708.94622618760548</v>
      </c>
      <c r="U108" s="6">
        <f t="shared" ref="U108:U115" si="129">T108*0.0018</f>
        <v>1.2761032071376899</v>
      </c>
      <c r="V108" s="6">
        <f t="shared" ref="V108:V115" si="130">T108*0.00015</f>
        <v>0.10634193392814081</v>
      </c>
      <c r="W108" s="3">
        <f>I116*(100-U108)/100</f>
        <v>4.0752945736910782</v>
      </c>
      <c r="X108" s="3">
        <f>K116*(100-V108)/100</f>
        <v>1.6464361254205568</v>
      </c>
      <c r="Y108" s="6">
        <f t="shared" ref="Y108:Y115" si="131">W108/X108</f>
        <v>2.4752217901256914</v>
      </c>
      <c r="Z108" s="3">
        <f>Y108/AA116-1</f>
        <v>-1.171006544215103E-2</v>
      </c>
      <c r="AA108" s="3">
        <f t="shared" ref="AA108:AA116" si="132">I108/K108</f>
        <v>0.51835416446742288</v>
      </c>
      <c r="AB108" s="3">
        <f t="shared" ref="AB108:AB116" si="133">J108/K108</f>
        <v>8.2607903638578534E-2</v>
      </c>
      <c r="AC108" s="3">
        <f t="shared" si="63"/>
        <v>2.9370941081764562E-2</v>
      </c>
      <c r="AD108" s="3">
        <f>AA108/AA116-1</f>
        <v>-0.79303503010399556</v>
      </c>
      <c r="AE108" s="3">
        <f>AB108/AB116-1</f>
        <v>-0.96461129041390636</v>
      </c>
      <c r="AF108" s="3">
        <f>AC108/AC116-1</f>
        <v>-0.99252384214704381</v>
      </c>
      <c r="AG108" s="3"/>
    </row>
    <row r="109" spans="1:33">
      <c r="A109" s="6">
        <v>2400</v>
      </c>
      <c r="B109" s="6">
        <v>10</v>
      </c>
      <c r="C109" s="33">
        <v>8.1999999999999993</v>
      </c>
      <c r="D109" s="33">
        <v>0.6</v>
      </c>
      <c r="E109" s="33">
        <v>8.66</v>
      </c>
      <c r="F109" s="33">
        <v>0.08</v>
      </c>
      <c r="G109" s="33">
        <v>1.06</v>
      </c>
      <c r="H109" s="33">
        <v>0.01</v>
      </c>
      <c r="I109" s="3">
        <f t="shared" si="120"/>
        <v>2.1698313063946646</v>
      </c>
      <c r="J109" s="3">
        <f t="shared" si="121"/>
        <v>0.36182153809509626</v>
      </c>
      <c r="K109" s="6">
        <f t="shared" si="122"/>
        <v>5.1902964966318583</v>
      </c>
      <c r="L109" s="6">
        <f t="shared" si="123"/>
        <v>5.7175261335225963E-2</v>
      </c>
      <c r="M109" s="6">
        <f t="shared" si="124"/>
        <v>0.43995963906581748</v>
      </c>
      <c r="N109" s="6">
        <f t="shared" si="125"/>
        <v>3.7092896130779987E-3</v>
      </c>
      <c r="O109" s="6">
        <f t="shared" si="126"/>
        <v>81.246535167316338</v>
      </c>
      <c r="P109" s="6">
        <f t="shared" si="127"/>
        <v>97.270627240673122</v>
      </c>
      <c r="Q109" s="3">
        <f>(I109/I116-1)*100</f>
        <v>-47.435897435897445</v>
      </c>
      <c r="R109" s="3">
        <f>(J109/J116-1)*100</f>
        <v>-90.595611285266457</v>
      </c>
      <c r="S109" s="3">
        <f>(K109/K116-1)*100</f>
        <v>214.90909090909093</v>
      </c>
      <c r="T109" s="6">
        <f t="shared" si="128"/>
        <v>696.88931757897274</v>
      </c>
      <c r="U109" s="6">
        <f t="shared" si="129"/>
        <v>1.2544007716421508</v>
      </c>
      <c r="V109" s="6">
        <f t="shared" si="130"/>
        <v>0.1045333976368459</v>
      </c>
      <c r="W109" s="3">
        <f>I116*(100-U109)/100</f>
        <v>4.0761904440981844</v>
      </c>
      <c r="X109" s="3">
        <f>K116*(100-V109)/100</f>
        <v>1.6464659335139009</v>
      </c>
      <c r="Y109" s="6">
        <f t="shared" si="131"/>
        <v>2.475721095181572</v>
      </c>
      <c r="Z109" s="3">
        <f>Y109/AA116-1</f>
        <v>-1.1510706272411575E-2</v>
      </c>
      <c r="AA109" s="3">
        <f t="shared" si="132"/>
        <v>0.41805536693380319</v>
      </c>
      <c r="AB109" s="3">
        <f t="shared" si="133"/>
        <v>6.9711150091308516E-2</v>
      </c>
      <c r="AC109" s="3">
        <f t="shared" si="63"/>
        <v>1.1015798687479364E-2</v>
      </c>
      <c r="AD109" s="3">
        <f>AA109/AA116-1</f>
        <v>-0.833081660448866</v>
      </c>
      <c r="AE109" s="3">
        <f>AB109/AB116-1</f>
        <v>-0.97013617902365212</v>
      </c>
      <c r="AF109" s="3">
        <f>AC109/AC116-1</f>
        <v>-0.99719600915630469</v>
      </c>
      <c r="AG109" s="3"/>
    </row>
    <row r="110" spans="1:33">
      <c r="A110" s="6">
        <v>2400</v>
      </c>
      <c r="B110" s="6">
        <v>30</v>
      </c>
      <c r="C110" s="33">
        <v>8.77</v>
      </c>
      <c r="D110" s="33">
        <v>0.47</v>
      </c>
      <c r="E110" s="33">
        <v>7.67</v>
      </c>
      <c r="F110" s="33">
        <v>0.04</v>
      </c>
      <c r="G110" s="33">
        <v>0.79</v>
      </c>
      <c r="H110" s="33">
        <v>5.0000000000000001E-3</v>
      </c>
      <c r="I110" s="3">
        <f t="shared" si="120"/>
        <v>2.3206610435464889</v>
      </c>
      <c r="J110" s="3">
        <f t="shared" si="121"/>
        <v>0.28342687150782542</v>
      </c>
      <c r="K110" s="6">
        <f t="shared" si="122"/>
        <v>4.596948513760549</v>
      </c>
      <c r="L110" s="6">
        <f t="shared" si="123"/>
        <v>2.8587630667612982E-2</v>
      </c>
      <c r="M110" s="6">
        <f t="shared" si="124"/>
        <v>0.32789444798301493</v>
      </c>
      <c r="N110" s="6">
        <f t="shared" si="125"/>
        <v>1.8546448065389993E-3</v>
      </c>
      <c r="O110" s="6">
        <f t="shared" si="126"/>
        <v>86.624224630916686</v>
      </c>
      <c r="P110" s="6">
        <f t="shared" si="127"/>
        <v>98.705191931470154</v>
      </c>
      <c r="Q110" s="6">
        <f>(I110/I116-1)*100</f>
        <v>-43.782051282051285</v>
      </c>
      <c r="R110" s="6">
        <f>(J110/J116-1)*100</f>
        <v>-92.633228840125398</v>
      </c>
      <c r="S110" s="6">
        <f>(K110/K116-1)*100</f>
        <v>178.90909090909096</v>
      </c>
      <c r="T110" s="6">
        <f t="shared" si="128"/>
        <v>712.56329877019539</v>
      </c>
      <c r="U110" s="6">
        <f t="shared" si="129"/>
        <v>1.2826139377863517</v>
      </c>
      <c r="V110" s="6">
        <f t="shared" si="130"/>
        <v>0.10688449481552929</v>
      </c>
      <c r="W110" s="6">
        <f>I116*(100-U110)/100</f>
        <v>4.0750258125689474</v>
      </c>
      <c r="X110" s="6">
        <f>K116*(100-V110)/100</f>
        <v>1.6464271829925534</v>
      </c>
      <c r="Y110" s="6">
        <f t="shared" si="131"/>
        <v>2.4750719950834159</v>
      </c>
      <c r="Z110" s="6">
        <f>Y110/AA116-1</f>
        <v>-1.1769874600715435E-2</v>
      </c>
      <c r="AA110" s="3">
        <f t="shared" si="132"/>
        <v>0.50482641617581758</v>
      </c>
      <c r="AB110" s="3">
        <f t="shared" si="133"/>
        <v>6.1655437440600598E-2</v>
      </c>
      <c r="AC110" s="3">
        <f t="shared" si="63"/>
        <v>6.2188276814583625E-3</v>
      </c>
      <c r="AD110" s="6">
        <f>AA110/AA116-1</f>
        <v>-0.79843629859927123</v>
      </c>
      <c r="AE110" s="6">
        <f>AB110/AB116-1</f>
        <v>-0.97358719597176635</v>
      </c>
      <c r="AF110" s="6">
        <f>AC110/AC116-1</f>
        <v>-0.99841704297872214</v>
      </c>
      <c r="AG110" s="3"/>
    </row>
    <row r="111" spans="1:33">
      <c r="A111" s="6">
        <v>2400</v>
      </c>
      <c r="B111" s="6">
        <v>45</v>
      </c>
      <c r="C111" s="33">
        <v>9.09</v>
      </c>
      <c r="D111" s="33">
        <v>0.44</v>
      </c>
      <c r="E111" s="33">
        <v>7.04</v>
      </c>
      <c r="F111" s="33">
        <v>0.03</v>
      </c>
      <c r="G111" s="33">
        <v>0.62</v>
      </c>
      <c r="H111" s="33">
        <v>5.0000000000000001E-3</v>
      </c>
      <c r="I111" s="3">
        <f t="shared" si="120"/>
        <v>2.4053373872106709</v>
      </c>
      <c r="J111" s="3">
        <f t="shared" si="121"/>
        <v>0.26533579460307061</v>
      </c>
      <c r="K111" s="6">
        <f t="shared" si="122"/>
        <v>4.2193634337515338</v>
      </c>
      <c r="L111" s="6">
        <f t="shared" si="123"/>
        <v>2.1440723000709733E-2</v>
      </c>
      <c r="M111" s="6">
        <f t="shared" si="124"/>
        <v>0.25733488322717624</v>
      </c>
      <c r="N111" s="6">
        <f t="shared" si="125"/>
        <v>1.8546448065389993E-3</v>
      </c>
      <c r="O111" s="6">
        <f t="shared" si="126"/>
        <v>89.551986887757977</v>
      </c>
      <c r="P111" s="6">
        <f t="shared" si="127"/>
        <v>99.040803194343937</v>
      </c>
      <c r="Q111" s="6">
        <f>(I111/I116-1)*100</f>
        <v>-41.730769230769241</v>
      </c>
      <c r="R111" s="6">
        <f>(J111/J116-1)*100</f>
        <v>-93.103448275862064</v>
      </c>
      <c r="S111" s="6">
        <f>(K111/K116-1)*100</f>
        <v>156</v>
      </c>
      <c r="T111" s="6">
        <f t="shared" si="128"/>
        <v>716.18037135278507</v>
      </c>
      <c r="U111" s="6">
        <f t="shared" si="129"/>
        <v>1.2891246684350131</v>
      </c>
      <c r="V111" s="6">
        <f t="shared" si="130"/>
        <v>0.10742705570291775</v>
      </c>
      <c r="W111" s="6">
        <f>I116*(100-U111)/100</f>
        <v>4.0747570514468157</v>
      </c>
      <c r="X111" s="6">
        <f>K116*(100-V111)/100</f>
        <v>1.6464182405645502</v>
      </c>
      <c r="Y111" s="6">
        <f t="shared" si="131"/>
        <v>2.4749221984139327</v>
      </c>
      <c r="Z111" s="6">
        <f>Y111/AA116-1</f>
        <v>-1.1829684408980357E-2</v>
      </c>
      <c r="AA111" s="3">
        <f t="shared" si="132"/>
        <v>0.57007115527662189</v>
      </c>
      <c r="AB111" s="3">
        <f t="shared" si="133"/>
        <v>6.2885266644867904E-2</v>
      </c>
      <c r="AC111" s="3">
        <f t="shared" si="63"/>
        <v>5.0815065678393792E-3</v>
      </c>
      <c r="AD111" s="6">
        <f>AA111/AA116-1</f>
        <v>-0.77238581730769229</v>
      </c>
      <c r="AE111" s="6">
        <f>AB111/AB116-1</f>
        <v>-0.97306034482758619</v>
      </c>
      <c r="AF111" s="6">
        <f>AC111/AC116-1</f>
        <v>-0.99870653973509937</v>
      </c>
    </row>
    <row r="112" spans="1:33">
      <c r="A112" s="6">
        <v>2400</v>
      </c>
      <c r="B112" s="6">
        <v>70</v>
      </c>
      <c r="C112" s="33">
        <v>20.53</v>
      </c>
      <c r="D112" s="33">
        <v>0.56000000000000005</v>
      </c>
      <c r="E112" s="33">
        <v>4.09</v>
      </c>
      <c r="F112" s="33">
        <v>0.03</v>
      </c>
      <c r="G112" s="33">
        <v>0.23</v>
      </c>
      <c r="H112" s="33">
        <v>5.0000000000000001E-3</v>
      </c>
      <c r="I112" s="3">
        <f t="shared" si="120"/>
        <v>5.4325166732051793</v>
      </c>
      <c r="J112" s="3">
        <f t="shared" si="121"/>
        <v>0.3377001022220899</v>
      </c>
      <c r="K112" s="6">
        <f t="shared" si="122"/>
        <v>2.4513063130743995</v>
      </c>
      <c r="L112" s="6">
        <f t="shared" si="123"/>
        <v>2.1440723000709733E-2</v>
      </c>
      <c r="M112" s="6">
        <f t="shared" si="124"/>
        <v>9.5462940552016998E-2</v>
      </c>
      <c r="N112" s="6">
        <f t="shared" si="125"/>
        <v>1.8546448065389993E-3</v>
      </c>
      <c r="O112" s="6">
        <f t="shared" si="126"/>
        <v>97.860702113412557</v>
      </c>
      <c r="P112" s="6">
        <f t="shared" si="127"/>
        <v>99.573017405436019</v>
      </c>
      <c r="Q112" s="6">
        <f>(I112/I116-1)*100</f>
        <v>31.602564102564102</v>
      </c>
      <c r="R112" s="6">
        <f>(J112/J116-1)*100</f>
        <v>-91.222570532915356</v>
      </c>
      <c r="S112" s="6">
        <f>(K112/K116-1)*100</f>
        <v>48.727272727272734</v>
      </c>
      <c r="T112" s="6">
        <f t="shared" si="128"/>
        <v>701.71208102242576</v>
      </c>
      <c r="U112" s="6">
        <f t="shared" si="129"/>
        <v>1.2630817458403663</v>
      </c>
      <c r="V112" s="6">
        <f t="shared" si="130"/>
        <v>0.10525681215336385</v>
      </c>
      <c r="W112" s="6">
        <f>I116*(100-U112)/100</f>
        <v>4.0758320959353416</v>
      </c>
      <c r="X112" s="6">
        <f>K116*(100-V112)/100</f>
        <v>1.6464540102765632</v>
      </c>
      <c r="Y112" s="6">
        <f t="shared" si="131"/>
        <v>2.4755213753287304</v>
      </c>
      <c r="Z112" s="6">
        <f>Y112/AA116-1</f>
        <v>-1.1590449074079689E-2</v>
      </c>
      <c r="AA112" s="3">
        <f t="shared" si="132"/>
        <v>2.21617210555452</v>
      </c>
      <c r="AB112" s="3">
        <f t="shared" si="133"/>
        <v>0.13776332252763238</v>
      </c>
      <c r="AC112" s="3">
        <f t="shared" si="63"/>
        <v>8.7466518918311066E-3</v>
      </c>
      <c r="AD112" s="6">
        <f>AA112/AA116-1</f>
        <v>-0.115141683906965</v>
      </c>
      <c r="AE112" s="6">
        <f>AB112/AB116-1</f>
        <v>-0.94098305370542112</v>
      </c>
      <c r="AF112" s="6">
        <f>AC112/AC116-1</f>
        <v>-0.99777360384721259</v>
      </c>
    </row>
    <row r="113" spans="1:33">
      <c r="A113" s="6">
        <v>2400</v>
      </c>
      <c r="B113" s="6">
        <v>93</v>
      </c>
      <c r="C113" s="33">
        <v>23.97</v>
      </c>
      <c r="D113" s="33">
        <v>0.46</v>
      </c>
      <c r="E113" s="33">
        <v>3.34</v>
      </c>
      <c r="F113" s="33">
        <v>0.02</v>
      </c>
      <c r="G113" s="33">
        <v>0.19</v>
      </c>
      <c r="H113" s="33">
        <v>5.0000000000000001E-3</v>
      </c>
      <c r="I113" s="3">
        <f t="shared" si="120"/>
        <v>6.3427873675951361</v>
      </c>
      <c r="J113" s="3">
        <f t="shared" si="121"/>
        <v>0.27739651253957387</v>
      </c>
      <c r="K113" s="6">
        <f t="shared" si="122"/>
        <v>2.0018002654446199</v>
      </c>
      <c r="L113" s="6">
        <f t="shared" si="123"/>
        <v>1.4293815333806491E-2</v>
      </c>
      <c r="M113" s="6">
        <f t="shared" si="124"/>
        <v>7.886069002123143E-2</v>
      </c>
      <c r="N113" s="6">
        <f t="shared" si="125"/>
        <v>1.8546448065389993E-3</v>
      </c>
      <c r="O113" s="6">
        <f t="shared" si="126"/>
        <v>98.524197683174322</v>
      </c>
      <c r="P113" s="6">
        <f t="shared" si="127"/>
        <v>99.746050902575391</v>
      </c>
      <c r="Q113" s="6">
        <f>(I113/I116-1)*100</f>
        <v>53.65384615384616</v>
      </c>
      <c r="R113" s="6">
        <f>(J113/J116-1)*100</f>
        <v>-92.789968652037615</v>
      </c>
      <c r="S113" s="6">
        <f>(K113/K116-1)*100</f>
        <v>21.454545454545482</v>
      </c>
      <c r="T113" s="6">
        <f t="shared" si="128"/>
        <v>713.7689896310585</v>
      </c>
      <c r="U113" s="6">
        <f t="shared" si="129"/>
        <v>1.2847841813359053</v>
      </c>
      <c r="V113" s="6">
        <f t="shared" si="130"/>
        <v>0.10706534844465877</v>
      </c>
      <c r="W113" s="6">
        <f>I116*(100-U113)/100</f>
        <v>4.0749362255282362</v>
      </c>
      <c r="X113" s="6">
        <f>K116*(100-V113)/100</f>
        <v>1.6464242021832189</v>
      </c>
      <c r="Y113" s="6">
        <f t="shared" si="131"/>
        <v>2.4750220630410564</v>
      </c>
      <c r="Z113" s="6">
        <f>Y113/AA116-1</f>
        <v>-1.178981113128108E-2</v>
      </c>
      <c r="AA113" s="3">
        <f t="shared" si="132"/>
        <v>3.1685415758431521</v>
      </c>
      <c r="AB113" s="3">
        <f t="shared" si="133"/>
        <v>0.13857352170845144</v>
      </c>
      <c r="AC113" s="3">
        <f t="shared" si="63"/>
        <v>7.1404802869439584E-3</v>
      </c>
      <c r="AD113" s="6">
        <f>AA113/AA116-1</f>
        <v>0.26511400276370312</v>
      </c>
      <c r="AE113" s="6">
        <f>AB113/AB116-1</f>
        <v>-0.94063596944042949</v>
      </c>
      <c r="AF113" s="6">
        <f>AC113/AC116-1</f>
        <v>-0.99818244306089809</v>
      </c>
    </row>
    <row r="114" spans="1:33">
      <c r="A114" s="6">
        <v>2400</v>
      </c>
      <c r="B114" s="6">
        <v>145</v>
      </c>
      <c r="C114" s="33">
        <v>23.67</v>
      </c>
      <c r="D114" s="33">
        <v>3.9</v>
      </c>
      <c r="E114" s="33">
        <v>3.59</v>
      </c>
      <c r="F114" s="33">
        <v>3.98</v>
      </c>
      <c r="G114" s="33">
        <v>0.04</v>
      </c>
      <c r="H114" s="33">
        <v>0.2</v>
      </c>
      <c r="I114" s="3">
        <f t="shared" si="120"/>
        <v>6.2634032954099661</v>
      </c>
      <c r="J114" s="3">
        <f t="shared" si="121"/>
        <v>2.3518399976181259</v>
      </c>
      <c r="K114" s="6">
        <f t="shared" si="122"/>
        <v>2.1516356146545461</v>
      </c>
      <c r="L114" s="6">
        <f t="shared" si="123"/>
        <v>2.8444692514274919</v>
      </c>
      <c r="M114" s="6">
        <f t="shared" si="124"/>
        <v>1.6602250530785564E-2</v>
      </c>
      <c r="N114" s="6">
        <f t="shared" si="125"/>
        <v>7.4185792261559982E-2</v>
      </c>
      <c r="O114" s="6">
        <f t="shared" si="126"/>
        <v>68.090383750772077</v>
      </c>
      <c r="P114" s="6">
        <f t="shared" si="127"/>
        <v>68.213499240569604</v>
      </c>
      <c r="Q114" s="6">
        <f>(I114/I116-1)*100</f>
        <v>51.730769230769248</v>
      </c>
      <c r="R114" s="6">
        <f>(J114/J116-1)*100</f>
        <v>-38.871473354231981</v>
      </c>
      <c r="S114" s="6">
        <f>(K114/K116-1)*100</f>
        <v>30.545454545454543</v>
      </c>
      <c r="T114" s="6">
        <f t="shared" si="128"/>
        <v>299.01133349409213</v>
      </c>
      <c r="U114" s="6">
        <f t="shared" si="129"/>
        <v>0.5382204002893658</v>
      </c>
      <c r="V114" s="6">
        <f t="shared" si="130"/>
        <v>4.4851700024113816E-2</v>
      </c>
      <c r="W114" s="6">
        <f>I116*(100-U114)/100</f>
        <v>4.1057541675326616</v>
      </c>
      <c r="X114" s="6">
        <f>K116*(100-V114)/100</f>
        <v>1.6474496005942578</v>
      </c>
      <c r="Y114" s="6">
        <f t="shared" si="131"/>
        <v>2.4921880256923545</v>
      </c>
      <c r="Z114" s="6">
        <f>Y114/AA116-1</f>
        <v>-4.9359008380898128E-3</v>
      </c>
      <c r="AA114" s="3">
        <f t="shared" si="132"/>
        <v>2.9109962917283192</v>
      </c>
      <c r="AB114" s="3">
        <f t="shared" si="133"/>
        <v>1.0930475316545285</v>
      </c>
      <c r="AC114" s="3">
        <f t="shared" si="63"/>
        <v>1.3220032388635579</v>
      </c>
      <c r="AD114" s="6">
        <f>AA114/AA116-1</f>
        <v>0.16228305121062814</v>
      </c>
      <c r="AE114" s="6">
        <f>AB114/AB116-1</f>
        <v>-0.53174526942656808</v>
      </c>
      <c r="AF114" s="6">
        <f>AC114/AC116-1</f>
        <v>-0.6634937617984713</v>
      </c>
    </row>
    <row r="115" spans="1:33">
      <c r="A115" s="6">
        <v>2400</v>
      </c>
      <c r="B115" s="6">
        <v>157</v>
      </c>
      <c r="C115" s="33">
        <v>16.52</v>
      </c>
      <c r="D115" s="33">
        <v>5.0999999999999996</v>
      </c>
      <c r="E115" s="33">
        <v>3.67</v>
      </c>
      <c r="F115" s="33">
        <v>6.29</v>
      </c>
      <c r="G115" s="33">
        <v>0.32</v>
      </c>
      <c r="H115" s="33">
        <v>0.49</v>
      </c>
      <c r="I115" s="3">
        <f t="shared" si="120"/>
        <v>4.3714162416633977</v>
      </c>
      <c r="J115" s="3">
        <f t="shared" si="121"/>
        <v>3.0754830738083183</v>
      </c>
      <c r="K115" s="6">
        <f t="shared" si="122"/>
        <v>2.1995829264017228</v>
      </c>
      <c r="L115" s="6">
        <f t="shared" si="123"/>
        <v>4.4954049224821411</v>
      </c>
      <c r="M115" s="6">
        <f t="shared" si="124"/>
        <v>0.13281800424628451</v>
      </c>
      <c r="N115" s="6">
        <f t="shared" si="125"/>
        <v>0.18175519104082194</v>
      </c>
      <c r="O115" s="6">
        <f t="shared" si="126"/>
        <v>47.611681521689107</v>
      </c>
      <c r="P115" s="6">
        <f t="shared" si="127"/>
        <v>48.310541571081949</v>
      </c>
      <c r="Q115" s="6">
        <f>(I115/I116-1)*100</f>
        <v>5.8974358974358987</v>
      </c>
      <c r="R115" s="6">
        <f>(J115/J116-1)*100</f>
        <v>-20.062695924764895</v>
      </c>
      <c r="S115" s="6">
        <f>(K115/K116-1)*100</f>
        <v>33.454545454545467</v>
      </c>
      <c r="T115" s="6">
        <f t="shared" si="128"/>
        <v>154.3284301904992</v>
      </c>
      <c r="U115" s="6">
        <f t="shared" si="129"/>
        <v>0.27779117434289857</v>
      </c>
      <c r="V115" s="6">
        <f t="shared" si="130"/>
        <v>2.3149264528574878E-2</v>
      </c>
      <c r="W115" s="6">
        <f>I116*(100-U115)/100</f>
        <v>4.1165046124179261</v>
      </c>
      <c r="X115" s="6">
        <f>K116*(100-V115)/100</f>
        <v>1.6478072977143876</v>
      </c>
      <c r="Y115" s="6">
        <f t="shared" si="131"/>
        <v>2.4981711260338373</v>
      </c>
      <c r="Z115" s="6">
        <f>Y115/AA116-1</f>
        <v>-2.5470087119273677E-3</v>
      </c>
      <c r="AA115" s="3">
        <f t="shared" si="132"/>
        <v>1.9873841486915689</v>
      </c>
      <c r="AB115" s="3">
        <f t="shared" si="133"/>
        <v>1.398211923221041</v>
      </c>
      <c r="AC115" s="3">
        <f t="shared" si="63"/>
        <v>2.0437533263799841</v>
      </c>
      <c r="AD115" s="6">
        <f>AA115/AA116-1</f>
        <v>-0.20649060294836863</v>
      </c>
      <c r="AE115" s="6">
        <f>AB115/AB116-1</f>
        <v>-0.401014751479846</v>
      </c>
      <c r="AF115" s="6">
        <f>AC115/AC116-1</f>
        <v>-0.47977756524772797</v>
      </c>
    </row>
    <row r="116" spans="1:33" s="2" customFormat="1">
      <c r="A116" s="2">
        <v>2400</v>
      </c>
      <c r="B116" s="2">
        <v>170</v>
      </c>
      <c r="C116" s="31">
        <v>15.6</v>
      </c>
      <c r="D116" s="31">
        <v>6.38</v>
      </c>
      <c r="E116" s="31">
        <v>2.75</v>
      </c>
      <c r="F116" s="31">
        <v>9.06</v>
      </c>
      <c r="G116" s="31">
        <v>1.1399999999999999</v>
      </c>
      <c r="H116" s="31">
        <v>3.1</v>
      </c>
      <c r="I116" s="2">
        <f t="shared" si="120"/>
        <v>4.1279717536288745</v>
      </c>
      <c r="J116" s="2">
        <f t="shared" si="121"/>
        <v>3.847369021744524</v>
      </c>
      <c r="K116" s="2">
        <f t="shared" si="122"/>
        <v>1.6481888413091927</v>
      </c>
      <c r="L116" s="2">
        <f t="shared" si="123"/>
        <v>6.4750983462143408</v>
      </c>
      <c r="M116" s="2">
        <f t="shared" si="124"/>
        <v>0.4731641401273885</v>
      </c>
      <c r="N116" s="2">
        <f t="shared" si="125"/>
        <v>1.1498797800541796</v>
      </c>
      <c r="AA116" s="2">
        <f t="shared" si="132"/>
        <v>2.5045502373077198</v>
      </c>
      <c r="AB116" s="2">
        <f t="shared" si="133"/>
        <v>2.3343010978574967</v>
      </c>
      <c r="AC116" s="2">
        <f t="shared" si="63"/>
        <v>3.928614357727982</v>
      </c>
    </row>
    <row r="117" spans="1:33">
      <c r="A117" s="6">
        <v>2500</v>
      </c>
      <c r="B117" s="6">
        <v>0</v>
      </c>
      <c r="C117" s="33">
        <v>0.57999999999999996</v>
      </c>
      <c r="D117" s="33">
        <v>0.22</v>
      </c>
      <c r="E117" s="33">
        <v>0.33</v>
      </c>
      <c r="F117" s="33">
        <v>0.2</v>
      </c>
      <c r="G117" s="33">
        <v>0.02</v>
      </c>
      <c r="H117" s="33">
        <v>0.08</v>
      </c>
      <c r="I117" s="3">
        <f t="shared" ref="I117:I127" si="134">C117*26.98/101.96</f>
        <v>0.15347587289132994</v>
      </c>
      <c r="J117" s="3">
        <f t="shared" ref="J117:J127" si="135">D117*24.305/40.3044</f>
        <v>0.1326678973015353</v>
      </c>
      <c r="K117" s="6">
        <f t="shared" ref="K117:K127" si="136">E117*47.867/79.866</f>
        <v>0.19778266095710315</v>
      </c>
      <c r="L117" s="6">
        <f t="shared" ref="L117:L127" si="137">F117*40.078/56.0774</f>
        <v>0.14293815333806492</v>
      </c>
      <c r="M117" s="6">
        <f t="shared" ref="M117:M127" si="138">G117*39.0983/94.2</f>
        <v>8.3011252653927819E-3</v>
      </c>
      <c r="N117" s="6">
        <f t="shared" ref="N117:N127" si="139">H117*22.989769/61.9789</f>
        <v>2.9674316904623989E-2</v>
      </c>
      <c r="O117" s="6">
        <f t="shared" ref="O117:O126" si="140">100*(I117/(I117+L117+M117+N117))</f>
        <v>45.897340495188878</v>
      </c>
      <c r="P117" s="6">
        <f t="shared" ref="P117:P126" si="141">100*(I117/(I117+L117+N117))</f>
        <v>47.065734216771133</v>
      </c>
      <c r="Q117" s="3">
        <f>(I117/I127-1)*100</f>
        <v>-95.787944807552648</v>
      </c>
      <c r="R117" s="3">
        <f>(J117/J127-1)*100</f>
        <v>-97.109067017082779</v>
      </c>
      <c r="S117" s="3">
        <f>(K117/K127-1)*100</f>
        <v>-89.622641509433961</v>
      </c>
      <c r="T117" s="6">
        <f t="shared" ref="T117:T126" si="142">R117/-0.13</f>
        <v>746.99282320832901</v>
      </c>
      <c r="U117" s="6">
        <f t="shared" ref="U117:U126" si="143">T117*0.0018</f>
        <v>1.3445870817749921</v>
      </c>
      <c r="V117" s="6">
        <f t="shared" ref="V117:V126" si="144">T117*0.00015</f>
        <v>0.11204892348124934</v>
      </c>
      <c r="W117" s="3">
        <f>I127*(100-U117)/100</f>
        <v>3.5947358050362102</v>
      </c>
      <c r="X117" s="3">
        <f>K127*(100-V117)/100</f>
        <v>1.9037700951958927</v>
      </c>
      <c r="Y117" s="6">
        <f t="shared" ref="Y117:Y126" si="145">W117/X117</f>
        <v>1.8882194935761514</v>
      </c>
      <c r="Z117" s="3">
        <f>Y117/AA127-1</f>
        <v>-1.2339207532143126E-2</v>
      </c>
      <c r="AA117" s="3">
        <f t="shared" ref="AA117:AA127" si="146">I117/K117</f>
        <v>0.7759824453196994</v>
      </c>
      <c r="AB117" s="3">
        <f t="shared" ref="AB117:AB127" si="147">J117/K117</f>
        <v>0.67077617754525753</v>
      </c>
      <c r="AC117" s="3">
        <f t="shared" si="63"/>
        <v>0.72270315631493409</v>
      </c>
      <c r="AD117" s="3">
        <f>AA117/AA127-1</f>
        <v>-0.59411104509143731</v>
      </c>
      <c r="AE117" s="3">
        <f>AB117/AB127-1</f>
        <v>-0.72141918528252302</v>
      </c>
      <c r="AF117" s="3">
        <f>AC117/AC127-1</f>
        <v>-0.81270430250022085</v>
      </c>
      <c r="AG117" s="3"/>
    </row>
    <row r="118" spans="1:33">
      <c r="A118" s="6">
        <v>2500</v>
      </c>
      <c r="B118" s="6">
        <v>7</v>
      </c>
      <c r="C118" s="33">
        <v>3.3</v>
      </c>
      <c r="D118" s="33">
        <v>0.22</v>
      </c>
      <c r="E118" s="33">
        <v>2.76</v>
      </c>
      <c r="F118" s="33">
        <v>0.2</v>
      </c>
      <c r="G118" s="33">
        <v>0.22</v>
      </c>
      <c r="H118" s="33">
        <v>0.08</v>
      </c>
      <c r="I118" s="3">
        <f t="shared" si="134"/>
        <v>0.87322479403687714</v>
      </c>
      <c r="J118" s="3">
        <f t="shared" si="135"/>
        <v>0.1326678973015353</v>
      </c>
      <c r="K118" s="6">
        <f t="shared" si="136"/>
        <v>1.6541822552775896</v>
      </c>
      <c r="L118" s="6">
        <f t="shared" si="137"/>
        <v>0.14293815333806492</v>
      </c>
      <c r="M118" s="6">
        <f t="shared" si="138"/>
        <v>9.1312377919320606E-2</v>
      </c>
      <c r="N118" s="6">
        <f t="shared" si="139"/>
        <v>2.9674316904623989E-2</v>
      </c>
      <c r="O118" s="6">
        <f t="shared" si="140"/>
        <v>76.790666912433565</v>
      </c>
      <c r="P118" s="6">
        <f t="shared" si="141"/>
        <v>83.495284004668306</v>
      </c>
      <c r="Q118" s="3">
        <f>(I118/I127-1)*100</f>
        <v>-76.034858387799559</v>
      </c>
      <c r="R118" s="3">
        <f>(J118/J127-1)*100</f>
        <v>-97.109067017082779</v>
      </c>
      <c r="S118" s="3">
        <f>(K118/K127-1)*100</f>
        <v>-13.20754716981134</v>
      </c>
      <c r="T118" s="6">
        <f t="shared" si="142"/>
        <v>746.99282320832901</v>
      </c>
      <c r="U118" s="6">
        <f t="shared" si="143"/>
        <v>1.3445870817749921</v>
      </c>
      <c r="V118" s="6">
        <f t="shared" si="144"/>
        <v>0.11204892348124934</v>
      </c>
      <c r="W118" s="3">
        <f>I127*(100-U118)/100</f>
        <v>3.5947358050362102</v>
      </c>
      <c r="X118" s="3">
        <f>K127*(100-V118)/100</f>
        <v>1.9037700951958927</v>
      </c>
      <c r="Y118" s="6">
        <f t="shared" si="145"/>
        <v>1.8882194935761514</v>
      </c>
      <c r="Z118" s="3">
        <f>Y118/AA127-1</f>
        <v>-1.2339207532143126E-2</v>
      </c>
      <c r="AA118" s="3">
        <f t="shared" si="146"/>
        <v>0.52788910729207439</v>
      </c>
      <c r="AB118" s="3">
        <f t="shared" si="147"/>
        <v>8.0201499489106903E-2</v>
      </c>
      <c r="AC118" s="3">
        <f t="shared" si="63"/>
        <v>8.6410159994176922E-2</v>
      </c>
      <c r="AD118" s="3">
        <f>AA118/AA127-1</f>
        <v>-0.7238798901202993</v>
      </c>
      <c r="AE118" s="3">
        <f>AB118/AB127-1</f>
        <v>-0.96669142432725819</v>
      </c>
      <c r="AF118" s="3">
        <f>AC118/AC127-1</f>
        <v>-0.97760594921198296</v>
      </c>
      <c r="AG118" s="3"/>
    </row>
    <row r="119" spans="1:33">
      <c r="A119" s="6">
        <v>2500</v>
      </c>
      <c r="B119" s="6">
        <v>15</v>
      </c>
      <c r="C119" s="33">
        <v>11.22</v>
      </c>
      <c r="D119" s="33">
        <v>0.59</v>
      </c>
      <c r="E119" s="33">
        <v>9.06</v>
      </c>
      <c r="F119" s="33">
        <v>0.09</v>
      </c>
      <c r="G119" s="33">
        <v>1.36</v>
      </c>
      <c r="H119" s="33">
        <v>0.12</v>
      </c>
      <c r="I119" s="3">
        <f t="shared" si="134"/>
        <v>2.9689642997253824</v>
      </c>
      <c r="J119" s="3">
        <f t="shared" si="135"/>
        <v>0.35579117912684466</v>
      </c>
      <c r="K119" s="6">
        <f t="shared" si="136"/>
        <v>5.4300330553677414</v>
      </c>
      <c r="L119" s="6">
        <f t="shared" si="137"/>
        <v>6.4322169002129212E-2</v>
      </c>
      <c r="M119" s="6">
        <f t="shared" si="138"/>
        <v>0.56447651804670917</v>
      </c>
      <c r="N119" s="6">
        <f t="shared" si="139"/>
        <v>4.4511475356935983E-2</v>
      </c>
      <c r="O119" s="6">
        <f t="shared" si="140"/>
        <v>81.514019072252751</v>
      </c>
      <c r="P119" s="6">
        <f t="shared" si="141"/>
        <v>96.46391198069891</v>
      </c>
      <c r="Q119" s="3">
        <f>(I119/I127-1)*100</f>
        <v>-18.518518518518512</v>
      </c>
      <c r="R119" s="3">
        <f>(J119/J127-1)*100</f>
        <v>-92.247043363994734</v>
      </c>
      <c r="S119" s="3">
        <f>(K119/K127-1)*100</f>
        <v>184.90566037735849</v>
      </c>
      <c r="T119" s="6">
        <f t="shared" si="142"/>
        <v>709.59264126149799</v>
      </c>
      <c r="U119" s="6">
        <f t="shared" si="143"/>
        <v>1.2772667542706964</v>
      </c>
      <c r="V119" s="6">
        <f t="shared" si="144"/>
        <v>0.10643889618922468</v>
      </c>
      <c r="W119" s="3">
        <f>I127*(100-U119)/100</f>
        <v>3.5971887752740117</v>
      </c>
      <c r="X119" s="3">
        <f>K127*(100-V119)/100</f>
        <v>1.903877017022567</v>
      </c>
      <c r="Y119" s="6">
        <f t="shared" si="145"/>
        <v>1.8894018590022055</v>
      </c>
      <c r="Z119" s="3">
        <f>Y119/AA127-1</f>
        <v>-1.1720754022020996E-2</v>
      </c>
      <c r="AA119" s="3">
        <f t="shared" si="146"/>
        <v>0.54676726079788363</v>
      </c>
      <c r="AB119" s="3">
        <f t="shared" si="147"/>
        <v>6.552283853504999E-2</v>
      </c>
      <c r="AC119" s="3">
        <f t="shared" si="63"/>
        <v>1.1845631204499746E-2</v>
      </c>
      <c r="AD119" s="3">
        <f>AA119/AA127-1</f>
        <v>-0.71400539612460134</v>
      </c>
      <c r="AE119" s="3">
        <f>AB119/AB127-1</f>
        <v>-0.97278763564845838</v>
      </c>
      <c r="AF119" s="3">
        <f>AC119/AC127-1</f>
        <v>-0.99693008707740427</v>
      </c>
      <c r="AG119" s="3"/>
    </row>
    <row r="120" spans="1:33">
      <c r="A120" s="6">
        <v>2500</v>
      </c>
      <c r="B120" s="6">
        <v>25</v>
      </c>
      <c r="C120" s="33">
        <v>25.22</v>
      </c>
      <c r="D120" s="33">
        <v>0.41</v>
      </c>
      <c r="E120" s="33">
        <v>3.82</v>
      </c>
      <c r="F120" s="33">
        <v>0.17</v>
      </c>
      <c r="G120" s="33">
        <v>0.05</v>
      </c>
      <c r="H120" s="33">
        <v>0.05</v>
      </c>
      <c r="I120" s="3">
        <f t="shared" si="134"/>
        <v>6.6735543350333471</v>
      </c>
      <c r="J120" s="3">
        <f t="shared" si="135"/>
        <v>0.2472447176983158</v>
      </c>
      <c r="K120" s="6">
        <f t="shared" si="136"/>
        <v>2.2894841359276787</v>
      </c>
      <c r="L120" s="6">
        <f t="shared" si="137"/>
        <v>0.12149743033735519</v>
      </c>
      <c r="M120" s="6">
        <f t="shared" si="138"/>
        <v>2.0752813163481956E-2</v>
      </c>
      <c r="N120" s="6">
        <f t="shared" si="139"/>
        <v>1.8546448065389996E-2</v>
      </c>
      <c r="O120" s="6">
        <f t="shared" si="140"/>
        <v>97.647228084416497</v>
      </c>
      <c r="P120" s="6">
        <f t="shared" si="141"/>
        <v>97.944641377200895</v>
      </c>
      <c r="Q120" s="3">
        <f>(I120/I127-1)*100</f>
        <v>83.151779230210622</v>
      </c>
      <c r="R120" s="3">
        <f>(J120/J127-1)*100</f>
        <v>-94.612352168199749</v>
      </c>
      <c r="S120" s="3">
        <f>(K120/K127-1)*100</f>
        <v>20.125786163522008</v>
      </c>
      <c r="T120" s="6">
        <f t="shared" si="142"/>
        <v>727.78732437076724</v>
      </c>
      <c r="U120" s="6">
        <f t="shared" si="143"/>
        <v>1.3100171838673811</v>
      </c>
      <c r="V120" s="6">
        <f t="shared" si="144"/>
        <v>0.10916809865561508</v>
      </c>
      <c r="W120" s="3">
        <f>I127*(100-U120)/100</f>
        <v>3.5959954384015673</v>
      </c>
      <c r="X120" s="3">
        <f>K127*(100-V120)/100</f>
        <v>1.9038250009987794</v>
      </c>
      <c r="Y120" s="6">
        <f t="shared" si="145"/>
        <v>1.8888266707890937</v>
      </c>
      <c r="Z120" s="3">
        <f>Y120/AA127-1</f>
        <v>-1.2021614620226218E-2</v>
      </c>
      <c r="AA120" s="3">
        <f t="shared" si="146"/>
        <v>2.9148724947724007</v>
      </c>
      <c r="AB120" s="3">
        <f t="shared" si="147"/>
        <v>0.10799145266762655</v>
      </c>
      <c r="AC120" s="3">
        <f t="shared" si="63"/>
        <v>5.3067600876004983E-2</v>
      </c>
      <c r="AD120" s="3">
        <f>AA120/AA127-1</f>
        <v>0.52466664385358586</v>
      </c>
      <c r="AE120" s="3">
        <f>AB120/AB127-1</f>
        <v>-0.95514994736878311</v>
      </c>
      <c r="AF120" s="3">
        <f>AC120/AC127-1</f>
        <v>-0.98624700441133817</v>
      </c>
      <c r="AG120" s="3"/>
    </row>
    <row r="121" spans="1:33">
      <c r="A121" s="6">
        <v>2500</v>
      </c>
      <c r="B121" s="6">
        <v>31</v>
      </c>
      <c r="C121" s="33">
        <v>26.66</v>
      </c>
      <c r="D121" s="33">
        <v>0.22</v>
      </c>
      <c r="E121" s="33">
        <v>3.16</v>
      </c>
      <c r="F121" s="33">
        <v>0.03</v>
      </c>
      <c r="G121" s="33">
        <v>0.08</v>
      </c>
      <c r="H121" s="33">
        <v>0.02</v>
      </c>
      <c r="I121" s="3">
        <f t="shared" si="134"/>
        <v>7.0545978815221657</v>
      </c>
      <c r="J121" s="3">
        <f t="shared" si="135"/>
        <v>0.1326678973015353</v>
      </c>
      <c r="K121" s="6">
        <f t="shared" si="136"/>
        <v>1.8939188140134724</v>
      </c>
      <c r="L121" s="6">
        <f t="shared" si="137"/>
        <v>2.1440723000709733E-2</v>
      </c>
      <c r="M121" s="6">
        <f t="shared" si="138"/>
        <v>3.3204501061571128E-2</v>
      </c>
      <c r="N121" s="6">
        <f t="shared" si="139"/>
        <v>7.4185792261559974E-3</v>
      </c>
      <c r="O121" s="6">
        <f t="shared" si="140"/>
        <v>99.12790847679463</v>
      </c>
      <c r="P121" s="6">
        <f t="shared" si="141"/>
        <v>99.592581680410575</v>
      </c>
      <c r="Q121" s="6">
        <f>(I121/I127-1)*100</f>
        <v>93.609295570079894</v>
      </c>
      <c r="R121" s="6">
        <f>(J121/J127-1)*100</f>
        <v>-97.109067017082779</v>
      </c>
      <c r="S121" s="6">
        <f>(K121/K127-1)*100</f>
        <v>-0.62893081761007386</v>
      </c>
      <c r="T121" s="6">
        <f t="shared" si="142"/>
        <v>746.99282320832901</v>
      </c>
      <c r="U121" s="6">
        <f t="shared" si="143"/>
        <v>1.3445870817749921</v>
      </c>
      <c r="V121" s="6">
        <f t="shared" si="144"/>
        <v>0.11204892348124934</v>
      </c>
      <c r="W121" s="6">
        <f>I127*(100-U121)/100</f>
        <v>3.5947358050362102</v>
      </c>
      <c r="X121" s="6">
        <f>K127*(100-V121)/100</f>
        <v>1.9037700951958927</v>
      </c>
      <c r="Y121" s="6">
        <f t="shared" si="145"/>
        <v>1.8882194935761514</v>
      </c>
      <c r="Z121" s="6">
        <f>Y121/AA127-1</f>
        <v>-1.2339207532143126E-2</v>
      </c>
      <c r="AA121" s="3">
        <f t="shared" si="146"/>
        <v>3.7248681566093693</v>
      </c>
      <c r="AB121" s="3">
        <f t="shared" si="147"/>
        <v>7.0049410946181973E-2</v>
      </c>
      <c r="AC121" s="3">
        <f t="shared" si="63"/>
        <v>1.1320824758730769E-2</v>
      </c>
      <c r="AD121" s="6">
        <f>AA121/AA127-1</f>
        <v>0.94834670858498127</v>
      </c>
      <c r="AE121" s="6">
        <f>AB121/AB127-1</f>
        <v>-0.97090769972887103</v>
      </c>
      <c r="AF121" s="6">
        <f>AC121/AC127-1</f>
        <v>-0.9970660958777724</v>
      </c>
      <c r="AG121" s="3"/>
    </row>
    <row r="122" spans="1:33">
      <c r="A122" s="6">
        <v>2500</v>
      </c>
      <c r="B122" s="6">
        <v>46</v>
      </c>
      <c r="C122" s="33">
        <v>26.88</v>
      </c>
      <c r="D122" s="33">
        <v>0.24</v>
      </c>
      <c r="E122" s="33">
        <v>3.12</v>
      </c>
      <c r="F122" s="33">
        <v>0.25</v>
      </c>
      <c r="G122" s="33">
        <v>0.16</v>
      </c>
      <c r="H122" s="33">
        <v>0.03</v>
      </c>
      <c r="I122" s="3">
        <f t="shared" si="134"/>
        <v>7.1128128677912912</v>
      </c>
      <c r="J122" s="3">
        <f t="shared" si="135"/>
        <v>0.14472861523803851</v>
      </c>
      <c r="K122" s="6">
        <f t="shared" si="136"/>
        <v>1.869945158139884</v>
      </c>
      <c r="L122" s="6">
        <f t="shared" si="137"/>
        <v>0.17867269167258112</v>
      </c>
      <c r="M122" s="6">
        <f t="shared" si="138"/>
        <v>6.6409002123142255E-2</v>
      </c>
      <c r="N122" s="6">
        <f t="shared" si="139"/>
        <v>1.1127868839233996E-2</v>
      </c>
      <c r="O122" s="6">
        <f t="shared" si="140"/>
        <v>96.523153986109705</v>
      </c>
      <c r="P122" s="6">
        <f t="shared" si="141"/>
        <v>97.400922801470017</v>
      </c>
      <c r="Q122" s="6">
        <f>(I122/I127-1)*100</f>
        <v>95.206971677559935</v>
      </c>
      <c r="R122" s="6">
        <f>(J122/J127-1)*100</f>
        <v>-96.846254927726676</v>
      </c>
      <c r="S122" s="6">
        <f>(K122/K127-1)*100</f>
        <v>-1.8867924528301994</v>
      </c>
      <c r="T122" s="6">
        <f t="shared" si="142"/>
        <v>744.97119175174362</v>
      </c>
      <c r="U122" s="6">
        <f t="shared" si="143"/>
        <v>1.3409481451531384</v>
      </c>
      <c r="V122" s="6">
        <f t="shared" si="144"/>
        <v>0.11174567876276154</v>
      </c>
      <c r="W122" s="6">
        <f>I127*(100-U122)/100</f>
        <v>3.5948683980220371</v>
      </c>
      <c r="X122" s="6">
        <f>K127*(100-V122)/100</f>
        <v>1.9037758747540918</v>
      </c>
      <c r="Y122" s="6">
        <f t="shared" si="145"/>
        <v>1.8882834086162488</v>
      </c>
      <c r="Z122" s="6">
        <f>Y122/AA127-1</f>
        <v>-1.2305775836639499E-2</v>
      </c>
      <c r="AA122" s="3">
        <f t="shared" si="146"/>
        <v>3.8037547982779967</v>
      </c>
      <c r="AB122" s="3">
        <f t="shared" si="147"/>
        <v>7.7397251255222038E-2</v>
      </c>
      <c r="AC122" s="3">
        <f t="shared" si="63"/>
        <v>9.5549696147407145E-2</v>
      </c>
      <c r="AD122" s="6">
        <f>AA122/AA127-1</f>
        <v>0.98960951902128413</v>
      </c>
      <c r="AE122" s="6">
        <f>AB122/AB127-1</f>
        <v>-0.96785605984029111</v>
      </c>
      <c r="AF122" s="6">
        <f>AC122/AC127-1</f>
        <v>-0.9752373476863273</v>
      </c>
    </row>
    <row r="123" spans="1:33">
      <c r="A123" s="6">
        <v>2500</v>
      </c>
      <c r="B123" s="6">
        <v>62</v>
      </c>
      <c r="C123" s="33">
        <v>29.66</v>
      </c>
      <c r="D123" s="33">
        <v>0.24</v>
      </c>
      <c r="E123" s="33">
        <v>2.74</v>
      </c>
      <c r="F123" s="33">
        <v>0.03</v>
      </c>
      <c r="G123" s="33">
        <v>0.02</v>
      </c>
      <c r="H123" s="33">
        <v>0.05</v>
      </c>
      <c r="I123" s="3">
        <f t="shared" si="134"/>
        <v>7.8484386033738724</v>
      </c>
      <c r="J123" s="3">
        <f t="shared" si="135"/>
        <v>0.14472861523803851</v>
      </c>
      <c r="K123" s="6">
        <f t="shared" si="136"/>
        <v>1.6421954273407959</v>
      </c>
      <c r="L123" s="6">
        <f t="shared" si="137"/>
        <v>2.1440723000709733E-2</v>
      </c>
      <c r="M123" s="6">
        <f t="shared" si="138"/>
        <v>8.3011252653927819E-3</v>
      </c>
      <c r="N123" s="6">
        <f t="shared" si="139"/>
        <v>1.8546448065389996E-2</v>
      </c>
      <c r="O123" s="6">
        <f t="shared" si="140"/>
        <v>99.388502389093702</v>
      </c>
      <c r="P123" s="6">
        <f t="shared" si="141"/>
        <v>99.49309060883013</v>
      </c>
      <c r="Q123" s="6">
        <f>(I123/I127-1)*100</f>
        <v>115.39578794480758</v>
      </c>
      <c r="R123" s="6">
        <f>(J123/J127-1)*100</f>
        <v>-96.846254927726676</v>
      </c>
      <c r="S123" s="6">
        <f>(K123/K127-1)*100</f>
        <v>-13.836477987421381</v>
      </c>
      <c r="T123" s="6">
        <f t="shared" si="142"/>
        <v>744.97119175174362</v>
      </c>
      <c r="U123" s="6">
        <f t="shared" si="143"/>
        <v>1.3409481451531384</v>
      </c>
      <c r="V123" s="6">
        <f t="shared" si="144"/>
        <v>0.11174567876276154</v>
      </c>
      <c r="W123" s="6">
        <f>I127*(100-U123)/100</f>
        <v>3.5948683980220371</v>
      </c>
      <c r="X123" s="6">
        <f>K127*(100-V123)/100</f>
        <v>1.9037758747540918</v>
      </c>
      <c r="Y123" s="6">
        <f t="shared" si="145"/>
        <v>1.8882834086162488</v>
      </c>
      <c r="Z123" s="6">
        <f>Y123/AA127-1</f>
        <v>-1.2305775836639499E-2</v>
      </c>
      <c r="AA123" s="3">
        <f t="shared" si="146"/>
        <v>4.7792354507300239</v>
      </c>
      <c r="AB123" s="3">
        <f t="shared" si="147"/>
        <v>8.8131176611785655E-2</v>
      </c>
      <c r="AC123" s="3">
        <f t="shared" si="63"/>
        <v>1.3056133663353732E-2</v>
      </c>
      <c r="AD123" s="6">
        <f>AA123/AA127-1</f>
        <v>1.4998489257828029</v>
      </c>
      <c r="AE123" s="6">
        <f>AB123/AB127-1</f>
        <v>-0.96339814113201028</v>
      </c>
      <c r="AF123" s="6">
        <f>AC123/AC127-1</f>
        <v>-0.99661637334808795</v>
      </c>
    </row>
    <row r="124" spans="1:33">
      <c r="A124" s="6">
        <v>2500</v>
      </c>
      <c r="B124" s="6">
        <v>80</v>
      </c>
      <c r="C124" s="33">
        <v>22.28</v>
      </c>
      <c r="D124" s="33">
        <v>0.23</v>
      </c>
      <c r="E124" s="33">
        <v>2.78</v>
      </c>
      <c r="F124" s="33">
        <v>0.03</v>
      </c>
      <c r="G124" s="33">
        <v>0.1</v>
      </c>
      <c r="H124" s="33">
        <v>0</v>
      </c>
      <c r="I124" s="3">
        <f t="shared" si="134"/>
        <v>5.895590427618675</v>
      </c>
      <c r="J124" s="3">
        <f t="shared" si="135"/>
        <v>0.13869825626978693</v>
      </c>
      <c r="K124" s="6">
        <f t="shared" si="136"/>
        <v>1.6661690832143841</v>
      </c>
      <c r="L124" s="6">
        <f t="shared" si="137"/>
        <v>2.1440723000709733E-2</v>
      </c>
      <c r="M124" s="6">
        <f t="shared" si="138"/>
        <v>4.1505626326963911E-2</v>
      </c>
      <c r="N124" s="6">
        <f t="shared" si="139"/>
        <v>0</v>
      </c>
      <c r="O124" s="6">
        <f t="shared" si="140"/>
        <v>98.943593843857542</v>
      </c>
      <c r="P124" s="6">
        <f t="shared" si="141"/>
        <v>99.637643905280683</v>
      </c>
      <c r="Q124" s="6">
        <f>(I124/I127-1)*100</f>
        <v>61.801016702977527</v>
      </c>
      <c r="R124" s="6">
        <f>(J124/J127-1)*100</f>
        <v>-96.977660972404735</v>
      </c>
      <c r="S124" s="6">
        <f>(K124/K127-1)*100</f>
        <v>-12.578616352201255</v>
      </c>
      <c r="T124" s="6">
        <f t="shared" si="142"/>
        <v>745.98200748003637</v>
      </c>
      <c r="U124" s="6">
        <f t="shared" si="143"/>
        <v>1.3427676134640654</v>
      </c>
      <c r="V124" s="6">
        <f t="shared" si="144"/>
        <v>0.11189730112200545</v>
      </c>
      <c r="W124" s="6">
        <f>I127*(100-U124)/100</f>
        <v>3.5948021015291234</v>
      </c>
      <c r="X124" s="6">
        <f>K127*(100-V124)/100</f>
        <v>1.9037729849749925</v>
      </c>
      <c r="Y124" s="6">
        <f t="shared" si="145"/>
        <v>1.8882514511447088</v>
      </c>
      <c r="Z124" s="6">
        <f>Y124/AA127-1</f>
        <v>-1.2322491659018109E-2</v>
      </c>
      <c r="AA124" s="3">
        <f t="shared" si="146"/>
        <v>3.5384106493230951</v>
      </c>
      <c r="AB124" s="3">
        <f t="shared" si="147"/>
        <v>8.3243806206156082E-2</v>
      </c>
      <c r="AC124" s="3">
        <f t="shared" si="63"/>
        <v>1.2868275625032096E-2</v>
      </c>
      <c r="AD124" s="6">
        <f>AA124/AA127-1</f>
        <v>0.85081738530744055</v>
      </c>
      <c r="AE124" s="6">
        <f>AB124/AB127-1</f>
        <v>-0.9654279204757088</v>
      </c>
      <c r="AF124" s="6">
        <f>AC124/AC127-1</f>
        <v>-0.99666505862365506</v>
      </c>
    </row>
    <row r="125" spans="1:33">
      <c r="A125" s="6">
        <v>2500</v>
      </c>
      <c r="B125" s="6">
        <v>105</v>
      </c>
      <c r="C125" s="33">
        <v>27.14</v>
      </c>
      <c r="D125" s="33">
        <v>0.57999999999999996</v>
      </c>
      <c r="E125" s="33">
        <v>5.64</v>
      </c>
      <c r="F125" s="33">
        <v>0.14000000000000001</v>
      </c>
      <c r="G125" s="33">
        <v>0.11</v>
      </c>
      <c r="H125" s="33">
        <v>0</v>
      </c>
      <c r="I125" s="3">
        <f t="shared" si="134"/>
        <v>7.1816123970184389</v>
      </c>
      <c r="J125" s="3">
        <f t="shared" si="135"/>
        <v>0.34976082015859306</v>
      </c>
      <c r="K125" s="6">
        <f t="shared" si="136"/>
        <v>3.3802854781759444</v>
      </c>
      <c r="L125" s="6">
        <f t="shared" si="137"/>
        <v>0.10005670733664544</v>
      </c>
      <c r="M125" s="6">
        <f t="shared" si="138"/>
        <v>4.5656188959660303E-2</v>
      </c>
      <c r="N125" s="6">
        <f t="shared" si="139"/>
        <v>0</v>
      </c>
      <c r="O125" s="6">
        <f t="shared" si="140"/>
        <v>98.011376723928848</v>
      </c>
      <c r="P125" s="6">
        <f t="shared" si="141"/>
        <v>98.625909720660019</v>
      </c>
      <c r="Q125" s="6">
        <f>(I125/I127-1)*100</f>
        <v>97.095134350036332</v>
      </c>
      <c r="R125" s="6">
        <f>(J125/J127-1)*100</f>
        <v>-92.378449408672807</v>
      </c>
      <c r="S125" s="6">
        <f>(K125/K127-1)*100</f>
        <v>77.358490566037716</v>
      </c>
      <c r="T125" s="6">
        <f t="shared" si="142"/>
        <v>710.60345698979086</v>
      </c>
      <c r="U125" s="6">
        <f t="shared" si="143"/>
        <v>1.2790862225816235</v>
      </c>
      <c r="V125" s="6">
        <f t="shared" si="144"/>
        <v>0.10659051854846861</v>
      </c>
      <c r="W125" s="6">
        <f>I127*(100-U125)/100</f>
        <v>3.597122478781098</v>
      </c>
      <c r="X125" s="6">
        <f>K127*(100-V125)/100</f>
        <v>1.9038741272434672</v>
      </c>
      <c r="Y125" s="6">
        <f t="shared" si="145"/>
        <v>1.8893699049260195</v>
      </c>
      <c r="Z125" s="6">
        <f>Y125/AA127-1</f>
        <v>-1.1737468068410029E-2</v>
      </c>
      <c r="AA125" s="3">
        <f t="shared" si="146"/>
        <v>2.1245579532808425</v>
      </c>
      <c r="AB125" s="3">
        <f t="shared" si="147"/>
        <v>0.10347079334474718</v>
      </c>
      <c r="AC125" s="3">
        <f t="shared" si="63"/>
        <v>2.9600076083111663E-2</v>
      </c>
      <c r="AD125" s="6">
        <f>AA125/AA127-1</f>
        <v>0.11128107665446008</v>
      </c>
      <c r="AE125" s="6">
        <f>AB125/AB127-1</f>
        <v>-0.95702742751698489</v>
      </c>
      <c r="AF125" s="6">
        <f>AC125/AC127-1</f>
        <v>-0.99232884643218988</v>
      </c>
    </row>
    <row r="126" spans="1:33">
      <c r="A126" s="6">
        <v>2500</v>
      </c>
      <c r="B126" s="6">
        <v>138</v>
      </c>
      <c r="C126" s="33">
        <v>16.52</v>
      </c>
      <c r="D126" s="33">
        <v>5.0999999999999996</v>
      </c>
      <c r="E126" s="33">
        <v>5.67</v>
      </c>
      <c r="F126" s="33">
        <v>6.29</v>
      </c>
      <c r="G126" s="33">
        <v>0.32</v>
      </c>
      <c r="H126" s="33">
        <v>0.49</v>
      </c>
      <c r="I126" s="3">
        <f t="shared" si="134"/>
        <v>4.3714162416633977</v>
      </c>
      <c r="J126" s="3">
        <f t="shared" si="135"/>
        <v>3.0754830738083183</v>
      </c>
      <c r="K126" s="6">
        <f t="shared" si="136"/>
        <v>3.3982657200811359</v>
      </c>
      <c r="L126" s="6">
        <f t="shared" si="137"/>
        <v>4.4954049224821411</v>
      </c>
      <c r="M126" s="6">
        <f t="shared" si="138"/>
        <v>0.13281800424628451</v>
      </c>
      <c r="N126" s="6">
        <f t="shared" si="139"/>
        <v>0.18175519104082194</v>
      </c>
      <c r="O126" s="6">
        <f t="shared" si="140"/>
        <v>47.611681521689107</v>
      </c>
      <c r="P126" s="6">
        <f t="shared" si="141"/>
        <v>48.310541571081949</v>
      </c>
      <c r="Q126" s="6">
        <f>(I126/I127-1)*100</f>
        <v>19.970951343500374</v>
      </c>
      <c r="R126" s="6">
        <f>(J126/J127-1)*100</f>
        <v>-32.982917214191865</v>
      </c>
      <c r="S126" s="6">
        <f>(K126/K127-1)*100</f>
        <v>78.301886792452819</v>
      </c>
      <c r="T126" s="6">
        <f t="shared" si="142"/>
        <v>253.71474780147588</v>
      </c>
      <c r="U126" s="6">
        <f t="shared" si="143"/>
        <v>0.45668654604265657</v>
      </c>
      <c r="V126" s="6">
        <f t="shared" si="144"/>
        <v>3.8057212170221379E-2</v>
      </c>
      <c r="W126" s="6">
        <f>I127*(100-U126)/100</f>
        <v>3.6270884935780283</v>
      </c>
      <c r="X126" s="6">
        <f>K127*(100-V126)/100</f>
        <v>1.9051803073963456</v>
      </c>
      <c r="Y126" s="6">
        <f t="shared" si="145"/>
        <v>1.9038032670697054</v>
      </c>
      <c r="Z126" s="6">
        <f>Y126/AA127-1</f>
        <v>-4.1878871318157262E-3</v>
      </c>
      <c r="AA126" s="3">
        <f t="shared" si="146"/>
        <v>1.2863668122924263</v>
      </c>
      <c r="AB126" s="3">
        <f t="shared" si="147"/>
        <v>0.90501547764042689</v>
      </c>
      <c r="AC126" s="3">
        <f t="shared" si="63"/>
        <v>1.3228526821542401</v>
      </c>
      <c r="AD126" s="6">
        <f>AA126/AA127-1</f>
        <v>-0.32714704537507733</v>
      </c>
      <c r="AE126" s="6">
        <f>AB126/AB127-1</f>
        <v>-0.62413699601610251</v>
      </c>
      <c r="AF126" s="6">
        <f>AC126/AC127-1</f>
        <v>-0.65716959497328786</v>
      </c>
    </row>
    <row r="127" spans="1:33" s="2" customFormat="1">
      <c r="A127" s="2">
        <v>2500</v>
      </c>
      <c r="B127" s="2">
        <v>152</v>
      </c>
      <c r="C127" s="31">
        <v>13.77</v>
      </c>
      <c r="D127" s="31">
        <v>7.61</v>
      </c>
      <c r="E127" s="31">
        <v>3.18</v>
      </c>
      <c r="F127" s="31">
        <v>10.29</v>
      </c>
      <c r="G127" s="31">
        <v>0.91</v>
      </c>
      <c r="H127" s="31">
        <v>2.83</v>
      </c>
      <c r="I127" s="2">
        <f t="shared" si="134"/>
        <v>3.6437289132993329</v>
      </c>
      <c r="J127" s="2">
        <f t="shared" si="135"/>
        <v>4.5891031748394715</v>
      </c>
      <c r="K127" s="2">
        <f t="shared" si="136"/>
        <v>1.9059056419502667</v>
      </c>
      <c r="L127" s="2">
        <f t="shared" si="137"/>
        <v>7.3541679892434395</v>
      </c>
      <c r="M127" s="2">
        <f t="shared" si="138"/>
        <v>0.37770119957537157</v>
      </c>
      <c r="N127" s="2">
        <f t="shared" si="139"/>
        <v>1.0497289605010738</v>
      </c>
      <c r="AA127" s="2">
        <f t="shared" si="146"/>
        <v>1.911809710354178</v>
      </c>
      <c r="AB127" s="2">
        <f t="shared" si="147"/>
        <v>2.4078333543016086</v>
      </c>
      <c r="AC127" s="2">
        <f t="shared" si="63"/>
        <v>3.8586212388343104</v>
      </c>
    </row>
  </sheetData>
  <mergeCells count="1">
    <mergeCell ref="A1:P1"/>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0"/>
  <sheetViews>
    <sheetView workbookViewId="0">
      <selection activeCell="D11" sqref="D11"/>
    </sheetView>
  </sheetViews>
  <sheetFormatPr defaultRowHeight="14.5"/>
  <sheetData>
    <row r="1" spans="1:20" s="6" customFormat="1">
      <c r="A1" s="107" t="s">
        <v>195</v>
      </c>
      <c r="B1" s="107"/>
      <c r="C1" s="107"/>
      <c r="D1" s="107"/>
      <c r="E1" s="107"/>
      <c r="F1" s="107"/>
      <c r="G1" s="107"/>
      <c r="H1" s="107"/>
      <c r="I1" s="107"/>
      <c r="J1" s="107"/>
      <c r="K1" s="107"/>
      <c r="L1" s="107"/>
      <c r="M1" s="107"/>
      <c r="N1" s="107"/>
      <c r="O1" s="107"/>
      <c r="P1" s="107"/>
    </row>
    <row r="2" spans="1:20" s="6" customFormat="1">
      <c r="A2" s="101" t="s">
        <v>139</v>
      </c>
      <c r="B2" s="101"/>
      <c r="C2" s="101"/>
      <c r="D2" s="101"/>
      <c r="E2" s="101"/>
      <c r="F2" s="101" t="s">
        <v>140</v>
      </c>
      <c r="G2" s="101"/>
      <c r="H2" s="101"/>
      <c r="I2" s="101"/>
      <c r="J2" s="101"/>
      <c r="K2" s="101" t="s">
        <v>141</v>
      </c>
      <c r="L2" s="101"/>
      <c r="M2" s="101"/>
      <c r="N2" s="101"/>
      <c r="O2" s="101"/>
      <c r="P2" s="101" t="s">
        <v>142</v>
      </c>
      <c r="Q2" s="101"/>
      <c r="R2" s="101"/>
      <c r="S2" s="101"/>
      <c r="T2" s="101"/>
    </row>
    <row r="3" spans="1:20">
      <c r="A3" s="1" t="s">
        <v>96</v>
      </c>
      <c r="B3" s="1" t="s">
        <v>52</v>
      </c>
      <c r="C3" s="1" t="s">
        <v>459</v>
      </c>
      <c r="D3" s="1" t="s">
        <v>461</v>
      </c>
      <c r="E3" s="1" t="s">
        <v>462</v>
      </c>
      <c r="F3" s="1" t="s">
        <v>96</v>
      </c>
      <c r="G3" s="1" t="s">
        <v>52</v>
      </c>
      <c r="H3" s="1" t="s">
        <v>459</v>
      </c>
      <c r="I3" s="1" t="s">
        <v>461</v>
      </c>
      <c r="J3" s="1" t="s">
        <v>462</v>
      </c>
      <c r="K3" s="1" t="s">
        <v>96</v>
      </c>
      <c r="L3" s="1" t="s">
        <v>52</v>
      </c>
      <c r="M3" s="1" t="s">
        <v>459</v>
      </c>
      <c r="N3" s="1" t="s">
        <v>461</v>
      </c>
      <c r="O3" s="1" t="s">
        <v>462</v>
      </c>
      <c r="P3" s="1" t="s">
        <v>96</v>
      </c>
      <c r="Q3" s="1" t="s">
        <v>52</v>
      </c>
      <c r="R3" s="1" t="s">
        <v>459</v>
      </c>
      <c r="S3" s="1" t="s">
        <v>461</v>
      </c>
      <c r="T3" s="1" t="s">
        <v>462</v>
      </c>
    </row>
    <row r="4" spans="1:20" s="6" customFormat="1">
      <c r="A4" s="1" t="s">
        <v>143</v>
      </c>
      <c r="B4" s="1"/>
      <c r="C4" s="1">
        <f>AVERAGE(C6:C220)</f>
        <v>0.1964594222938853</v>
      </c>
      <c r="D4" s="1"/>
      <c r="E4" s="1"/>
      <c r="F4" s="1"/>
      <c r="G4" s="1"/>
      <c r="H4" s="1">
        <f>AVERAGE(H6:H98)</f>
        <v>0.35221048722467213</v>
      </c>
      <c r="I4" s="1"/>
      <c r="J4" s="1"/>
      <c r="K4" s="1"/>
      <c r="L4" s="1"/>
      <c r="M4" s="1">
        <f>AVERAGE(M6:M128)</f>
        <v>7.7799131679045799E-2</v>
      </c>
      <c r="N4" s="1"/>
      <c r="O4" s="1"/>
      <c r="P4" s="1"/>
      <c r="Q4" s="1"/>
      <c r="R4" s="1">
        <f>AVERAGE(R6:R74)</f>
        <v>5.8441232493435802E-3</v>
      </c>
      <c r="S4" s="1"/>
      <c r="T4" s="1"/>
    </row>
    <row r="5" spans="1:20" s="6" customFormat="1">
      <c r="A5" s="1" t="s">
        <v>144</v>
      </c>
      <c r="B5" s="1"/>
      <c r="C5" s="1">
        <f>MEDIAN(C6:C220)</f>
        <v>8.5516497857973439E-2</v>
      </c>
      <c r="D5" s="1"/>
      <c r="E5" s="1"/>
      <c r="F5" s="1"/>
      <c r="G5" s="1"/>
      <c r="H5" s="1">
        <f>MEDIAN(H6:H98)</f>
        <v>0.17529885264612211</v>
      </c>
      <c r="I5" s="1"/>
      <c r="J5" s="1"/>
      <c r="K5" s="1"/>
      <c r="L5" s="1"/>
      <c r="M5" s="1">
        <f>MEDIAN(M6:M128)</f>
        <v>-5.7911361071995016E-3</v>
      </c>
      <c r="N5" s="1"/>
      <c r="O5" s="1"/>
      <c r="P5" s="1"/>
      <c r="Q5" s="1"/>
      <c r="R5" s="1">
        <f>MEDIAN(R6:R74)</f>
        <v>-5.7911361071995016E-3</v>
      </c>
      <c r="S5" s="1"/>
      <c r="T5" s="1"/>
    </row>
    <row r="6" spans="1:20">
      <c r="A6" s="6">
        <v>640</v>
      </c>
      <c r="B6" s="37">
        <v>37.190775447635133</v>
      </c>
      <c r="C6" s="37">
        <v>-8.4943214326006489E-3</v>
      </c>
      <c r="D6" s="37">
        <v>-0.39862510561842446</v>
      </c>
      <c r="E6" s="37">
        <v>-0.33204253399875394</v>
      </c>
      <c r="F6" s="6">
        <v>640</v>
      </c>
      <c r="G6" s="37">
        <v>37.190775447635133</v>
      </c>
      <c r="H6" s="37">
        <v>-8.4943214326006489E-3</v>
      </c>
      <c r="I6" s="37">
        <v>-0.39862510561842446</v>
      </c>
      <c r="J6" s="37">
        <v>-0.33204253399875394</v>
      </c>
      <c r="K6" s="6">
        <v>1650</v>
      </c>
      <c r="L6" s="37">
        <v>86.929553490079826</v>
      </c>
      <c r="M6" s="37">
        <v>-7.2841148017567914E-2</v>
      </c>
      <c r="N6" s="37">
        <v>-0.87280402245373934</v>
      </c>
      <c r="O6" s="37">
        <v>-0.93621178242222902</v>
      </c>
      <c r="P6" s="6">
        <v>1980</v>
      </c>
      <c r="Q6" s="37">
        <v>83.812903848898429</v>
      </c>
      <c r="R6" s="37">
        <v>-0.23669536558575111</v>
      </c>
      <c r="S6" s="37">
        <v>-0.94160914501149739</v>
      </c>
      <c r="T6" s="37">
        <v>-0.93308709857401229</v>
      </c>
    </row>
    <row r="7" spans="1:20">
      <c r="A7" s="6">
        <v>640</v>
      </c>
      <c r="B7" s="37">
        <v>40.445396927714832</v>
      </c>
      <c r="C7" s="37">
        <v>-2.3176519420805675E-2</v>
      </c>
      <c r="D7" s="37">
        <v>-0.52695879907209409</v>
      </c>
      <c r="E7" s="37">
        <v>-0.42244736681900885</v>
      </c>
      <c r="F7" s="6">
        <v>640</v>
      </c>
      <c r="G7" s="37">
        <v>40.445396927714832</v>
      </c>
      <c r="H7" s="37">
        <v>-2.3176519420805675E-2</v>
      </c>
      <c r="I7" s="37">
        <v>-0.52695879907209409</v>
      </c>
      <c r="J7" s="37">
        <v>-0.42244736681900885</v>
      </c>
      <c r="K7" s="6">
        <v>1650</v>
      </c>
      <c r="L7" s="37">
        <v>85.470110539115012</v>
      </c>
      <c r="M7" s="37">
        <v>-8.8424666733366686E-2</v>
      </c>
      <c r="N7" s="37">
        <v>-0.84484252436036666</v>
      </c>
      <c r="O7" s="37">
        <v>-0.92868188493790571</v>
      </c>
      <c r="P7" s="6">
        <v>1980</v>
      </c>
      <c r="Q7" s="37">
        <v>88.819951432963123</v>
      </c>
      <c r="R7" s="37">
        <v>-0.23626682728234893</v>
      </c>
      <c r="S7" s="37">
        <v>-0.90139115715156182</v>
      </c>
      <c r="T7" s="37">
        <v>-0.95614747703155611</v>
      </c>
    </row>
    <row r="8" spans="1:20">
      <c r="A8" s="6">
        <v>640</v>
      </c>
      <c r="B8" s="37">
        <v>42.055202706345177</v>
      </c>
      <c r="C8" s="37">
        <v>-1.700582906496062E-2</v>
      </c>
      <c r="D8" s="37">
        <v>-0.70743074227609926</v>
      </c>
      <c r="E8" s="37">
        <v>-0.45673955441413017</v>
      </c>
      <c r="F8" s="6">
        <v>640</v>
      </c>
      <c r="G8" s="37">
        <v>42.055202706345177</v>
      </c>
      <c r="H8" s="37">
        <v>-1.700582906496062E-2</v>
      </c>
      <c r="I8" s="37">
        <v>-0.70743074227609926</v>
      </c>
      <c r="J8" s="37">
        <v>-0.45673955441413017</v>
      </c>
      <c r="K8" s="6">
        <v>1650</v>
      </c>
      <c r="L8" s="37">
        <v>92.968366885775339</v>
      </c>
      <c r="M8" s="37">
        <v>-0.1117824123450325</v>
      </c>
      <c r="N8" s="37">
        <v>-0.96954154733529474</v>
      </c>
      <c r="O8" s="37">
        <v>-0.96908283841723042</v>
      </c>
      <c r="P8" s="6">
        <v>1980</v>
      </c>
      <c r="Q8" s="37">
        <v>93.164309223963386</v>
      </c>
      <c r="R8" s="37">
        <v>-5.7911361071995016E-3</v>
      </c>
      <c r="S8" s="37">
        <v>-0.90963604367735096</v>
      </c>
      <c r="T8" s="37">
        <v>-0.96658855392880461</v>
      </c>
    </row>
    <row r="9" spans="1:20">
      <c r="A9" s="6">
        <v>640</v>
      </c>
      <c r="B9" s="37">
        <v>44.170998350771953</v>
      </c>
      <c r="C9" s="37">
        <v>-1.2551421912751271E-2</v>
      </c>
      <c r="D9" s="37">
        <v>-0.73636541785157594</v>
      </c>
      <c r="E9" s="37">
        <v>-0.50226995366323168</v>
      </c>
      <c r="F9" s="6">
        <v>640</v>
      </c>
      <c r="G9" s="37">
        <v>44.170998350771953</v>
      </c>
      <c r="H9" s="37">
        <v>-1.2551421912751271E-2</v>
      </c>
      <c r="I9" s="37">
        <v>-0.73636541785157594</v>
      </c>
      <c r="J9" s="37">
        <v>-0.50226995366323168</v>
      </c>
      <c r="K9" s="6">
        <v>1650</v>
      </c>
      <c r="L9" s="37">
        <v>92.736353387323462</v>
      </c>
      <c r="M9" s="37">
        <v>0.67546378694759768</v>
      </c>
      <c r="N9" s="37">
        <v>-0.83455353874950278</v>
      </c>
      <c r="O9" s="37">
        <v>-0.93817857241801983</v>
      </c>
      <c r="P9" s="6">
        <v>1980</v>
      </c>
      <c r="Q9" s="37">
        <v>93.10539114669443</v>
      </c>
      <c r="R9" s="37">
        <v>8.0479819332678337E-2</v>
      </c>
      <c r="S9" s="37">
        <v>-0.87090940617949675</v>
      </c>
      <c r="T9" s="37">
        <v>-0.96333641522310431</v>
      </c>
    </row>
    <row r="10" spans="1:20">
      <c r="A10" s="6">
        <v>640</v>
      </c>
      <c r="B10" s="37">
        <v>49.003316710642338</v>
      </c>
      <c r="C10" s="37">
        <v>-3.3707638438934429E-2</v>
      </c>
      <c r="D10" s="37">
        <v>-0.73607216470124404</v>
      </c>
      <c r="E10" s="37">
        <v>-0.6114561237100139</v>
      </c>
      <c r="F10" s="6">
        <v>640</v>
      </c>
      <c r="G10" s="37">
        <v>49.003316710642338</v>
      </c>
      <c r="H10" s="37">
        <v>-3.3707638438934429E-2</v>
      </c>
      <c r="I10" s="37">
        <v>-0.73607216470124404</v>
      </c>
      <c r="J10" s="37">
        <v>-0.6114561237100139</v>
      </c>
      <c r="K10" s="6">
        <v>1650</v>
      </c>
      <c r="L10" s="37">
        <v>40.378137999712024</v>
      </c>
      <c r="M10" s="37">
        <v>-6.8756625776162261E-2</v>
      </c>
      <c r="N10" s="37">
        <v>0.1960511679644048</v>
      </c>
      <c r="O10" s="37">
        <v>-0.38441999271004168</v>
      </c>
      <c r="P10" s="6">
        <v>1980</v>
      </c>
      <c r="Q10" s="37">
        <v>40.087690279573415</v>
      </c>
      <c r="R10" s="37">
        <v>2.8066138698630283E-2</v>
      </c>
      <c r="S10" s="37">
        <v>0.10041437766722483</v>
      </c>
      <c r="T10" s="37">
        <v>-0.33091309375555955</v>
      </c>
    </row>
    <row r="11" spans="1:20">
      <c r="A11" s="6">
        <v>640</v>
      </c>
      <c r="B11" s="37">
        <v>22.373158263772041</v>
      </c>
      <c r="C11" s="37">
        <v>3.7864343378980037E-2</v>
      </c>
      <c r="D11" s="37">
        <v>-0.42113352460155273</v>
      </c>
      <c r="E11" s="37">
        <v>0.46303803167679791</v>
      </c>
      <c r="F11" s="6">
        <v>640</v>
      </c>
      <c r="G11" s="37">
        <v>22.373158263772041</v>
      </c>
      <c r="H11" s="37">
        <v>3.7864343378980037E-2</v>
      </c>
      <c r="I11" s="37">
        <v>-0.42113352460155273</v>
      </c>
      <c r="J11" s="37">
        <v>0.46303803167679791</v>
      </c>
      <c r="K11" s="6">
        <v>1700</v>
      </c>
      <c r="L11" s="37">
        <v>62.541954976442469</v>
      </c>
      <c r="M11" s="37">
        <v>-0.26945067884692742</v>
      </c>
      <c r="N11" s="37">
        <v>-0.9059567483418226</v>
      </c>
      <c r="O11" s="37">
        <v>-0.82123252332445262</v>
      </c>
      <c r="P11" s="6">
        <v>2400</v>
      </c>
      <c r="Q11" s="37">
        <v>84.66856639523418</v>
      </c>
      <c r="R11" s="37">
        <v>-0.11966844750075678</v>
      </c>
      <c r="S11" s="37">
        <v>-0.93591074331948276</v>
      </c>
      <c r="T11" s="37">
        <v>-0.93774224954278995</v>
      </c>
    </row>
    <row r="12" spans="1:20">
      <c r="A12" s="6">
        <v>990</v>
      </c>
      <c r="B12" s="37">
        <v>61.132164892910815</v>
      </c>
      <c r="C12" s="37">
        <v>2.6990271451543535E-3</v>
      </c>
      <c r="D12" s="37">
        <v>-0.81115014408228225</v>
      </c>
      <c r="E12" s="37">
        <v>-0.71171913088982641</v>
      </c>
      <c r="F12" s="6">
        <v>990</v>
      </c>
      <c r="G12" s="37">
        <v>61.132164892910815</v>
      </c>
      <c r="H12" s="37">
        <v>2.6990271451543535E-3</v>
      </c>
      <c r="I12" s="37">
        <v>-0.81115014408228225</v>
      </c>
      <c r="J12" s="37">
        <v>-0.71171913088982641</v>
      </c>
      <c r="K12" s="6">
        <v>1700</v>
      </c>
      <c r="L12" s="37">
        <v>79.116302506368257</v>
      </c>
      <c r="M12" s="37">
        <v>-0.31228917307161019</v>
      </c>
      <c r="N12" s="37">
        <v>-0.96430295421351908</v>
      </c>
      <c r="O12" s="37">
        <v>-0.92523566044293193</v>
      </c>
      <c r="P12" s="6">
        <v>2400</v>
      </c>
      <c r="Q12" s="37">
        <v>83.030110459016058</v>
      </c>
      <c r="R12" s="37">
        <v>-0.11991106679296371</v>
      </c>
      <c r="S12" s="37">
        <v>-0.87949337341031841</v>
      </c>
      <c r="T12" s="37">
        <v>-0.92941399964556315</v>
      </c>
    </row>
    <row r="13" spans="1:20">
      <c r="A13" s="6">
        <v>990</v>
      </c>
      <c r="B13" s="37">
        <v>64.60353408440082</v>
      </c>
      <c r="C13" s="37">
        <v>1.0587813361320197E-2</v>
      </c>
      <c r="D13" s="37">
        <v>-0.82351299865636429</v>
      </c>
      <c r="E13" s="37">
        <v>-0.75141829407634897</v>
      </c>
      <c r="F13" s="6">
        <v>990</v>
      </c>
      <c r="G13" s="37">
        <v>64.60353408440082</v>
      </c>
      <c r="H13" s="37">
        <v>1.0587813361320197E-2</v>
      </c>
      <c r="I13" s="37">
        <v>-0.82351299865636429</v>
      </c>
      <c r="J13" s="37">
        <v>-0.75141829407634897</v>
      </c>
      <c r="K13" s="6">
        <v>1700</v>
      </c>
      <c r="L13" s="37">
        <v>95.835512883991385</v>
      </c>
      <c r="M13" s="37">
        <v>-0.25592045991196366</v>
      </c>
      <c r="N13" s="37">
        <v>-0.97933898259024887</v>
      </c>
      <c r="O13" s="37">
        <v>-0.98656127531018256</v>
      </c>
      <c r="P13" s="6">
        <v>2400</v>
      </c>
      <c r="Q13" s="37">
        <v>95.516145305918172</v>
      </c>
      <c r="R13" s="37">
        <v>0.72646362071455584</v>
      </c>
      <c r="S13" s="37">
        <v>-0.84401699774688299</v>
      </c>
      <c r="T13" s="37">
        <v>-0.96784471320980314</v>
      </c>
    </row>
    <row r="14" spans="1:20">
      <c r="A14" s="6">
        <v>990</v>
      </c>
      <c r="B14" s="37">
        <v>66.804192625852025</v>
      </c>
      <c r="C14" s="37">
        <v>5.3991728036824504E-2</v>
      </c>
      <c r="D14" s="37">
        <v>-0.81856878912638964</v>
      </c>
      <c r="E14" s="37">
        <v>-0.77115192814514177</v>
      </c>
      <c r="F14" s="6">
        <v>990</v>
      </c>
      <c r="G14" s="37">
        <v>66.804192625852025</v>
      </c>
      <c r="H14" s="37">
        <v>5.3991728036824504E-2</v>
      </c>
      <c r="I14" s="37">
        <v>-0.81856878912638964</v>
      </c>
      <c r="J14" s="37">
        <v>-0.77115192814514177</v>
      </c>
      <c r="K14" s="6">
        <v>1700</v>
      </c>
      <c r="L14" s="37">
        <v>93.867309326447085</v>
      </c>
      <c r="M14" s="37">
        <v>1.1722587149356092</v>
      </c>
      <c r="N14" s="37">
        <v>-0.84288643717541445</v>
      </c>
      <c r="O14" s="37">
        <v>-0.94061252271856333</v>
      </c>
      <c r="P14" s="6">
        <v>2400</v>
      </c>
      <c r="Q14" s="37">
        <v>73.790350557519062</v>
      </c>
      <c r="R14" s="37">
        <v>1.1403539311198991</v>
      </c>
      <c r="S14" s="37">
        <v>-0.21824458778244038</v>
      </c>
      <c r="T14" s="37">
        <v>-0.70116279780539159</v>
      </c>
    </row>
    <row r="15" spans="1:20">
      <c r="A15" s="6">
        <v>990</v>
      </c>
      <c r="B15" s="37">
        <v>58.338689640611705</v>
      </c>
      <c r="C15" s="37">
        <v>0.2226827118045045</v>
      </c>
      <c r="D15" s="37">
        <v>-0.63113693509158986</v>
      </c>
      <c r="E15" s="37">
        <v>-0.61483493917324405</v>
      </c>
      <c r="F15" s="6">
        <v>990</v>
      </c>
      <c r="G15" s="37">
        <v>58.338689640611705</v>
      </c>
      <c r="H15" s="37">
        <v>0.2226827118045045</v>
      </c>
      <c r="I15" s="37">
        <v>-0.63113693509158986</v>
      </c>
      <c r="J15" s="37">
        <v>-0.61483493917324405</v>
      </c>
      <c r="K15" s="6">
        <v>1700</v>
      </c>
      <c r="L15" s="37">
        <v>90.014784169844475</v>
      </c>
      <c r="M15" s="37">
        <v>2.408171398248899</v>
      </c>
      <c r="N15" s="37">
        <v>-0.75284257923585252</v>
      </c>
      <c r="O15" s="37">
        <v>-0.84284251395551624</v>
      </c>
      <c r="P15" s="6">
        <v>2400</v>
      </c>
      <c r="Q15" s="37">
        <v>38.257743455389686</v>
      </c>
      <c r="R15" s="37">
        <v>0.38956521739130423</v>
      </c>
      <c r="S15" s="37">
        <v>-1.7297297297297232E-2</v>
      </c>
      <c r="T15" s="37">
        <v>-0.13858657243816264</v>
      </c>
    </row>
    <row r="16" spans="1:20">
      <c r="A16" s="6">
        <v>1220</v>
      </c>
      <c r="B16" s="37">
        <v>68.76905493632519</v>
      </c>
      <c r="C16" s="37">
        <v>0.16518364752472525</v>
      </c>
      <c r="D16" s="37">
        <v>-0.72439621282366184</v>
      </c>
      <c r="E16" s="37">
        <v>0</v>
      </c>
      <c r="F16" s="6">
        <v>1220</v>
      </c>
      <c r="G16" s="37">
        <v>68.76905493632519</v>
      </c>
      <c r="H16" s="37">
        <v>0.16518364752472525</v>
      </c>
      <c r="I16" s="37">
        <v>-0.72439621282366184</v>
      </c>
      <c r="J16" s="37">
        <v>0</v>
      </c>
      <c r="K16" s="6">
        <v>1980</v>
      </c>
      <c r="L16" s="37">
        <v>83.812903848898429</v>
      </c>
      <c r="M16" s="37">
        <v>-0.23669536558575111</v>
      </c>
      <c r="N16" s="37">
        <v>-0.94160914501149739</v>
      </c>
      <c r="O16" s="37">
        <v>-0.93308709857401229</v>
      </c>
      <c r="P16" s="6">
        <v>2500</v>
      </c>
      <c r="Q16" s="7">
        <v>95.490490485845797</v>
      </c>
      <c r="R16" s="7">
        <v>-0.72945910948991588</v>
      </c>
      <c r="S16" s="7">
        <v>-0.90937210021651715</v>
      </c>
      <c r="T16" s="7">
        <v>-0.97958606557377048</v>
      </c>
    </row>
    <row r="17" spans="1:20">
      <c r="A17" s="6">
        <v>1220</v>
      </c>
      <c r="B17" s="37">
        <v>69.220852508209006</v>
      </c>
      <c r="C17" s="37">
        <v>0.18245616772220141</v>
      </c>
      <c r="D17" s="37">
        <v>-0.7220762805973171</v>
      </c>
      <c r="E17" s="37">
        <v>0</v>
      </c>
      <c r="F17" s="6">
        <v>1220</v>
      </c>
      <c r="G17" s="37">
        <v>69.220852508209006</v>
      </c>
      <c r="H17" s="37">
        <v>0.18245616772220141</v>
      </c>
      <c r="I17" s="37">
        <v>-0.7220762805973171</v>
      </c>
      <c r="J17" s="37">
        <v>0</v>
      </c>
      <c r="K17" s="6">
        <v>1980</v>
      </c>
      <c r="L17" s="37">
        <v>88.819951432963123</v>
      </c>
      <c r="M17" s="37">
        <v>-0.23626682728234893</v>
      </c>
      <c r="N17" s="37">
        <v>-0.90139115715156182</v>
      </c>
      <c r="O17" s="37">
        <v>-0.95614747703155611</v>
      </c>
      <c r="P17" s="6">
        <v>2500</v>
      </c>
      <c r="Q17" s="7">
        <v>96.385984170308362</v>
      </c>
      <c r="R17" s="7">
        <v>-0.72018420501384672</v>
      </c>
      <c r="S17" s="7">
        <v>-0.9175759037112946</v>
      </c>
      <c r="T17" s="7">
        <v>-0.9836182108626198</v>
      </c>
    </row>
    <row r="18" spans="1:20">
      <c r="A18" s="6">
        <v>1220</v>
      </c>
      <c r="B18" s="37">
        <v>75.034305367040616</v>
      </c>
      <c r="C18" s="37">
        <v>0.53329652449374088</v>
      </c>
      <c r="D18" s="37">
        <v>-0.73994071356208391</v>
      </c>
      <c r="E18" s="37">
        <v>0</v>
      </c>
      <c r="F18" s="6">
        <v>1220</v>
      </c>
      <c r="G18" s="37">
        <v>75.034305367040616</v>
      </c>
      <c r="H18" s="37">
        <v>0.53329652449374088</v>
      </c>
      <c r="I18" s="37">
        <v>-0.73994071356208391</v>
      </c>
      <c r="J18" s="37">
        <v>0</v>
      </c>
      <c r="K18" s="6">
        <v>1980</v>
      </c>
      <c r="L18" s="37">
        <v>93.164309223963386</v>
      </c>
      <c r="M18" s="37">
        <v>-5.7911361071995016E-3</v>
      </c>
      <c r="N18" s="37">
        <v>-0.90963604367735096</v>
      </c>
      <c r="O18" s="37">
        <v>-0.96658855392880461</v>
      </c>
      <c r="P18" s="6">
        <v>2500</v>
      </c>
      <c r="Q18" s="7">
        <v>95.486683855262442</v>
      </c>
      <c r="R18" s="7">
        <v>-0.56815895395214755</v>
      </c>
      <c r="S18" s="7">
        <v>-0.89236934379696109</v>
      </c>
      <c r="T18" s="7">
        <v>-0.97147787610619463</v>
      </c>
    </row>
    <row r="19" spans="1:20">
      <c r="A19" s="6">
        <v>1220</v>
      </c>
      <c r="B19" s="37">
        <v>80.05621955214896</v>
      </c>
      <c r="C19" s="37">
        <v>1.0634505438719293</v>
      </c>
      <c r="D19" s="37">
        <v>-0.58552734387594485</v>
      </c>
      <c r="E19" s="37">
        <v>0</v>
      </c>
      <c r="F19" s="6">
        <v>1220</v>
      </c>
      <c r="G19" s="37">
        <v>80.05621955214896</v>
      </c>
      <c r="H19" s="37">
        <v>1.0634505438719293</v>
      </c>
      <c r="I19" s="37">
        <v>-0.58552734387594485</v>
      </c>
      <c r="J19" s="37">
        <v>0</v>
      </c>
      <c r="K19" s="6">
        <v>1980</v>
      </c>
      <c r="L19" s="37">
        <v>93.10539114669443</v>
      </c>
      <c r="M19" s="37">
        <v>8.0479819332678337E-2</v>
      </c>
      <c r="N19" s="37">
        <v>-0.87090940617949675</v>
      </c>
      <c r="O19" s="37">
        <v>-0.96333641522310431</v>
      </c>
      <c r="P19" s="6">
        <v>2500</v>
      </c>
      <c r="Q19" s="7">
        <v>97.570365480463536</v>
      </c>
      <c r="R19" s="7">
        <v>-0.46653162401920023</v>
      </c>
      <c r="S19" s="7">
        <v>-0.87163930097460274</v>
      </c>
      <c r="T19" s="7">
        <v>-0.97763358778625953</v>
      </c>
    </row>
    <row r="20" spans="1:20">
      <c r="A20" s="6">
        <v>1650</v>
      </c>
      <c r="B20" s="37">
        <v>86.929553490079826</v>
      </c>
      <c r="C20" s="37">
        <v>-7.2841148017567914E-2</v>
      </c>
      <c r="D20" s="37">
        <v>-0.87280402245373934</v>
      </c>
      <c r="E20" s="37">
        <v>-0.93621178242222902</v>
      </c>
      <c r="F20" s="6">
        <v>570</v>
      </c>
      <c r="G20" s="7">
        <v>81.819490854461847</v>
      </c>
      <c r="H20" s="7">
        <v>-0.15234661203223809</v>
      </c>
      <c r="I20" s="7">
        <v>-0.70241295873101217</v>
      </c>
      <c r="J20" s="7">
        <v>-0.8379140239605356</v>
      </c>
      <c r="K20" s="6">
        <v>1980</v>
      </c>
      <c r="L20" s="37">
        <v>40.087690279573415</v>
      </c>
      <c r="M20" s="37">
        <v>2.8066138698630283E-2</v>
      </c>
      <c r="N20" s="37">
        <v>0.10041437766722483</v>
      </c>
      <c r="O20" s="37">
        <v>-0.33091309375555955</v>
      </c>
      <c r="P20" s="6">
        <v>2500</v>
      </c>
      <c r="Q20" s="7">
        <v>97.388686041995143</v>
      </c>
      <c r="R20" s="7">
        <v>-0.47221129850209398</v>
      </c>
      <c r="S20" s="7">
        <v>-0.86861135708285087</v>
      </c>
      <c r="T20" s="7">
        <v>-0.98148916967509026</v>
      </c>
    </row>
    <row r="21" spans="1:20">
      <c r="A21" s="6">
        <v>1650</v>
      </c>
      <c r="B21" s="37">
        <v>85.470110539115012</v>
      </c>
      <c r="C21" s="37">
        <v>-8.8424666733366686E-2</v>
      </c>
      <c r="D21" s="37">
        <v>-0.84484252436036666</v>
      </c>
      <c r="E21" s="37">
        <v>-0.92868188493790571</v>
      </c>
      <c r="F21" s="6">
        <v>570</v>
      </c>
      <c r="G21" s="7">
        <v>85.689828078217573</v>
      </c>
      <c r="H21" s="7">
        <v>-0.17482691559704433</v>
      </c>
      <c r="I21" s="7">
        <v>-0.74119460500963397</v>
      </c>
      <c r="J21" s="7">
        <v>-0.88332210998877669</v>
      </c>
      <c r="K21" s="6">
        <v>2400</v>
      </c>
      <c r="L21" s="37">
        <v>84.66856639523418</v>
      </c>
      <c r="M21" s="37">
        <v>-0.11966844750075678</v>
      </c>
      <c r="N21" s="37">
        <v>-0.93591074331948276</v>
      </c>
      <c r="O21" s="37">
        <v>-0.93774224954278995</v>
      </c>
      <c r="P21" s="6">
        <v>2500</v>
      </c>
      <c r="Q21" s="7">
        <v>95.391371211153015</v>
      </c>
      <c r="R21" s="7">
        <v>-0.21732642763168841</v>
      </c>
      <c r="S21" s="7">
        <v>-0.53831744099546897</v>
      </c>
      <c r="T21" s="7">
        <v>-0.93383870967741933</v>
      </c>
    </row>
    <row r="22" spans="1:20">
      <c r="A22" s="6">
        <v>1650</v>
      </c>
      <c r="B22" s="37">
        <v>92.968366885775339</v>
      </c>
      <c r="C22" s="37">
        <v>-0.1117824123450325</v>
      </c>
      <c r="D22" s="37">
        <v>-0.96954154733529474</v>
      </c>
      <c r="E22" s="37">
        <v>-0.96908283841723042</v>
      </c>
      <c r="F22" s="6">
        <v>570</v>
      </c>
      <c r="G22" s="7">
        <v>89.683219641635532</v>
      </c>
      <c r="H22" s="7">
        <v>-0.12051304944843511</v>
      </c>
      <c r="I22" s="7">
        <v>-0.76848109567312828</v>
      </c>
      <c r="J22" s="7">
        <v>-0.91418139175395119</v>
      </c>
      <c r="K22" s="6">
        <v>2400</v>
      </c>
      <c r="L22" s="37">
        <v>83.030110459016058</v>
      </c>
      <c r="M22" s="37">
        <v>-0.11991106679296371</v>
      </c>
      <c r="N22" s="37">
        <v>-0.87949337341031841</v>
      </c>
      <c r="O22" s="37">
        <v>-0.92941399964556315</v>
      </c>
      <c r="P22" s="6">
        <v>2500</v>
      </c>
      <c r="Q22" s="7">
        <v>98.34866821155876</v>
      </c>
      <c r="R22" s="7">
        <v>-0.41626176955036009</v>
      </c>
      <c r="S22" s="7">
        <v>-0.83151841868823007</v>
      </c>
      <c r="T22" s="7">
        <v>-0.98604761904761906</v>
      </c>
    </row>
    <row r="23" spans="1:20">
      <c r="A23" s="6">
        <v>1650</v>
      </c>
      <c r="B23" s="37">
        <v>92.736353387323462</v>
      </c>
      <c r="C23" s="37">
        <v>0.67546378694759768</v>
      </c>
      <c r="D23" s="37">
        <v>-0.83455353874950278</v>
      </c>
      <c r="E23" s="37">
        <v>-0.93817857241801983</v>
      </c>
      <c r="F23" s="6">
        <v>570</v>
      </c>
      <c r="G23" s="7">
        <v>90.741612029859638</v>
      </c>
      <c r="H23" s="7">
        <v>-0.10835816121637876</v>
      </c>
      <c r="I23" s="7">
        <v>-0.7519879111528418</v>
      </c>
      <c r="J23" s="7">
        <v>-0.91351757849219783</v>
      </c>
      <c r="K23" s="6">
        <v>2400</v>
      </c>
      <c r="L23" s="37">
        <v>95.516145305918172</v>
      </c>
      <c r="M23" s="37">
        <v>0.72646362071455584</v>
      </c>
      <c r="N23" s="37">
        <v>-0.84401699774688299</v>
      </c>
      <c r="O23" s="37">
        <v>-0.96784471320980314</v>
      </c>
      <c r="P23" s="6">
        <v>2500</v>
      </c>
      <c r="Q23" s="7">
        <v>97.077879272702845</v>
      </c>
      <c r="R23" s="7">
        <v>-0.48641060941009318</v>
      </c>
      <c r="S23" s="7">
        <v>-0.88974896522066327</v>
      </c>
      <c r="T23" s="7">
        <v>-0.98121794871794876</v>
      </c>
    </row>
    <row r="24" spans="1:20">
      <c r="A24" s="6">
        <v>1650</v>
      </c>
      <c r="B24" s="37">
        <v>40.378137999712024</v>
      </c>
      <c r="C24" s="37">
        <v>-6.8756625776162261E-2</v>
      </c>
      <c r="D24" s="37">
        <v>0.1960511679644048</v>
      </c>
      <c r="E24" s="37">
        <v>-0.38441999271004168</v>
      </c>
      <c r="F24" s="6">
        <v>570</v>
      </c>
      <c r="G24" s="7">
        <v>90.84569438645245</v>
      </c>
      <c r="H24" s="7">
        <v>-0.16362940933544345</v>
      </c>
      <c r="I24" s="7">
        <v>-0.72999876429640409</v>
      </c>
      <c r="J24" s="7">
        <v>-0.9199836848292906</v>
      </c>
      <c r="K24" s="6">
        <v>2400</v>
      </c>
      <c r="L24" s="37">
        <v>73.790350557519062</v>
      </c>
      <c r="M24" s="37">
        <v>1.1403539311198991</v>
      </c>
      <c r="N24" s="37">
        <v>-0.21824458778244038</v>
      </c>
      <c r="O24" s="37">
        <v>-0.70116279780539159</v>
      </c>
      <c r="P24" s="6">
        <v>2500</v>
      </c>
      <c r="Q24" s="7">
        <v>98.050393125465533</v>
      </c>
      <c r="R24" s="7">
        <v>0.12935491583706815</v>
      </c>
      <c r="S24" s="7">
        <v>-0.81517968126750895</v>
      </c>
      <c r="T24" s="7">
        <v>-0.9675884955752212</v>
      </c>
    </row>
    <row r="25" spans="1:20">
      <c r="A25" s="6">
        <v>1700</v>
      </c>
      <c r="B25" s="37">
        <v>62.541954976442469</v>
      </c>
      <c r="C25" s="37">
        <v>-0.26945067884692742</v>
      </c>
      <c r="D25" s="37">
        <v>-0.9059567483418226</v>
      </c>
      <c r="E25" s="37">
        <v>-0.82123252332445262</v>
      </c>
      <c r="F25" s="6">
        <v>570</v>
      </c>
      <c r="G25" s="7">
        <v>91.628245145159894</v>
      </c>
      <c r="H25" s="7">
        <v>-0.12680821604238679</v>
      </c>
      <c r="I25" s="7">
        <v>-0.67399120502254062</v>
      </c>
      <c r="J25" s="7">
        <v>-0.92774636315306169</v>
      </c>
      <c r="K25" s="6">
        <v>2400</v>
      </c>
      <c r="L25" s="37">
        <v>38.257743455389686</v>
      </c>
      <c r="M25" s="37">
        <v>0.38956521739130423</v>
      </c>
      <c r="N25" s="37">
        <v>-1.7297297297297232E-2</v>
      </c>
      <c r="O25" s="37">
        <v>-0.13858657243816264</v>
      </c>
      <c r="P25" s="6">
        <v>2500</v>
      </c>
      <c r="Q25" s="7">
        <v>89.349890293315681</v>
      </c>
      <c r="R25" s="7">
        <v>8.1785004228956737E-2</v>
      </c>
      <c r="S25" s="7">
        <v>-9.822025960123093E-2</v>
      </c>
      <c r="T25" s="7">
        <v>-0.77791223404255327</v>
      </c>
    </row>
    <row r="26" spans="1:20">
      <c r="A26" s="6">
        <v>1700</v>
      </c>
      <c r="B26" s="37">
        <v>79.116302506368257</v>
      </c>
      <c r="C26" s="37">
        <v>-0.31228917307161019</v>
      </c>
      <c r="D26" s="37">
        <v>-0.96430295421351908</v>
      </c>
      <c r="E26" s="37">
        <v>-0.92523566044293193</v>
      </c>
      <c r="F26" s="6">
        <v>570</v>
      </c>
      <c r="G26" s="7">
        <v>43.924933362565802</v>
      </c>
      <c r="H26" s="7">
        <v>-8.2252270803303884E-2</v>
      </c>
      <c r="I26" s="7">
        <v>-0.16842343873965759</v>
      </c>
      <c r="J26" s="7">
        <v>-0.15574041064237187</v>
      </c>
      <c r="K26" s="6">
        <v>1260</v>
      </c>
      <c r="L26" s="7">
        <v>48.394334520308277</v>
      </c>
      <c r="M26" s="7">
        <v>8.6092715231788075E-2</v>
      </c>
      <c r="N26" s="7">
        <v>0.14309758150085994</v>
      </c>
      <c r="O26" s="7">
        <v>0.25336015871685236</v>
      </c>
      <c r="P26" s="6">
        <v>2500</v>
      </c>
      <c r="Q26" s="7">
        <v>90.18271861909713</v>
      </c>
      <c r="R26" s="7">
        <v>2.9141160852570458E-2</v>
      </c>
      <c r="S26" s="7">
        <v>-0.12562572198690769</v>
      </c>
      <c r="T26" s="7">
        <v>-0.82434948979591827</v>
      </c>
    </row>
    <row r="27" spans="1:20">
      <c r="A27" s="6">
        <v>1700</v>
      </c>
      <c r="B27" s="37">
        <v>95.835512883991385</v>
      </c>
      <c r="C27" s="37">
        <v>-0.25592045991196366</v>
      </c>
      <c r="D27" s="37">
        <v>-0.97933898259024887</v>
      </c>
      <c r="E27" s="37">
        <v>-0.98656127531018256</v>
      </c>
      <c r="F27" s="6">
        <v>930</v>
      </c>
      <c r="G27" s="7">
        <v>75.59790928826213</v>
      </c>
      <c r="H27" s="7">
        <v>0.10725200838281523</v>
      </c>
      <c r="I27" s="7">
        <v>-0.64347961406784937</v>
      </c>
      <c r="J27" s="7">
        <v>-0.71070326278659612</v>
      </c>
      <c r="K27" s="6">
        <v>1500</v>
      </c>
      <c r="L27" s="7">
        <v>89.551344192519025</v>
      </c>
      <c r="M27" s="7">
        <v>-0.49225498040663929</v>
      </c>
      <c r="N27" s="7">
        <v>-0.78901098901098909</v>
      </c>
      <c r="O27" s="7">
        <v>-0.90677304758022248</v>
      </c>
      <c r="P27" s="6">
        <v>2500</v>
      </c>
      <c r="Q27" s="7">
        <v>91.570585772376589</v>
      </c>
      <c r="R27" s="7">
        <v>1.8215581873801012E-2</v>
      </c>
      <c r="S27" s="7">
        <v>-0.14279232766982675</v>
      </c>
      <c r="T27" s="7">
        <v>-0.84329601990049752</v>
      </c>
    </row>
    <row r="28" spans="1:20">
      <c r="A28" s="6">
        <v>1700</v>
      </c>
      <c r="B28" s="37">
        <v>93.867309326447085</v>
      </c>
      <c r="C28" s="37">
        <v>1.1722587149356092</v>
      </c>
      <c r="D28" s="37">
        <v>-0.84288643717541445</v>
      </c>
      <c r="E28" s="37">
        <v>-0.94061252271856333</v>
      </c>
      <c r="F28" s="6">
        <v>930</v>
      </c>
      <c r="G28" s="7">
        <v>79.53709188272768</v>
      </c>
      <c r="H28" s="7">
        <v>0.11454767726161408</v>
      </c>
      <c r="I28" s="7">
        <v>-0.67058823529411771</v>
      </c>
      <c r="J28" s="7">
        <v>-0.76944444444444449</v>
      </c>
      <c r="K28" s="6">
        <v>1500</v>
      </c>
      <c r="L28" s="7">
        <v>86.455499190787819</v>
      </c>
      <c r="M28" s="7">
        <v>-0.64273202588457701</v>
      </c>
      <c r="N28" s="7">
        <v>-0.83585452204699073</v>
      </c>
      <c r="O28" s="7">
        <v>-0.91196502617408104</v>
      </c>
      <c r="P28" s="6">
        <v>2500</v>
      </c>
      <c r="Q28" s="7">
        <v>99.18859704738685</v>
      </c>
      <c r="R28" s="7">
        <v>8.5555638303378423E-3</v>
      </c>
      <c r="S28" s="7">
        <v>-0.55845673601820667</v>
      </c>
      <c r="T28" s="7">
        <v>-0.98567237163814181</v>
      </c>
    </row>
    <row r="29" spans="1:20">
      <c r="A29" s="6">
        <v>1700</v>
      </c>
      <c r="B29" s="37">
        <v>90.014784169844475</v>
      </c>
      <c r="C29" s="37">
        <v>2.408171398248899</v>
      </c>
      <c r="D29" s="37">
        <v>-0.75284257923585252</v>
      </c>
      <c r="E29" s="37">
        <v>-0.84284251395551624</v>
      </c>
      <c r="F29" s="6">
        <v>930</v>
      </c>
      <c r="G29" s="7">
        <v>86.755582328666804</v>
      </c>
      <c r="H29" s="7">
        <v>0.16814864633883553</v>
      </c>
      <c r="I29" s="7">
        <v>-0.64568806245902621</v>
      </c>
      <c r="J29" s="7">
        <v>-0.85553866936845657</v>
      </c>
      <c r="K29" s="6">
        <v>1500</v>
      </c>
      <c r="L29" s="7">
        <v>88.910933123311963</v>
      </c>
      <c r="M29" s="7">
        <v>-0.53723339042955276</v>
      </c>
      <c r="N29" s="7">
        <v>-0.8280743646597305</v>
      </c>
      <c r="O29" s="7">
        <v>-0.90943891501695284</v>
      </c>
      <c r="P29" s="6">
        <v>2500</v>
      </c>
      <c r="Q29" s="7">
        <v>97.785299831871114</v>
      </c>
      <c r="R29" s="7">
        <v>0.2088822429696191</v>
      </c>
      <c r="S29" s="7">
        <v>-0.36984388120576495</v>
      </c>
      <c r="T29" s="7">
        <v>-0.95608991825613077</v>
      </c>
    </row>
    <row r="30" spans="1:20">
      <c r="A30" s="6">
        <v>1980</v>
      </c>
      <c r="B30" s="37">
        <v>83.812903848898429</v>
      </c>
      <c r="C30" s="37">
        <v>-0.23669536558575111</v>
      </c>
      <c r="D30" s="37">
        <v>-0.94160914501149739</v>
      </c>
      <c r="E30" s="37">
        <v>-0.93308709857401229</v>
      </c>
      <c r="F30" s="6">
        <v>930</v>
      </c>
      <c r="G30" s="7">
        <v>82.835117870564929</v>
      </c>
      <c r="H30" s="7">
        <v>0.15262004311280242</v>
      </c>
      <c r="I30" s="7">
        <v>-0.5945585334725606</v>
      </c>
      <c r="J30" s="7">
        <v>-0.80456936226166997</v>
      </c>
      <c r="K30" s="6">
        <v>1500</v>
      </c>
      <c r="L30" s="7">
        <v>96.559318651672029</v>
      </c>
      <c r="M30" s="7">
        <v>3.4255720328186134E-2</v>
      </c>
      <c r="N30" s="7">
        <v>-0.79156327543424321</v>
      </c>
      <c r="O30" s="7">
        <v>-0.94210906986836396</v>
      </c>
      <c r="P30" s="6">
        <v>2500</v>
      </c>
      <c r="Q30" s="7">
        <v>73.4850509054003</v>
      </c>
      <c r="R30" s="7">
        <v>-4.9801129959935242E-2</v>
      </c>
      <c r="S30" s="7">
        <v>-5.7852777039596126E-2</v>
      </c>
      <c r="T30" s="7">
        <v>-0.52129577464788734</v>
      </c>
    </row>
    <row r="31" spans="1:20">
      <c r="A31" s="6">
        <v>1980</v>
      </c>
      <c r="B31" s="37">
        <v>88.819951432963123</v>
      </c>
      <c r="C31" s="37">
        <v>-0.23626682728234893</v>
      </c>
      <c r="D31" s="37">
        <v>-0.90139115715156182</v>
      </c>
      <c r="E31" s="37">
        <v>-0.95614747703155611</v>
      </c>
      <c r="F31" s="6">
        <v>930</v>
      </c>
      <c r="G31" s="7">
        <v>51.464208824206651</v>
      </c>
      <c r="H31" s="7">
        <v>0.10970983748022456</v>
      </c>
      <c r="I31" s="7">
        <v>-3.2079008073817805E-2</v>
      </c>
      <c r="J31" s="7">
        <v>-0.22998366013071914</v>
      </c>
      <c r="K31" s="6">
        <v>1500</v>
      </c>
      <c r="L31" s="7">
        <v>98.455540723551081</v>
      </c>
      <c r="M31" s="7">
        <v>0.24800333508864303</v>
      </c>
      <c r="N31" s="7">
        <v>-0.70833333333333348</v>
      </c>
      <c r="O31" s="7">
        <v>-0.96991778774289983</v>
      </c>
      <c r="P31" s="6">
        <v>2500</v>
      </c>
      <c r="Q31" s="7">
        <v>72.756780590525509</v>
      </c>
      <c r="R31" s="7">
        <v>0.11975273049098556</v>
      </c>
      <c r="S31" s="7">
        <v>-9.8117291513518667E-3</v>
      </c>
      <c r="T31" s="7">
        <v>-0.48154220779220769</v>
      </c>
    </row>
    <row r="32" spans="1:20">
      <c r="A32" s="6">
        <v>1980</v>
      </c>
      <c r="B32" s="37">
        <v>93.164309223963386</v>
      </c>
      <c r="C32" s="37">
        <v>-5.7911361071995016E-3</v>
      </c>
      <c r="D32" s="37">
        <v>-0.90963604367735096</v>
      </c>
      <c r="E32" s="37">
        <v>-0.96658855392880461</v>
      </c>
      <c r="F32" s="6">
        <v>930</v>
      </c>
      <c r="G32" s="7">
        <v>43.892285238782435</v>
      </c>
      <c r="H32" s="7">
        <v>-0.15349694159002525</v>
      </c>
      <c r="I32" s="7">
        <v>-2.4631916823669053E-2</v>
      </c>
      <c r="J32" s="7">
        <v>-0.23027876631079491</v>
      </c>
      <c r="K32" s="6">
        <v>1500</v>
      </c>
      <c r="L32" s="7">
        <v>93.959311568504162</v>
      </c>
      <c r="M32" s="7">
        <v>8.254460894648763E-2</v>
      </c>
      <c r="N32" s="7">
        <v>-0.33015656909462243</v>
      </c>
      <c r="O32" s="7">
        <v>-0.89047184412079849</v>
      </c>
      <c r="P32" s="6">
        <v>1900</v>
      </c>
      <c r="Q32" s="38">
        <v>79.848277261605503</v>
      </c>
      <c r="R32" s="38">
        <v>-0.2872238232468779</v>
      </c>
      <c r="S32" s="38">
        <v>-0.91811169135105863</v>
      </c>
      <c r="T32" s="38">
        <v>-0.91272128447920953</v>
      </c>
    </row>
    <row r="33" spans="1:20">
      <c r="A33" s="6">
        <v>1980</v>
      </c>
      <c r="B33" s="37">
        <v>93.10539114669443</v>
      </c>
      <c r="C33" s="37">
        <v>8.0479819332678337E-2</v>
      </c>
      <c r="D33" s="37">
        <v>-0.87090940617949675</v>
      </c>
      <c r="E33" s="37">
        <v>-0.96333641522310431</v>
      </c>
      <c r="F33" s="6">
        <v>1000</v>
      </c>
      <c r="G33" s="7">
        <v>73.79781455908369</v>
      </c>
      <c r="H33" s="7">
        <v>0.51197622945849197</v>
      </c>
      <c r="I33" s="7">
        <v>-0.46176259128921171</v>
      </c>
      <c r="J33" s="7">
        <v>-0.20128824476650564</v>
      </c>
      <c r="K33" s="6">
        <v>1500</v>
      </c>
      <c r="L33" s="7">
        <v>98.349332084640395</v>
      </c>
      <c r="M33" s="7">
        <v>-0.11322245074368831</v>
      </c>
      <c r="N33" s="7">
        <v>-0.74310595065312057</v>
      </c>
      <c r="O33" s="7">
        <v>-0.9795667992215924</v>
      </c>
      <c r="P33" s="6">
        <v>1900</v>
      </c>
      <c r="Q33" s="38">
        <v>82.834082533785221</v>
      </c>
      <c r="R33" s="38">
        <v>-0.16407376722206879</v>
      </c>
      <c r="S33" s="38">
        <v>-0.91995706168680946</v>
      </c>
      <c r="T33" s="38">
        <v>-0.91642918736911261</v>
      </c>
    </row>
    <row r="34" spans="1:20">
      <c r="A34" s="6">
        <v>1980</v>
      </c>
      <c r="B34" s="37">
        <v>40.087690279573415</v>
      </c>
      <c r="C34" s="37">
        <v>2.8066138698630283E-2</v>
      </c>
      <c r="D34" s="37">
        <v>0.10041437766722483</v>
      </c>
      <c r="E34" s="37">
        <v>-0.33091309375555955</v>
      </c>
      <c r="F34" s="6">
        <v>1000</v>
      </c>
      <c r="G34" s="7">
        <v>79.446254676923004</v>
      </c>
      <c r="H34" s="7">
        <v>0.67214193053296989</v>
      </c>
      <c r="I34" s="7">
        <v>-0.5632731708985601</v>
      </c>
      <c r="J34" s="7">
        <v>-0.37117903930131002</v>
      </c>
      <c r="K34" s="6">
        <v>1500</v>
      </c>
      <c r="L34" s="7">
        <v>90.381875763563144</v>
      </c>
      <c r="M34" s="7">
        <v>4.4653105133645843E-2</v>
      </c>
      <c r="N34" s="7">
        <v>-0.17096308517220071</v>
      </c>
      <c r="O34" s="7">
        <v>-0.83077459454910496</v>
      </c>
      <c r="P34" s="6">
        <v>1900</v>
      </c>
      <c r="Q34" s="38">
        <v>89.064237391368835</v>
      </c>
      <c r="R34" s="38">
        <v>0.21430279991983614</v>
      </c>
      <c r="S34" s="38">
        <v>-0.92436158888234676</v>
      </c>
      <c r="T34" s="38">
        <v>-0.92755491344481833</v>
      </c>
    </row>
    <row r="35" spans="1:20">
      <c r="A35" s="6">
        <v>2400</v>
      </c>
      <c r="B35" s="37">
        <v>84.66856639523418</v>
      </c>
      <c r="C35" s="37">
        <v>-0.11966844750075678</v>
      </c>
      <c r="D35" s="37">
        <v>-0.93591074331948276</v>
      </c>
      <c r="E35" s="37">
        <v>-0.93774224954278995</v>
      </c>
      <c r="F35" s="6">
        <v>1000</v>
      </c>
      <c r="G35" s="7">
        <v>84.436953718023304</v>
      </c>
      <c r="H35" s="7">
        <v>0.76903765690376535</v>
      </c>
      <c r="I35" s="7">
        <v>-0.59791122715404699</v>
      </c>
      <c r="J35" s="7">
        <v>-0.55238095238095242</v>
      </c>
      <c r="K35" s="6">
        <v>1500</v>
      </c>
      <c r="L35" s="7">
        <v>93.406586002891942</v>
      </c>
      <c r="M35" s="7">
        <v>-6.0643243912598011E-2</v>
      </c>
      <c r="N35" s="7">
        <v>-0.20409281929471979</v>
      </c>
      <c r="O35" s="7">
        <v>-0.90004580168933668</v>
      </c>
      <c r="P35" s="6">
        <v>1900</v>
      </c>
      <c r="Q35" s="38">
        <v>91.914807193511876</v>
      </c>
      <c r="R35" s="38">
        <v>-0.48740035513241908</v>
      </c>
      <c r="S35" s="38">
        <v>-0.94847060074590017</v>
      </c>
      <c r="T35" s="38">
        <v>-0.97796839627676013</v>
      </c>
    </row>
    <row r="36" spans="1:20">
      <c r="A36" s="6">
        <v>2400</v>
      </c>
      <c r="B36" s="37">
        <v>83.030110459016058</v>
      </c>
      <c r="C36" s="37">
        <v>-0.11991106679296371</v>
      </c>
      <c r="D36" s="37">
        <v>-0.87949337341031841</v>
      </c>
      <c r="E36" s="37">
        <v>-0.92941399964556315</v>
      </c>
      <c r="F36" s="6">
        <v>1000</v>
      </c>
      <c r="G36" s="7">
        <v>86.008378424632397</v>
      </c>
      <c r="H36" s="7">
        <v>0.22148295493518022</v>
      </c>
      <c r="I36" s="7">
        <v>-0.65483884775071699</v>
      </c>
      <c r="J36" s="7">
        <v>-0.69398907103825147</v>
      </c>
      <c r="K36" s="6">
        <v>1500</v>
      </c>
      <c r="L36" s="7">
        <v>98.902669925164972</v>
      </c>
      <c r="M36" s="7">
        <v>-2.1233969600145786E-2</v>
      </c>
      <c r="N36" s="7">
        <v>-0.67611336032388669</v>
      </c>
      <c r="O36" s="7">
        <v>-0.9844903739168549</v>
      </c>
      <c r="P36" s="6">
        <v>1900</v>
      </c>
      <c r="Q36" s="38">
        <v>95.685987299591403</v>
      </c>
      <c r="R36" s="38">
        <v>0.46004934771766859</v>
      </c>
      <c r="S36" s="38">
        <v>-0.92825704922185459</v>
      </c>
      <c r="T36" s="38">
        <v>-0.96835154027187464</v>
      </c>
    </row>
    <row r="37" spans="1:20">
      <c r="A37" s="6">
        <v>2400</v>
      </c>
      <c r="B37" s="37">
        <v>95.516145305918172</v>
      </c>
      <c r="C37" s="37">
        <v>0.72646362071455584</v>
      </c>
      <c r="D37" s="37">
        <v>-0.84401699774688299</v>
      </c>
      <c r="E37" s="37">
        <v>-0.96784471320980314</v>
      </c>
      <c r="F37" s="6">
        <v>1000</v>
      </c>
      <c r="G37" s="7">
        <v>89.39977355288903</v>
      </c>
      <c r="H37" s="7">
        <v>7.6359832635982894E-2</v>
      </c>
      <c r="I37" s="7">
        <v>-0.6249608355091385</v>
      </c>
      <c r="J37" s="7">
        <v>-0.79809523809523808</v>
      </c>
      <c r="K37" s="6">
        <v>1500</v>
      </c>
      <c r="L37" s="7">
        <v>97.706129723789019</v>
      </c>
      <c r="M37" s="7">
        <v>-0.11357202070918004</v>
      </c>
      <c r="N37" s="7">
        <v>-0.6801218583396802</v>
      </c>
      <c r="O37" s="7">
        <v>-0.98468232473471562</v>
      </c>
      <c r="P37" s="6">
        <v>1900</v>
      </c>
      <c r="Q37" s="38">
        <v>98.180791517325673</v>
      </c>
      <c r="R37" s="38">
        <v>0.99296656545382822</v>
      </c>
      <c r="S37" s="38">
        <v>-0.92925802145953829</v>
      </c>
      <c r="T37" s="38">
        <v>-0.98296641491242165</v>
      </c>
    </row>
    <row r="38" spans="1:20">
      <c r="A38" s="6">
        <v>2400</v>
      </c>
      <c r="B38" s="37">
        <v>73.790350557519062</v>
      </c>
      <c r="C38" s="37">
        <v>1.1403539311198991</v>
      </c>
      <c r="D38" s="37">
        <v>-0.21824458778244038</v>
      </c>
      <c r="E38" s="37">
        <v>-0.70116279780539159</v>
      </c>
      <c r="F38" s="6">
        <v>1260</v>
      </c>
      <c r="G38" s="7">
        <v>70.51348394112415</v>
      </c>
      <c r="H38" s="7">
        <v>0.27300752226683267</v>
      </c>
      <c r="I38" s="7">
        <v>-0.54501695397529237</v>
      </c>
      <c r="J38" s="7">
        <v>-0.26049872331178359</v>
      </c>
      <c r="K38" s="6">
        <v>1500</v>
      </c>
      <c r="L38" s="7">
        <v>99.641515455370836</v>
      </c>
      <c r="M38" s="7">
        <v>-0.16671932596103234</v>
      </c>
      <c r="N38" s="7">
        <v>-0.81098901098901111</v>
      </c>
      <c r="O38" s="7">
        <v>-0.9955797565663036</v>
      </c>
      <c r="P38" s="6">
        <v>1900</v>
      </c>
      <c r="Q38" s="38">
        <v>99.116394776450392</v>
      </c>
      <c r="R38" s="38">
        <v>0.69701314217443255</v>
      </c>
      <c r="S38" s="38">
        <v>-0.93799330253062607</v>
      </c>
      <c r="T38" s="38">
        <v>-0.99302172481895989</v>
      </c>
    </row>
    <row r="39" spans="1:20">
      <c r="A39" s="6">
        <v>2400</v>
      </c>
      <c r="B39" s="37">
        <v>38.257743455389686</v>
      </c>
      <c r="C39" s="37">
        <v>0.38956521739130423</v>
      </c>
      <c r="D39" s="37">
        <v>-1.7297297297297232E-2</v>
      </c>
      <c r="E39" s="37">
        <v>-0.13858657243816264</v>
      </c>
      <c r="F39" s="6">
        <v>1260</v>
      </c>
      <c r="G39" s="7">
        <v>83.331210487428848</v>
      </c>
      <c r="H39" s="7">
        <v>2.2319093286834901E-2</v>
      </c>
      <c r="I39" s="7">
        <v>-0.62042705689114519</v>
      </c>
      <c r="J39" s="7">
        <v>-0.72133652639981749</v>
      </c>
      <c r="K39" s="6">
        <v>1500</v>
      </c>
      <c r="L39" s="7">
        <v>99.575202128644719</v>
      </c>
      <c r="M39" s="7">
        <v>0.4693171224579793</v>
      </c>
      <c r="N39" s="7">
        <v>-0.67708616471867367</v>
      </c>
      <c r="O39" s="7">
        <v>-0.99125322854109554</v>
      </c>
      <c r="P39" s="6">
        <v>1900</v>
      </c>
      <c r="Q39" s="38">
        <v>98.509267403567392</v>
      </c>
      <c r="R39" s="38">
        <v>0.7135108011458553</v>
      </c>
      <c r="S39" s="38">
        <v>-0.94030411113196921</v>
      </c>
      <c r="T39" s="38">
        <v>-0.98738620812756595</v>
      </c>
    </row>
    <row r="40" spans="1:20">
      <c r="A40" s="6">
        <v>570</v>
      </c>
      <c r="B40" s="7">
        <v>81.819490854461847</v>
      </c>
      <c r="C40" s="7">
        <v>-0.15234661203223809</v>
      </c>
      <c r="D40" s="7">
        <v>-0.70241295873101217</v>
      </c>
      <c r="E40" s="7">
        <v>-0.8379140239605356</v>
      </c>
      <c r="F40" s="6">
        <v>1260</v>
      </c>
      <c r="G40" s="7">
        <v>89.221810876211848</v>
      </c>
      <c r="H40" s="7">
        <v>0.14197016996184519</v>
      </c>
      <c r="I40" s="7">
        <v>-0.53478286698746502</v>
      </c>
      <c r="J40" s="7">
        <v>-0.81212286193911354</v>
      </c>
      <c r="K40" s="6">
        <v>1800</v>
      </c>
      <c r="L40" s="7">
        <v>87.284660284930837</v>
      </c>
      <c r="M40" s="7">
        <v>-0.8028290347731738</v>
      </c>
      <c r="N40" s="7">
        <v>-0.88130652835526602</v>
      </c>
      <c r="O40" s="7">
        <v>-0.95551310460762584</v>
      </c>
      <c r="P40" s="6">
        <v>1900</v>
      </c>
      <c r="Q40" s="38">
        <v>48.861531351115502</v>
      </c>
      <c r="R40" s="38">
        <v>8.7078239470803176E-2</v>
      </c>
      <c r="S40" s="38">
        <v>-0.52367010955042792</v>
      </c>
      <c r="T40" s="38">
        <v>-0.51482650795329232</v>
      </c>
    </row>
    <row r="41" spans="1:20">
      <c r="A41" s="6">
        <v>570</v>
      </c>
      <c r="B41" s="7">
        <v>85.689828078217573</v>
      </c>
      <c r="C41" s="7">
        <v>-0.17482691559704433</v>
      </c>
      <c r="D41" s="7">
        <v>-0.74119460500963397</v>
      </c>
      <c r="E41" s="7">
        <v>-0.88332210998877669</v>
      </c>
      <c r="F41" s="6">
        <v>1260</v>
      </c>
      <c r="G41" s="7">
        <v>87.469133536742163</v>
      </c>
      <c r="H41" s="7">
        <v>8.5516497857973439E-2</v>
      </c>
      <c r="I41" s="7">
        <v>-0.6174871353809821</v>
      </c>
      <c r="J41" s="7">
        <v>-0.78637988043151541</v>
      </c>
      <c r="K41" s="6">
        <v>1800</v>
      </c>
      <c r="L41" s="7">
        <v>95.955383797477538</v>
      </c>
      <c r="M41" s="7">
        <v>-0.81946132176136099</v>
      </c>
      <c r="N41" s="7">
        <v>-0.89664876754868339</v>
      </c>
      <c r="O41" s="7">
        <v>-0.98853650098027912</v>
      </c>
      <c r="P41" s="6">
        <v>1900</v>
      </c>
      <c r="Q41" s="38">
        <v>46.066660925598477</v>
      </c>
      <c r="R41" s="38">
        <v>9.9581208712260949E-2</v>
      </c>
      <c r="S41" s="38">
        <v>-0.52611386879828625</v>
      </c>
      <c r="T41" s="38">
        <v>-0.46063358319198999</v>
      </c>
    </row>
    <row r="42" spans="1:20">
      <c r="A42" s="6">
        <v>570</v>
      </c>
      <c r="B42" s="7">
        <v>89.683219641635532</v>
      </c>
      <c r="C42" s="7">
        <v>-0.12051304944843511</v>
      </c>
      <c r="D42" s="7">
        <v>-0.76848109567312828</v>
      </c>
      <c r="E42" s="7">
        <v>-0.91418139175395119</v>
      </c>
      <c r="F42" s="6">
        <v>1260</v>
      </c>
      <c r="G42" s="7">
        <v>88.010824131667789</v>
      </c>
      <c r="H42" s="7">
        <v>0.17529885264612211</v>
      </c>
      <c r="I42" s="7">
        <v>-0.6051729991666408</v>
      </c>
      <c r="J42" s="7">
        <v>-0.78544657379251825</v>
      </c>
      <c r="K42" s="6">
        <v>1800</v>
      </c>
      <c r="L42" s="7">
        <v>94.655589139898055</v>
      </c>
      <c r="M42" s="7">
        <v>-0.81660576812593355</v>
      </c>
      <c r="N42" s="7">
        <v>-0.91662149954832883</v>
      </c>
      <c r="O42" s="7">
        <v>-0.98445088566827699</v>
      </c>
      <c r="P42" s="6">
        <v>2000</v>
      </c>
      <c r="Q42" s="38">
        <v>91.207943391994647</v>
      </c>
      <c r="R42" s="38">
        <v>-0.77061704042909573</v>
      </c>
      <c r="S42" s="38">
        <v>-0.94013940256045514</v>
      </c>
      <c r="T42" s="38">
        <v>-0.98758851390430336</v>
      </c>
    </row>
    <row r="43" spans="1:20">
      <c r="A43" s="6">
        <v>570</v>
      </c>
      <c r="B43" s="7">
        <v>90.741612029859638</v>
      </c>
      <c r="C43" s="7">
        <v>-0.10835816121637876</v>
      </c>
      <c r="D43" s="7">
        <v>-0.7519879111528418</v>
      </c>
      <c r="E43" s="7">
        <v>-0.91351757849219783</v>
      </c>
      <c r="F43" s="6">
        <v>1260</v>
      </c>
      <c r="G43" s="7">
        <v>87.849685252558075</v>
      </c>
      <c r="H43" s="7">
        <v>0.18805256869772968</v>
      </c>
      <c r="I43" s="7">
        <v>-0.55310006138735424</v>
      </c>
      <c r="J43" s="7">
        <v>-0.7768401312705111</v>
      </c>
      <c r="K43" s="6">
        <v>1800</v>
      </c>
      <c r="L43" s="7">
        <v>98.920765763254266</v>
      </c>
      <c r="M43" s="7">
        <v>-0.45977417375001051</v>
      </c>
      <c r="N43" s="7">
        <v>-0.89440809042236769</v>
      </c>
      <c r="O43" s="7">
        <v>-0.99121597737716505</v>
      </c>
      <c r="P43" s="6">
        <v>2000</v>
      </c>
      <c r="Q43" s="38">
        <v>96.88570181107535</v>
      </c>
      <c r="R43" s="38">
        <v>-0.78530189412918916</v>
      </c>
      <c r="S43" s="38">
        <v>-0.92823638470451908</v>
      </c>
      <c r="T43" s="38">
        <v>-0.99595584022003492</v>
      </c>
    </row>
    <row r="44" spans="1:20">
      <c r="A44" s="6">
        <v>570</v>
      </c>
      <c r="B44" s="7">
        <v>90.84569438645245</v>
      </c>
      <c r="C44" s="7">
        <v>-0.16362940933544345</v>
      </c>
      <c r="D44" s="7">
        <v>-0.72999876429640409</v>
      </c>
      <c r="E44" s="7">
        <v>-0.9199836848292906</v>
      </c>
      <c r="F44" s="6">
        <v>1260</v>
      </c>
      <c r="G44" s="7">
        <v>68.820054460165963</v>
      </c>
      <c r="H44" s="7">
        <v>0.21236559139784927</v>
      </c>
      <c r="I44" s="7">
        <v>0.11049723756906094</v>
      </c>
      <c r="J44" s="7">
        <v>-0.39029535864978915</v>
      </c>
      <c r="K44" s="6">
        <v>1800</v>
      </c>
      <c r="L44" s="7">
        <v>98.871525162788686</v>
      </c>
      <c r="M44" s="7">
        <v>-0.15677139415132335</v>
      </c>
      <c r="N44" s="7">
        <v>-0.56037842594920795</v>
      </c>
      <c r="O44" s="7">
        <v>-0.98567906768265356</v>
      </c>
      <c r="P44" s="6">
        <v>2000</v>
      </c>
      <c r="Q44" s="38">
        <v>97.285761156268094</v>
      </c>
      <c r="R44" s="38">
        <v>-0.55021832699469586</v>
      </c>
      <c r="S44" s="38">
        <v>-0.92759505409582688</v>
      </c>
      <c r="T44" s="38">
        <v>-0.99258284219644344</v>
      </c>
    </row>
    <row r="45" spans="1:20">
      <c r="A45" s="6">
        <v>570</v>
      </c>
      <c r="B45" s="7">
        <v>91.628245145159894</v>
      </c>
      <c r="C45" s="7">
        <v>-0.12680821604238679</v>
      </c>
      <c r="D45" s="7">
        <v>-0.67399120502254062</v>
      </c>
      <c r="E45" s="7">
        <v>-0.92774636315306169</v>
      </c>
      <c r="F45" s="6">
        <v>1260</v>
      </c>
      <c r="G45" s="7">
        <v>48.394334520308277</v>
      </c>
      <c r="H45" s="7">
        <v>8.6092715231788075E-2</v>
      </c>
      <c r="I45" s="7">
        <v>0.14309758150085994</v>
      </c>
      <c r="J45" s="7">
        <v>0.25336015871685236</v>
      </c>
      <c r="K45" s="6">
        <v>1800</v>
      </c>
      <c r="L45" s="7">
        <v>97.044540737392921</v>
      </c>
      <c r="M45" s="7">
        <v>3.5802966832009897E-2</v>
      </c>
      <c r="N45" s="7">
        <v>-0.40075099903541411</v>
      </c>
      <c r="O45" s="7">
        <v>-0.9511667894866126</v>
      </c>
      <c r="P45" s="6">
        <v>2000</v>
      </c>
      <c r="Q45" s="38">
        <v>98.390707343489652</v>
      </c>
      <c r="R45" s="38">
        <v>-2.1634758625385886E-2</v>
      </c>
      <c r="S45" s="38">
        <v>-0.92127004219409281</v>
      </c>
      <c r="T45" s="38">
        <v>-0.99079612370751613</v>
      </c>
    </row>
    <row r="46" spans="1:20">
      <c r="A46" s="6">
        <v>570</v>
      </c>
      <c r="B46" s="7">
        <v>43.924933362565802</v>
      </c>
      <c r="C46" s="7">
        <v>-8.2252270803303884E-2</v>
      </c>
      <c r="D46" s="7">
        <v>-0.16842343873965759</v>
      </c>
      <c r="E46" s="7">
        <v>-0.15574041064237187</v>
      </c>
      <c r="F46" s="6">
        <v>750</v>
      </c>
      <c r="G46" s="38">
        <v>71.715771281967406</v>
      </c>
      <c r="H46" s="38">
        <v>9.9122651542006279E-2</v>
      </c>
      <c r="I46" s="38">
        <v>-0.78150325758779593</v>
      </c>
      <c r="J46" s="38">
        <v>-0.7454247667877234</v>
      </c>
      <c r="K46" s="6">
        <v>1800</v>
      </c>
      <c r="L46" s="7">
        <v>99.547242060135545</v>
      </c>
      <c r="M46" s="7">
        <v>0.17718255048168507</v>
      </c>
      <c r="N46" s="7">
        <v>-0.79492939666238771</v>
      </c>
      <c r="O46" s="7">
        <v>-0.99187643020594962</v>
      </c>
      <c r="P46" s="6">
        <v>2000</v>
      </c>
      <c r="Q46" s="38">
        <v>99.606423090216552</v>
      </c>
      <c r="R46" s="38">
        <v>1.1396854271794408</v>
      </c>
      <c r="S46" s="38">
        <v>-0.93430935251798564</v>
      </c>
      <c r="T46" s="38">
        <v>-0.99529211795398842</v>
      </c>
    </row>
    <row r="47" spans="1:20">
      <c r="A47" s="6">
        <v>930</v>
      </c>
      <c r="B47" s="7">
        <v>75.59790928826213</v>
      </c>
      <c r="C47" s="7">
        <v>0.10725200838281523</v>
      </c>
      <c r="D47" s="7">
        <v>-0.64347961406784937</v>
      </c>
      <c r="E47" s="7">
        <v>-0.71070326278659612</v>
      </c>
      <c r="F47" s="6">
        <v>750</v>
      </c>
      <c r="G47" s="38">
        <v>75.391854539854748</v>
      </c>
      <c r="H47" s="38">
        <v>0.10176282051282048</v>
      </c>
      <c r="I47" s="38">
        <v>-0.80842911877394641</v>
      </c>
      <c r="J47" s="38">
        <v>-0.78921388275692916</v>
      </c>
      <c r="K47" s="6">
        <v>1800</v>
      </c>
      <c r="L47" s="7">
        <v>95.361634605239615</v>
      </c>
      <c r="M47" s="7">
        <v>9.2517560366408347E-2</v>
      </c>
      <c r="N47" s="7">
        <v>-0.32103825136612019</v>
      </c>
      <c r="O47" s="7">
        <v>-0.91903064861012118</v>
      </c>
      <c r="P47" s="6">
        <v>2000</v>
      </c>
      <c r="Q47" s="38">
        <v>98.600796047999225</v>
      </c>
      <c r="R47" s="38">
        <v>0.28472530250349393</v>
      </c>
      <c r="S47" s="38">
        <v>-0.9183475177304965</v>
      </c>
      <c r="T47" s="38">
        <v>-0.98917075831969448</v>
      </c>
    </row>
    <row r="48" spans="1:20">
      <c r="A48" s="6">
        <v>930</v>
      </c>
      <c r="B48" s="7">
        <v>79.53709188272768</v>
      </c>
      <c r="C48" s="7">
        <v>0.11454767726161408</v>
      </c>
      <c r="D48" s="7">
        <v>-0.67058823529411771</v>
      </c>
      <c r="E48" s="7">
        <v>-0.76944444444444449</v>
      </c>
      <c r="F48" s="6">
        <v>750</v>
      </c>
      <c r="G48" s="38">
        <v>79.484441682850573</v>
      </c>
      <c r="H48" s="38">
        <v>7.537102343692581E-2</v>
      </c>
      <c r="I48" s="38">
        <v>-0.84685307775911478</v>
      </c>
      <c r="J48" s="38">
        <v>-0.83388362840534613</v>
      </c>
      <c r="K48" s="6">
        <v>1800</v>
      </c>
      <c r="L48" s="7">
        <v>94.148192217300704</v>
      </c>
      <c r="M48" s="7">
        <v>0.13958974861228346</v>
      </c>
      <c r="N48" s="7">
        <v>-0.28368095658672454</v>
      </c>
      <c r="O48" s="7">
        <v>-0.89509507084897666</v>
      </c>
      <c r="P48" s="6">
        <v>2000</v>
      </c>
      <c r="Q48" s="38">
        <v>50.007506358866181</v>
      </c>
      <c r="R48" s="38">
        <v>0.22851176360538239</v>
      </c>
      <c r="S48" s="38">
        <v>-0.12043107769423544</v>
      </c>
      <c r="T48" s="38">
        <v>-0.36364537717921164</v>
      </c>
    </row>
    <row r="49" spans="1:20">
      <c r="A49" s="6">
        <v>930</v>
      </c>
      <c r="B49" s="7">
        <v>86.755582328666804</v>
      </c>
      <c r="C49" s="7">
        <v>0.16814864633883553</v>
      </c>
      <c r="D49" s="7">
        <v>-0.64568806245902621</v>
      </c>
      <c r="E49" s="7">
        <v>-0.85553866936845657</v>
      </c>
      <c r="F49" s="6">
        <v>750</v>
      </c>
      <c r="G49" s="38">
        <v>82.068331923127076</v>
      </c>
      <c r="H49" s="38">
        <v>-5.8977455716585969E-2</v>
      </c>
      <c r="I49" s="38">
        <v>-0.88547392970181571</v>
      </c>
      <c r="J49" s="38">
        <v>-0.87462808330933872</v>
      </c>
      <c r="K49" s="6">
        <v>1800</v>
      </c>
      <c r="L49" s="7">
        <v>99.714133128547275</v>
      </c>
      <c r="M49" s="7">
        <v>0.22978283350568773</v>
      </c>
      <c r="N49" s="7">
        <v>-0.75609756097560976</v>
      </c>
      <c r="O49" s="7">
        <v>-0.99478260869565216</v>
      </c>
      <c r="P49" s="6">
        <v>2000</v>
      </c>
      <c r="Q49" s="38">
        <v>46.066660925598477</v>
      </c>
      <c r="R49" s="38">
        <v>0.27119936680903911</v>
      </c>
      <c r="S49" s="38">
        <v>-9.9565683646112402E-2</v>
      </c>
      <c r="T49" s="38">
        <v>-0.2385852753144978</v>
      </c>
    </row>
    <row r="50" spans="1:20">
      <c r="A50" s="6">
        <v>930</v>
      </c>
      <c r="B50" s="7">
        <v>82.835117870564929</v>
      </c>
      <c r="C50" s="7">
        <v>0.15262004311280242</v>
      </c>
      <c r="D50" s="7">
        <v>-0.5945585334725606</v>
      </c>
      <c r="E50" s="7">
        <v>-0.80456936226166997</v>
      </c>
      <c r="F50" s="6">
        <v>750</v>
      </c>
      <c r="G50" s="38">
        <v>77.448821774889865</v>
      </c>
      <c r="H50" s="38">
        <v>-8.3162600111752583E-2</v>
      </c>
      <c r="I50" s="38">
        <v>-0.70568589797111136</v>
      </c>
      <c r="J50" s="38">
        <v>-0.84125202443756719</v>
      </c>
      <c r="K50" s="6">
        <v>1800</v>
      </c>
      <c r="L50" s="7">
        <v>99.73721557935869</v>
      </c>
      <c r="M50" s="7">
        <v>-0.20117234110253768</v>
      </c>
      <c r="N50" s="7">
        <v>-0.83140830206378991</v>
      </c>
      <c r="O50" s="7">
        <v>-0.99703177257525089</v>
      </c>
      <c r="P50" s="6">
        <v>2100</v>
      </c>
      <c r="Q50" s="38">
        <v>95.808905593853893</v>
      </c>
      <c r="R50" s="38">
        <v>-0.65223414141546021</v>
      </c>
      <c r="S50" s="38">
        <v>-0.92548220064724918</v>
      </c>
      <c r="T50" s="38">
        <v>-0.99152885949002456</v>
      </c>
    </row>
    <row r="51" spans="1:20">
      <c r="A51" s="6">
        <v>930</v>
      </c>
      <c r="B51" s="7">
        <v>51.464208824206651</v>
      </c>
      <c r="C51" s="7">
        <v>0.10970983748022456</v>
      </c>
      <c r="D51" s="7">
        <v>-3.2079008073817805E-2</v>
      </c>
      <c r="E51" s="7">
        <v>-0.22998366013071914</v>
      </c>
      <c r="F51" s="6">
        <v>900</v>
      </c>
      <c r="G51" s="38">
        <v>78.768535759323171</v>
      </c>
      <c r="H51" s="38">
        <v>0.52505446623093732</v>
      </c>
      <c r="I51" s="38">
        <v>-0.81865965834428378</v>
      </c>
      <c r="J51" s="38">
        <v>-0.81690962099125364</v>
      </c>
      <c r="K51" s="6">
        <v>1800</v>
      </c>
      <c r="L51" s="7">
        <v>99.713074186998909</v>
      </c>
      <c r="M51" s="7">
        <v>0.61677352637021721</v>
      </c>
      <c r="N51" s="7">
        <v>-0.3910162601626016</v>
      </c>
      <c r="O51" s="7">
        <v>-0.99382608695652175</v>
      </c>
      <c r="P51" s="6">
        <v>2100</v>
      </c>
      <c r="Q51" s="38">
        <v>96.543027639188068</v>
      </c>
      <c r="R51" s="38">
        <v>-0.65516601441989897</v>
      </c>
      <c r="S51" s="38">
        <v>-0.9175504978662874</v>
      </c>
      <c r="T51" s="38">
        <v>-0.99317368264736683</v>
      </c>
    </row>
    <row r="52" spans="1:20">
      <c r="A52" s="6">
        <v>930</v>
      </c>
      <c r="B52" s="7">
        <v>43.892285238782435</v>
      </c>
      <c r="C52" s="7">
        <v>-0.15349694159002525</v>
      </c>
      <c r="D52" s="7">
        <v>-2.4631916823669053E-2</v>
      </c>
      <c r="E52" s="7">
        <v>-0.23027876631079491</v>
      </c>
      <c r="F52" s="6">
        <v>900</v>
      </c>
      <c r="G52" s="38">
        <v>81.748050748674189</v>
      </c>
      <c r="H52" s="38">
        <v>0.51566300738202564</v>
      </c>
      <c r="I52" s="38">
        <v>-0.8647665947973413</v>
      </c>
      <c r="J52" s="38">
        <v>-0.84998160151716717</v>
      </c>
      <c r="K52" s="6">
        <v>1800</v>
      </c>
      <c r="L52" s="7">
        <v>99.178217690889397</v>
      </c>
      <c r="M52" s="7">
        <v>0.58052577151254536</v>
      </c>
      <c r="N52" s="7">
        <v>-0.2964939024390244</v>
      </c>
      <c r="O52" s="7">
        <v>-0.98172196796338673</v>
      </c>
      <c r="P52" s="6">
        <v>2100</v>
      </c>
      <c r="Q52" s="38">
        <v>98.420332620916355</v>
      </c>
      <c r="R52" s="38">
        <v>-0.42573018447459654</v>
      </c>
      <c r="S52" s="38">
        <v>-0.93305490196078433</v>
      </c>
      <c r="T52" s="38">
        <v>-0.99486748545572079</v>
      </c>
    </row>
    <row r="53" spans="1:20">
      <c r="A53" s="6">
        <v>1000</v>
      </c>
      <c r="B53" s="7">
        <v>73.79781455908369</v>
      </c>
      <c r="C53" s="7">
        <v>0.51197622945849197</v>
      </c>
      <c r="D53" s="7">
        <v>-0.46176259128921171</v>
      </c>
      <c r="E53" s="7">
        <v>-0.20128824476650564</v>
      </c>
      <c r="F53" s="6">
        <v>900</v>
      </c>
      <c r="G53" s="38">
        <v>81.32497070815397</v>
      </c>
      <c r="H53" s="38">
        <v>0.39309240035883652</v>
      </c>
      <c r="I53" s="38">
        <v>-0.91150962356033083</v>
      </c>
      <c r="J53" s="38">
        <v>-0.85093465957811698</v>
      </c>
      <c r="K53" s="6">
        <v>1800</v>
      </c>
      <c r="L53" s="7">
        <v>70.913126316392038</v>
      </c>
      <c r="M53" s="7">
        <v>-3.9016902512248874E-2</v>
      </c>
      <c r="N53" s="7">
        <v>-4.7807657563755157E-2</v>
      </c>
      <c r="O53" s="7">
        <v>-0.57081630125108385</v>
      </c>
      <c r="P53" s="6">
        <v>2100</v>
      </c>
      <c r="Q53" s="38">
        <v>98.648148336125146</v>
      </c>
      <c r="R53" s="38">
        <v>-0.42017312434259291</v>
      </c>
      <c r="S53" s="38">
        <v>-0.94503076923076923</v>
      </c>
      <c r="T53" s="38">
        <v>-0.99664412510566358</v>
      </c>
    </row>
    <row r="54" spans="1:20">
      <c r="A54" s="6">
        <v>1000</v>
      </c>
      <c r="B54" s="7">
        <v>79.446254676923004</v>
      </c>
      <c r="C54" s="7">
        <v>0.67214193053296989</v>
      </c>
      <c r="D54" s="7">
        <v>-0.5632731708985601</v>
      </c>
      <c r="E54" s="7">
        <v>-0.37117903930131002</v>
      </c>
      <c r="F54" s="6">
        <v>900</v>
      </c>
      <c r="G54" s="38">
        <v>80.650199706332529</v>
      </c>
      <c r="H54" s="38">
        <v>0.21794604366569303</v>
      </c>
      <c r="I54" s="38">
        <v>-0.91664802751139318</v>
      </c>
      <c r="J54" s="38">
        <v>-0.85863159853607096</v>
      </c>
      <c r="K54" s="6">
        <v>2500</v>
      </c>
      <c r="L54" s="7">
        <v>95.490490485845797</v>
      </c>
      <c r="M54" s="7">
        <v>-0.72945910948991588</v>
      </c>
      <c r="N54" s="7">
        <v>-0.90937210021651715</v>
      </c>
      <c r="O54" s="7">
        <v>-0.97958606557377048</v>
      </c>
      <c r="P54" s="6">
        <v>2100</v>
      </c>
      <c r="Q54" s="38">
        <v>99.407421980457784</v>
      </c>
      <c r="R54" s="38">
        <v>2.3309661041416541</v>
      </c>
      <c r="S54" s="38">
        <v>-0.84203141361256539</v>
      </c>
      <c r="T54" s="38">
        <v>-0.98857948334388124</v>
      </c>
    </row>
    <row r="55" spans="1:20">
      <c r="A55" s="6">
        <v>1000</v>
      </c>
      <c r="B55" s="7">
        <v>84.436953718023304</v>
      </c>
      <c r="C55" s="7">
        <v>0.76903765690376535</v>
      </c>
      <c r="D55" s="7">
        <v>-0.59791122715404699</v>
      </c>
      <c r="E55" s="7">
        <v>-0.55238095238095242</v>
      </c>
      <c r="F55" s="6">
        <v>900</v>
      </c>
      <c r="G55" s="38">
        <v>79.697325087774601</v>
      </c>
      <c r="H55" s="38">
        <v>8.7303527673191716E-2</v>
      </c>
      <c r="I55" s="38">
        <v>-0.8989189313182222</v>
      </c>
      <c r="J55" s="38">
        <v>-0.86436241757123222</v>
      </c>
      <c r="K55" s="6">
        <v>2500</v>
      </c>
      <c r="L55" s="7">
        <v>96.385984170308362</v>
      </c>
      <c r="M55" s="7">
        <v>-0.72018420501384672</v>
      </c>
      <c r="N55" s="7">
        <v>-0.9175759037112946</v>
      </c>
      <c r="O55" s="7">
        <v>-0.9836182108626198</v>
      </c>
      <c r="P55" s="6">
        <v>2100</v>
      </c>
      <c r="Q55" s="38">
        <v>98.600796047999225</v>
      </c>
      <c r="R55" s="38">
        <v>0.28472530250349393</v>
      </c>
      <c r="S55" s="38">
        <v>-0.9183475177304965</v>
      </c>
      <c r="T55" s="38">
        <v>-0.98917075831969448</v>
      </c>
    </row>
    <row r="56" spans="1:20">
      <c r="A56" s="6">
        <v>1000</v>
      </c>
      <c r="B56" s="7">
        <v>86.008378424632397</v>
      </c>
      <c r="C56" s="7">
        <v>0.22148295493518022</v>
      </c>
      <c r="D56" s="7">
        <v>-0.65483884775071699</v>
      </c>
      <c r="E56" s="7">
        <v>-0.69398907103825147</v>
      </c>
      <c r="F56" s="6">
        <v>900</v>
      </c>
      <c r="G56" s="38">
        <v>41.812519125681021</v>
      </c>
      <c r="H56" s="38">
        <v>-7.9043500582508863E-2</v>
      </c>
      <c r="I56" s="38">
        <v>4.910854298089351E-3</v>
      </c>
      <c r="J56" s="38">
        <v>-0.41927016814494455</v>
      </c>
      <c r="K56" s="6">
        <v>2500</v>
      </c>
      <c r="L56" s="7">
        <v>95.486683855262442</v>
      </c>
      <c r="M56" s="7">
        <v>-0.56815895395214755</v>
      </c>
      <c r="N56" s="7">
        <v>-0.89236934379696109</v>
      </c>
      <c r="O56" s="7">
        <v>-0.97147787610619463</v>
      </c>
      <c r="P56" s="6">
        <v>2100</v>
      </c>
      <c r="Q56" s="38">
        <v>50.007506358866181</v>
      </c>
      <c r="R56" s="38">
        <v>0.22851176360538239</v>
      </c>
      <c r="S56" s="38">
        <v>-0.12043107769423544</v>
      </c>
      <c r="T56" s="38">
        <v>-0.36364537717921164</v>
      </c>
    </row>
    <row r="57" spans="1:20">
      <c r="A57" s="6">
        <v>1000</v>
      </c>
      <c r="B57" s="7">
        <v>89.39977355288903</v>
      </c>
      <c r="C57" s="7">
        <v>7.6359832635982894E-2</v>
      </c>
      <c r="D57" s="7">
        <v>-0.6249608355091385</v>
      </c>
      <c r="E57" s="7">
        <v>-0.79809523809523808</v>
      </c>
      <c r="F57" s="6">
        <v>1000</v>
      </c>
      <c r="G57" s="38">
        <v>67.513737761041298</v>
      </c>
      <c r="H57" s="38">
        <v>0.32555118110236259</v>
      </c>
      <c r="I57" s="38">
        <v>-0.89639370078740155</v>
      </c>
      <c r="J57" s="38">
        <v>-0.71376899696048635</v>
      </c>
      <c r="K57" s="6">
        <v>2500</v>
      </c>
      <c r="L57" s="7">
        <v>97.570365480463536</v>
      </c>
      <c r="M57" s="7">
        <v>-0.46653162401920023</v>
      </c>
      <c r="N57" s="7">
        <v>-0.87163930097460274</v>
      </c>
      <c r="O57" s="7">
        <v>-0.97763358778625953</v>
      </c>
      <c r="P57" s="6">
        <v>2400</v>
      </c>
      <c r="Q57" s="38">
        <v>94.287767070479489</v>
      </c>
      <c r="R57" s="38">
        <v>-0.79303503010399556</v>
      </c>
      <c r="S57" s="38">
        <v>-0.96461129041390636</v>
      </c>
      <c r="T57" s="38">
        <v>-0.99252384214704381</v>
      </c>
    </row>
    <row r="58" spans="1:20">
      <c r="A58" s="6">
        <v>1260</v>
      </c>
      <c r="B58" s="7">
        <v>70.51348394112415</v>
      </c>
      <c r="C58" s="7">
        <v>0.27300752226683267</v>
      </c>
      <c r="D58" s="7">
        <v>-0.54501695397529237</v>
      </c>
      <c r="E58" s="7">
        <v>-0.26049872331178359</v>
      </c>
      <c r="F58" s="6">
        <v>1000</v>
      </c>
      <c r="G58" s="38">
        <v>70.559052257195177</v>
      </c>
      <c r="H58" s="38">
        <v>0.30747086614173269</v>
      </c>
      <c r="I58" s="38">
        <v>-0.9219905511811024</v>
      </c>
      <c r="J58" s="38">
        <v>-0.7563768996960486</v>
      </c>
      <c r="K58" s="6">
        <v>2500</v>
      </c>
      <c r="L58" s="7">
        <v>97.388686041995143</v>
      </c>
      <c r="M58" s="7">
        <v>-0.47221129850209398</v>
      </c>
      <c r="N58" s="7">
        <v>-0.86861135708285087</v>
      </c>
      <c r="O58" s="7">
        <v>-0.98148916967509026</v>
      </c>
      <c r="P58" s="6">
        <v>2400</v>
      </c>
      <c r="Q58" s="38">
        <v>97.270627240673122</v>
      </c>
      <c r="R58" s="38">
        <v>-0.833081660448866</v>
      </c>
      <c r="S58" s="38">
        <v>-0.97013617902365212</v>
      </c>
      <c r="T58" s="38">
        <v>-0.99719600915630469</v>
      </c>
    </row>
    <row r="59" spans="1:20">
      <c r="A59" s="6">
        <v>1260</v>
      </c>
      <c r="B59" s="7">
        <v>83.331210487428848</v>
      </c>
      <c r="C59" s="7">
        <v>2.2319093286834901E-2</v>
      </c>
      <c r="D59" s="7">
        <v>-0.62042705689114519</v>
      </c>
      <c r="E59" s="7">
        <v>-0.72133652639981749</v>
      </c>
      <c r="F59" s="6">
        <v>1000</v>
      </c>
      <c r="G59" s="38">
        <v>77.227327019019867</v>
      </c>
      <c r="H59" s="38">
        <v>0.44422202506376918</v>
      </c>
      <c r="I59" s="38">
        <v>-0.92989907951646888</v>
      </c>
      <c r="J59" s="38">
        <v>-0.82051885782781797</v>
      </c>
      <c r="K59" s="6">
        <v>2500</v>
      </c>
      <c r="L59" s="7">
        <v>95.391371211153015</v>
      </c>
      <c r="M59" s="7">
        <v>-0.21732642763168841</v>
      </c>
      <c r="N59" s="7">
        <v>-0.53831744099546897</v>
      </c>
      <c r="O59" s="7">
        <v>-0.93383870967741933</v>
      </c>
      <c r="P59" s="6">
        <v>2400</v>
      </c>
      <c r="Q59" s="38">
        <v>98.705191931470154</v>
      </c>
      <c r="R59" s="38">
        <v>-0.79843629859927123</v>
      </c>
      <c r="S59" s="38">
        <v>-0.97358719597176635</v>
      </c>
      <c r="T59" s="38">
        <v>-0.99841704297872214</v>
      </c>
    </row>
    <row r="60" spans="1:20">
      <c r="A60" s="6">
        <v>1260</v>
      </c>
      <c r="B60" s="7">
        <v>89.221810876211848</v>
      </c>
      <c r="C60" s="7">
        <v>0.14197016996184519</v>
      </c>
      <c r="D60" s="7">
        <v>-0.53478286698746502</v>
      </c>
      <c r="E60" s="7">
        <v>-0.81212286193911354</v>
      </c>
      <c r="F60" s="6">
        <v>1000</v>
      </c>
      <c r="G60" s="38">
        <v>79.076160950343663</v>
      </c>
      <c r="H60" s="38">
        <v>0.30065296715959322</v>
      </c>
      <c r="I60" s="38">
        <v>-0.93001248319569807</v>
      </c>
      <c r="J60" s="38">
        <v>-0.86292534657869369</v>
      </c>
      <c r="K60" s="6">
        <v>2500</v>
      </c>
      <c r="L60" s="7">
        <v>98.34866821155876</v>
      </c>
      <c r="M60" s="7">
        <v>-0.41626176955036009</v>
      </c>
      <c r="N60" s="7">
        <v>-0.83151841868823007</v>
      </c>
      <c r="O60" s="7">
        <v>-0.98604761904761906</v>
      </c>
      <c r="P60" s="6">
        <v>2400</v>
      </c>
      <c r="Q60" s="38">
        <v>99.040803194343937</v>
      </c>
      <c r="R60" s="38">
        <v>-0.77238581730769229</v>
      </c>
      <c r="S60" s="38">
        <v>-0.97306034482758619</v>
      </c>
      <c r="T60" s="38">
        <v>-0.99870653973509937</v>
      </c>
    </row>
    <row r="61" spans="1:20">
      <c r="A61" s="6">
        <v>1260</v>
      </c>
      <c r="B61" s="7">
        <v>87.469133536742163</v>
      </c>
      <c r="C61" s="7">
        <v>8.5516497857973439E-2</v>
      </c>
      <c r="D61" s="7">
        <v>-0.6174871353809821</v>
      </c>
      <c r="E61" s="7">
        <v>-0.78637988043151541</v>
      </c>
      <c r="F61" s="6">
        <v>1000</v>
      </c>
      <c r="G61" s="38">
        <v>79.828676379376006</v>
      </c>
      <c r="H61" s="38">
        <v>7.7354804333669147E-2</v>
      </c>
      <c r="I61" s="38">
        <v>-0.92668284885441954</v>
      </c>
      <c r="J61" s="38">
        <v>-0.89648894272154545</v>
      </c>
      <c r="K61" s="6">
        <v>2500</v>
      </c>
      <c r="L61" s="7">
        <v>97.077879272702845</v>
      </c>
      <c r="M61" s="7">
        <v>-0.48641060941009318</v>
      </c>
      <c r="N61" s="7">
        <v>-0.88974896522066327</v>
      </c>
      <c r="O61" s="7">
        <v>-0.98121794871794876</v>
      </c>
      <c r="P61" s="6">
        <v>2400</v>
      </c>
      <c r="Q61" s="38">
        <v>99.573017405436019</v>
      </c>
      <c r="R61" s="38">
        <v>-0.115141683906965</v>
      </c>
      <c r="S61" s="38">
        <v>-0.94098305370542112</v>
      </c>
      <c r="T61" s="38">
        <v>-0.99777360384721259</v>
      </c>
    </row>
    <row r="62" spans="1:20">
      <c r="A62" s="6">
        <v>1260</v>
      </c>
      <c r="B62" s="7">
        <v>88.010824131667789</v>
      </c>
      <c r="C62" s="7">
        <v>0.17529885264612211</v>
      </c>
      <c r="D62" s="7">
        <v>-0.6051729991666408</v>
      </c>
      <c r="E62" s="7">
        <v>-0.78544657379251825</v>
      </c>
      <c r="F62" s="6">
        <v>1000</v>
      </c>
      <c r="G62" s="38">
        <v>84.843969567925924</v>
      </c>
      <c r="H62" s="38">
        <v>0.95007812739360964</v>
      </c>
      <c r="I62" s="38">
        <v>-0.87036367535770087</v>
      </c>
      <c r="J62" s="38">
        <v>-0.85251853866805438</v>
      </c>
      <c r="K62" s="6">
        <v>2500</v>
      </c>
      <c r="L62" s="7">
        <v>98.050393125465533</v>
      </c>
      <c r="M62" s="7">
        <v>0.12935491583706815</v>
      </c>
      <c r="N62" s="7">
        <v>-0.81517968126750895</v>
      </c>
      <c r="O62" s="7">
        <v>-0.9675884955752212</v>
      </c>
      <c r="P62" s="6">
        <v>2400</v>
      </c>
      <c r="Q62" s="38">
        <v>99.746050902575391</v>
      </c>
      <c r="R62" s="38">
        <v>0.26511400276370312</v>
      </c>
      <c r="S62" s="38">
        <v>-0.94063596944042949</v>
      </c>
      <c r="T62" s="38">
        <v>-0.99818244306089809</v>
      </c>
    </row>
    <row r="63" spans="1:20">
      <c r="A63" s="6">
        <v>1260</v>
      </c>
      <c r="B63" s="7">
        <v>87.849685252558075</v>
      </c>
      <c r="C63" s="7">
        <v>0.18805256869772968</v>
      </c>
      <c r="D63" s="7">
        <v>-0.55310006138735424</v>
      </c>
      <c r="E63" s="7">
        <v>-0.7768401312705111</v>
      </c>
      <c r="F63" s="6">
        <v>1000</v>
      </c>
      <c r="G63" s="38">
        <v>85.71397076534663</v>
      </c>
      <c r="H63" s="38">
        <v>0.99005354330708717</v>
      </c>
      <c r="I63" s="38">
        <v>-0.83748031496062991</v>
      </c>
      <c r="J63" s="38">
        <v>-0.85989057750759867</v>
      </c>
      <c r="K63" s="6">
        <v>2500</v>
      </c>
      <c r="L63" s="7">
        <v>89.349890293315681</v>
      </c>
      <c r="M63" s="7">
        <v>8.1785004228956737E-2</v>
      </c>
      <c r="N63" s="7">
        <v>-9.822025960123093E-2</v>
      </c>
      <c r="O63" s="7">
        <v>-0.77791223404255327</v>
      </c>
      <c r="P63" s="6">
        <v>2400</v>
      </c>
      <c r="Q63" s="38">
        <v>68.213499240569604</v>
      </c>
      <c r="R63" s="38">
        <v>0.16228305121062814</v>
      </c>
      <c r="S63" s="38">
        <v>-0.53174526942656808</v>
      </c>
      <c r="T63" s="38">
        <v>-0.6634937617984713</v>
      </c>
    </row>
    <row r="64" spans="1:20">
      <c r="A64" s="6">
        <v>1260</v>
      </c>
      <c r="B64" s="7">
        <v>68.820054460165963</v>
      </c>
      <c r="C64" s="7">
        <v>0.21236559139784927</v>
      </c>
      <c r="D64" s="7">
        <v>0.11049723756906094</v>
      </c>
      <c r="E64" s="7">
        <v>-0.39029535864978915</v>
      </c>
      <c r="F64" s="6">
        <v>1000</v>
      </c>
      <c r="G64" s="38">
        <v>93.134363834138568</v>
      </c>
      <c r="H64" s="38">
        <v>-0.14985446858053209</v>
      </c>
      <c r="I64" s="38">
        <v>-0.95257207635037833</v>
      </c>
      <c r="J64" s="38">
        <v>-0.97304649154967893</v>
      </c>
      <c r="K64" s="6">
        <v>2500</v>
      </c>
      <c r="L64" s="7">
        <v>90.18271861909713</v>
      </c>
      <c r="M64" s="7">
        <v>2.9141160852570458E-2</v>
      </c>
      <c r="N64" s="7">
        <v>-0.12562572198690769</v>
      </c>
      <c r="O64" s="7">
        <v>-0.82434948979591827</v>
      </c>
      <c r="P64" s="6">
        <v>2400</v>
      </c>
      <c r="Q64" s="38">
        <v>48.310541571081949</v>
      </c>
      <c r="R64" s="38">
        <v>-0.20649060294836863</v>
      </c>
      <c r="S64" s="38">
        <v>-0.401014751479846</v>
      </c>
      <c r="T64" s="38">
        <v>-0.47977756524772797</v>
      </c>
    </row>
    <row r="65" spans="1:20">
      <c r="A65" s="6">
        <v>1260</v>
      </c>
      <c r="B65" s="7">
        <v>48.394334520308277</v>
      </c>
      <c r="C65" s="7">
        <v>8.6092715231788075E-2</v>
      </c>
      <c r="D65" s="7">
        <v>0.14309758150085994</v>
      </c>
      <c r="E65" s="7">
        <v>0.25336015871685236</v>
      </c>
      <c r="F65" s="6">
        <v>1000</v>
      </c>
      <c r="G65" s="38">
        <v>96.173409066217459</v>
      </c>
      <c r="H65" s="38">
        <v>0.26292222610554883</v>
      </c>
      <c r="I65" s="38">
        <v>-0.96287082913591415</v>
      </c>
      <c r="J65" s="38">
        <v>-0.97747744172942774</v>
      </c>
      <c r="K65" s="6">
        <v>2500</v>
      </c>
      <c r="L65" s="7">
        <v>91.570585772376589</v>
      </c>
      <c r="M65" s="7">
        <v>1.8215581873801012E-2</v>
      </c>
      <c r="N65" s="7">
        <v>-0.14279232766982675</v>
      </c>
      <c r="O65" s="7">
        <v>-0.84329601990049752</v>
      </c>
      <c r="P65" s="6">
        <v>2500</v>
      </c>
      <c r="Q65" s="38">
        <v>47.065734216771133</v>
      </c>
      <c r="R65" s="38">
        <v>-0.59411104509143731</v>
      </c>
      <c r="S65" s="38">
        <v>-0.72141918528252302</v>
      </c>
      <c r="T65" s="38">
        <v>-0.81270430250022085</v>
      </c>
    </row>
    <row r="66" spans="1:20">
      <c r="A66" s="6">
        <v>1500</v>
      </c>
      <c r="B66" s="7">
        <v>89.551344192519025</v>
      </c>
      <c r="C66" s="7">
        <v>-0.49225498040663929</v>
      </c>
      <c r="D66" s="7">
        <v>-0.78901098901098909</v>
      </c>
      <c r="E66" s="7">
        <v>-0.90677304758022248</v>
      </c>
      <c r="F66" s="6">
        <v>1000</v>
      </c>
      <c r="G66" s="38">
        <v>95.417883309680192</v>
      </c>
      <c r="H66" s="38">
        <v>0.93310653241515595</v>
      </c>
      <c r="I66" s="38">
        <v>-0.95823753738099815</v>
      </c>
      <c r="J66" s="38">
        <v>-0.95719263315082126</v>
      </c>
      <c r="K66" s="6">
        <v>2500</v>
      </c>
      <c r="L66" s="7">
        <v>99.18859704738685</v>
      </c>
      <c r="M66" s="7">
        <v>8.5555638303378423E-3</v>
      </c>
      <c r="N66" s="7">
        <v>-0.55845673601820667</v>
      </c>
      <c r="O66" s="7">
        <v>-0.98567237163814181</v>
      </c>
      <c r="P66" s="6">
        <v>2500</v>
      </c>
      <c r="Q66" s="38">
        <v>83.495284004668306</v>
      </c>
      <c r="R66" s="38">
        <v>-0.7238798901202993</v>
      </c>
      <c r="S66" s="38">
        <v>-0.96669142432725819</v>
      </c>
      <c r="T66" s="38">
        <v>-0.97760594921198296</v>
      </c>
    </row>
    <row r="67" spans="1:20">
      <c r="A67" s="6">
        <v>1500</v>
      </c>
      <c r="B67" s="7">
        <v>86.455499190787819</v>
      </c>
      <c r="C67" s="7">
        <v>-0.64273202588457701</v>
      </c>
      <c r="D67" s="7">
        <v>-0.83585452204699073</v>
      </c>
      <c r="E67" s="7">
        <v>-0.91196502617408104</v>
      </c>
      <c r="F67" s="6">
        <v>1000</v>
      </c>
      <c r="G67" s="38">
        <v>50.180540275821294</v>
      </c>
      <c r="H67" s="38">
        <v>-8.5826771653543243E-2</v>
      </c>
      <c r="I67" s="38">
        <v>-0.76831271091113607</v>
      </c>
      <c r="J67" s="38">
        <v>-0.58860906064553475</v>
      </c>
      <c r="K67" s="6">
        <v>2500</v>
      </c>
      <c r="L67" s="7">
        <v>97.785299831871114</v>
      </c>
      <c r="M67" s="7">
        <v>0.2088822429696191</v>
      </c>
      <c r="N67" s="7">
        <v>-0.36984388120576495</v>
      </c>
      <c r="O67" s="7">
        <v>-0.95608991825613077</v>
      </c>
      <c r="P67" s="6">
        <v>2500</v>
      </c>
      <c r="Q67" s="38">
        <v>96.46391198069891</v>
      </c>
      <c r="R67" s="38">
        <v>-0.71400539612460134</v>
      </c>
      <c r="S67" s="38">
        <v>-0.97278763564845838</v>
      </c>
      <c r="T67" s="38">
        <v>-0.99693008707740427</v>
      </c>
    </row>
    <row r="68" spans="1:20">
      <c r="A68" s="6">
        <v>1500</v>
      </c>
      <c r="B68" s="7">
        <v>88.910933123311963</v>
      </c>
      <c r="C68" s="7">
        <v>-0.53723339042955276</v>
      </c>
      <c r="D68" s="7">
        <v>-0.8280743646597305</v>
      </c>
      <c r="E68" s="7">
        <v>-0.90943891501695284</v>
      </c>
      <c r="F68" s="6">
        <v>1000</v>
      </c>
      <c r="G68" s="38">
        <v>39.383963961222705</v>
      </c>
      <c r="H68" s="38">
        <v>-0.10157901385321499</v>
      </c>
      <c r="I68" s="38">
        <v>-0.75339593246031411</v>
      </c>
      <c r="J68" s="38">
        <v>-0.40870893812070275</v>
      </c>
      <c r="K68" s="6">
        <v>2500</v>
      </c>
      <c r="L68" s="7">
        <v>73.4850509054003</v>
      </c>
      <c r="M68" s="7">
        <v>-4.9801129959935242E-2</v>
      </c>
      <c r="N68" s="7">
        <v>-5.7852777039596126E-2</v>
      </c>
      <c r="O68" s="7">
        <v>-0.52129577464788734</v>
      </c>
      <c r="P68" s="6">
        <v>2500</v>
      </c>
      <c r="Q68" s="38">
        <v>97.944641377200895</v>
      </c>
      <c r="R68" s="38">
        <v>0.52466664385358586</v>
      </c>
      <c r="S68" s="38">
        <v>-0.95514994736878311</v>
      </c>
      <c r="T68" s="38">
        <v>-0.98624700441133817</v>
      </c>
    </row>
    <row r="69" spans="1:20">
      <c r="A69" s="6">
        <v>1500</v>
      </c>
      <c r="B69" s="7">
        <v>96.559318651672029</v>
      </c>
      <c r="C69" s="7">
        <v>3.4255720328186134E-2</v>
      </c>
      <c r="D69" s="7">
        <v>-0.79156327543424321</v>
      </c>
      <c r="E69" s="7">
        <v>-0.94210906986836396</v>
      </c>
      <c r="F69" s="6">
        <v>1100</v>
      </c>
      <c r="G69" s="38">
        <v>71.69010965860025</v>
      </c>
      <c r="H69" s="38">
        <v>0.25860566448801747</v>
      </c>
      <c r="I69" s="38">
        <v>-0.85184565762752362</v>
      </c>
      <c r="J69" s="38">
        <v>-0.7654121388815267</v>
      </c>
      <c r="K69" s="6">
        <v>2500</v>
      </c>
      <c r="L69" s="7">
        <v>72.756780590525509</v>
      </c>
      <c r="M69" s="7">
        <v>0.11975273049098556</v>
      </c>
      <c r="N69" s="7">
        <v>-9.8117291513518667E-3</v>
      </c>
      <c r="O69" s="7">
        <v>-0.48154220779220769</v>
      </c>
      <c r="P69" s="6">
        <v>2500</v>
      </c>
      <c r="Q69" s="38">
        <v>99.592581680410575</v>
      </c>
      <c r="R69" s="38">
        <v>0.94834670858498127</v>
      </c>
      <c r="S69" s="38">
        <v>-0.97090769972887103</v>
      </c>
      <c r="T69" s="38">
        <v>-0.9970660958777724</v>
      </c>
    </row>
    <row r="70" spans="1:20">
      <c r="A70" s="6">
        <v>1500</v>
      </c>
      <c r="B70" s="7">
        <v>98.455540723551081</v>
      </c>
      <c r="C70" s="7">
        <v>0.24800333508864303</v>
      </c>
      <c r="D70" s="7">
        <v>-0.70833333333333348</v>
      </c>
      <c r="E70" s="7">
        <v>-0.96991778774289983</v>
      </c>
      <c r="F70" s="6">
        <v>1100</v>
      </c>
      <c r="G70" s="38">
        <v>73.598510882084469</v>
      </c>
      <c r="H70" s="38">
        <v>0.27560770589950789</v>
      </c>
      <c r="I70" s="38">
        <v>-0.86180636750235395</v>
      </c>
      <c r="J70" s="38">
        <v>-0.78464681710704531</v>
      </c>
      <c r="K70" s="6">
        <v>1500</v>
      </c>
      <c r="L70" s="38">
        <v>90.068784316748363</v>
      </c>
      <c r="M70" s="38">
        <v>-0.76450949706956328</v>
      </c>
      <c r="N70" s="38">
        <v>-0.96645259203050105</v>
      </c>
      <c r="O70" s="38">
        <v>-0.98781258982466225</v>
      </c>
      <c r="P70" s="6">
        <v>2500</v>
      </c>
      <c r="Q70" s="38">
        <v>97.400922801470017</v>
      </c>
      <c r="R70" s="38">
        <v>0.98960951902128413</v>
      </c>
      <c r="S70" s="38">
        <v>-0.96785605984029111</v>
      </c>
      <c r="T70" s="38">
        <v>-0.9752373476863273</v>
      </c>
    </row>
    <row r="71" spans="1:20">
      <c r="A71" s="6">
        <v>1500</v>
      </c>
      <c r="B71" s="7">
        <v>93.959311568504162</v>
      </c>
      <c r="C71" s="7">
        <v>8.254460894648763E-2</v>
      </c>
      <c r="D71" s="7">
        <v>-0.33015656909462243</v>
      </c>
      <c r="E71" s="7">
        <v>-0.89047184412079849</v>
      </c>
      <c r="F71" s="6">
        <v>1100</v>
      </c>
      <c r="G71" s="38">
        <v>80.96029124936851</v>
      </c>
      <c r="H71" s="38">
        <v>0.86726346396751586</v>
      </c>
      <c r="I71" s="38">
        <v>-0.86016760662041036</v>
      </c>
      <c r="J71" s="38">
        <v>-0.79678052432757429</v>
      </c>
      <c r="K71" s="6">
        <v>1500</v>
      </c>
      <c r="L71" s="38">
        <v>97.379045859532368</v>
      </c>
      <c r="M71" s="38">
        <v>-0.22722526991713876</v>
      </c>
      <c r="N71" s="38">
        <v>-0.96180124562738201</v>
      </c>
      <c r="O71" s="38">
        <v>-0.99058333266032972</v>
      </c>
      <c r="P71" s="6">
        <v>2500</v>
      </c>
      <c r="Q71" s="38">
        <v>99.49309060883013</v>
      </c>
      <c r="R71" s="38">
        <v>1.4998489257828029</v>
      </c>
      <c r="S71" s="38">
        <v>-0.96339814113201028</v>
      </c>
      <c r="T71" s="38">
        <v>-0.99661637334808795</v>
      </c>
    </row>
    <row r="72" spans="1:20">
      <c r="A72" s="6">
        <v>1500</v>
      </c>
      <c r="B72" s="7">
        <v>98.349332084640395</v>
      </c>
      <c r="C72" s="7">
        <v>-0.11322245074368831</v>
      </c>
      <c r="D72" s="7">
        <v>-0.74310595065312057</v>
      </c>
      <c r="E72" s="7">
        <v>-0.9795667992215924</v>
      </c>
      <c r="F72" s="6">
        <v>1100</v>
      </c>
      <c r="G72" s="38">
        <v>84.058174570591845</v>
      </c>
      <c r="H72" s="38">
        <v>0.84155132641291841</v>
      </c>
      <c r="I72" s="38">
        <v>-0.88016928190461463</v>
      </c>
      <c r="J72" s="38">
        <v>-0.83639169953695758</v>
      </c>
      <c r="K72" s="6">
        <v>1500</v>
      </c>
      <c r="L72" s="38">
        <v>98.795089803495173</v>
      </c>
      <c r="M72" s="38">
        <v>8.3230872106818676E-2</v>
      </c>
      <c r="N72" s="38">
        <v>-0.95448927284318441</v>
      </c>
      <c r="O72" s="38">
        <v>-0.99464538290563753</v>
      </c>
      <c r="P72" s="6">
        <v>2500</v>
      </c>
      <c r="Q72" s="38">
        <v>99.637643905280683</v>
      </c>
      <c r="R72" s="38">
        <v>0.85081738530744055</v>
      </c>
      <c r="S72" s="38">
        <v>-0.9654279204757088</v>
      </c>
      <c r="T72" s="38">
        <v>-0.99666505862365506</v>
      </c>
    </row>
    <row r="73" spans="1:20">
      <c r="A73" s="6">
        <v>1500</v>
      </c>
      <c r="B73" s="7">
        <v>90.381875763563144</v>
      </c>
      <c r="C73" s="7">
        <v>4.4653105133645843E-2</v>
      </c>
      <c r="D73" s="7">
        <v>-0.17096308517220071</v>
      </c>
      <c r="E73" s="7">
        <v>-0.83077459454910496</v>
      </c>
      <c r="F73" s="6">
        <v>1100</v>
      </c>
      <c r="G73" s="38">
        <v>84.209139628988311</v>
      </c>
      <c r="H73" s="38">
        <v>0.82037385931043039</v>
      </c>
      <c r="I73" s="38">
        <v>-0.87359767303744373</v>
      </c>
      <c r="J73" s="38">
        <v>-0.83943226502599011</v>
      </c>
      <c r="K73" s="6">
        <v>1500</v>
      </c>
      <c r="L73" s="38">
        <v>99.294850463558149</v>
      </c>
      <c r="M73" s="38">
        <v>0.39292064207547672</v>
      </c>
      <c r="N73" s="38">
        <v>-0.94596492817979971</v>
      </c>
      <c r="O73" s="38">
        <v>-0.99555980027478974</v>
      </c>
      <c r="P73" s="6">
        <v>2500</v>
      </c>
      <c r="Q73" s="38">
        <v>98.625909720660019</v>
      </c>
      <c r="R73" s="38">
        <v>0.11128107665446008</v>
      </c>
      <c r="S73" s="38">
        <v>-0.95702742751698489</v>
      </c>
      <c r="T73" s="38">
        <v>-0.99232884643218988</v>
      </c>
    </row>
    <row r="74" spans="1:20">
      <c r="A74" s="6">
        <v>1500</v>
      </c>
      <c r="B74" s="7">
        <v>93.406586002891942</v>
      </c>
      <c r="C74" s="7">
        <v>-6.0643243912598011E-2</v>
      </c>
      <c r="D74" s="7">
        <v>-0.20409281929471979</v>
      </c>
      <c r="E74" s="7">
        <v>-0.90004580168933668</v>
      </c>
      <c r="F74" s="6">
        <v>1100</v>
      </c>
      <c r="G74" s="38">
        <v>85.393547723110075</v>
      </c>
      <c r="H74" s="38">
        <v>2.3376176044595374</v>
      </c>
      <c r="I74" s="38">
        <v>-0.82024534022419782</v>
      </c>
      <c r="J74" s="38">
        <v>-0.75656791048422556</v>
      </c>
      <c r="K74" s="6">
        <v>1500</v>
      </c>
      <c r="L74" s="38">
        <v>99.017634444876251</v>
      </c>
      <c r="M74" s="38">
        <v>0.10342879185478604</v>
      </c>
      <c r="N74" s="38">
        <v>-0.96040123082569528</v>
      </c>
      <c r="O74" s="38">
        <v>-0.99537599150811018</v>
      </c>
      <c r="P74" s="6">
        <v>2500</v>
      </c>
      <c r="Q74" s="38">
        <v>48.310541571081949</v>
      </c>
      <c r="R74" s="38">
        <v>-0.32714704537507733</v>
      </c>
      <c r="S74" s="38">
        <v>-0.62413699601610251</v>
      </c>
      <c r="T74" s="38">
        <v>-0.65716959497328786</v>
      </c>
    </row>
    <row r="75" spans="1:20">
      <c r="A75" s="6">
        <v>1500</v>
      </c>
      <c r="B75" s="7">
        <v>98.902669925164972</v>
      </c>
      <c r="C75" s="7">
        <v>-2.1233969600145786E-2</v>
      </c>
      <c r="D75" s="7">
        <v>-0.67611336032388669</v>
      </c>
      <c r="E75" s="7">
        <v>-0.9844903739168549</v>
      </c>
      <c r="F75" s="6">
        <v>1100</v>
      </c>
      <c r="G75" s="38">
        <v>90.004436843497444</v>
      </c>
      <c r="H75" s="38">
        <v>0.33241774909682587</v>
      </c>
      <c r="I75" s="38">
        <v>-0.90267303182022318</v>
      </c>
      <c r="J75" s="38">
        <v>-0.9311510499317267</v>
      </c>
      <c r="K75" s="6">
        <v>1500</v>
      </c>
      <c r="L75" s="38">
        <v>99.303731262784865</v>
      </c>
      <c r="M75" s="38">
        <v>0.25436459957828883</v>
      </c>
      <c r="N75" s="38">
        <v>-0.94062419632697203</v>
      </c>
      <c r="O75" s="38">
        <v>-0.99585740079256524</v>
      </c>
    </row>
    <row r="76" spans="1:20">
      <c r="A76" s="6">
        <v>1500</v>
      </c>
      <c r="B76" s="7">
        <v>97.706129723789019</v>
      </c>
      <c r="C76" s="7">
        <v>-0.11357202070918004</v>
      </c>
      <c r="D76" s="7">
        <v>-0.6801218583396802</v>
      </c>
      <c r="E76" s="7">
        <v>-0.98468232473471562</v>
      </c>
      <c r="F76" s="6">
        <v>1100</v>
      </c>
      <c r="G76" s="38">
        <v>91.975732394179005</v>
      </c>
      <c r="H76" s="38">
        <v>0.26152715436911067</v>
      </c>
      <c r="I76" s="38">
        <v>-0.90031505786615584</v>
      </c>
      <c r="J76" s="38">
        <v>-0.95010713407566127</v>
      </c>
      <c r="K76" s="6">
        <v>1500</v>
      </c>
      <c r="L76" s="38">
        <v>95.964378133942489</v>
      </c>
      <c r="M76" s="38">
        <v>0.45429423231280852</v>
      </c>
      <c r="N76" s="38">
        <v>-0.87903727782004282</v>
      </c>
      <c r="O76" s="38">
        <v>-0.96990946754641705</v>
      </c>
    </row>
    <row r="77" spans="1:20">
      <c r="A77" s="6">
        <v>1500</v>
      </c>
      <c r="B77" s="7">
        <v>99.641515455370836</v>
      </c>
      <c r="C77" s="7">
        <v>-0.16671932596103234</v>
      </c>
      <c r="D77" s="7">
        <v>-0.81098901098901111</v>
      </c>
      <c r="E77" s="7">
        <v>-0.9955797565663036</v>
      </c>
      <c r="F77" s="6">
        <v>1100</v>
      </c>
      <c r="G77" s="38">
        <v>98.042265144351319</v>
      </c>
      <c r="H77" s="38">
        <v>0.44191894557712574</v>
      </c>
      <c r="I77" s="38">
        <v>-0.91476258654166753</v>
      </c>
      <c r="J77" s="38">
        <v>-0.98693123304759001</v>
      </c>
      <c r="K77" s="6">
        <v>1500</v>
      </c>
      <c r="L77" s="38">
        <v>45.655605383374095</v>
      </c>
      <c r="M77" s="38">
        <v>-0.17564325308182338</v>
      </c>
      <c r="N77" s="38">
        <v>-0.52041783795472307</v>
      </c>
      <c r="O77" s="38">
        <v>-0.52601148958679322</v>
      </c>
    </row>
    <row r="78" spans="1:20">
      <c r="A78" s="6">
        <v>1500</v>
      </c>
      <c r="B78" s="7">
        <v>99.575202128644719</v>
      </c>
      <c r="C78" s="7">
        <v>0.4693171224579793</v>
      </c>
      <c r="D78" s="7">
        <v>-0.67708616471867367</v>
      </c>
      <c r="E78" s="7">
        <v>-0.99125322854109554</v>
      </c>
      <c r="F78" s="6">
        <v>1100</v>
      </c>
      <c r="G78" s="38">
        <v>43.612914656108273</v>
      </c>
      <c r="H78" s="38">
        <v>-4.8020838327180848E-2</v>
      </c>
      <c r="I78" s="38">
        <v>-0.52900089638842207</v>
      </c>
      <c r="J78" s="38">
        <v>-0.45370561776928708</v>
      </c>
      <c r="K78" s="6">
        <v>1800</v>
      </c>
      <c r="L78" s="38">
        <v>89.474075746978741</v>
      </c>
      <c r="M78" s="38">
        <v>-0.59030623067218913</v>
      </c>
      <c r="N78" s="38">
        <v>-0.93717651373077582</v>
      </c>
      <c r="O78" s="38">
        <v>-0.97717848256927964</v>
      </c>
    </row>
    <row r="79" spans="1:20">
      <c r="A79" s="6">
        <v>1800</v>
      </c>
      <c r="B79" s="7">
        <v>87.284660284930837</v>
      </c>
      <c r="C79" s="7">
        <v>-0.8028290347731738</v>
      </c>
      <c r="D79" s="7">
        <v>-0.88130652835526602</v>
      </c>
      <c r="E79" s="7">
        <v>-0.95551310460762584</v>
      </c>
      <c r="F79" s="6">
        <v>1100</v>
      </c>
      <c r="G79" s="38">
        <v>41.034796014750754</v>
      </c>
      <c r="H79" s="38">
        <v>1.5529858667113539E-2</v>
      </c>
      <c r="I79" s="38">
        <v>-0.51784089760436669</v>
      </c>
      <c r="J79" s="38">
        <v>-0.36211407639979065</v>
      </c>
      <c r="K79" s="6">
        <v>1800</v>
      </c>
      <c r="L79" s="38">
        <v>97.330480500603528</v>
      </c>
      <c r="M79" s="38">
        <v>3.2757568569949971</v>
      </c>
      <c r="N79" s="38">
        <v>-0.9099731596997862</v>
      </c>
      <c r="O79" s="38">
        <v>-0.97680070702607158</v>
      </c>
    </row>
    <row r="80" spans="1:20">
      <c r="A80" s="6">
        <v>1800</v>
      </c>
      <c r="B80" s="7">
        <v>95.955383797477538</v>
      </c>
      <c r="C80" s="7">
        <v>-0.81946132176136099</v>
      </c>
      <c r="D80" s="7">
        <v>-0.89664876754868339</v>
      </c>
      <c r="E80" s="7">
        <v>-0.98853650098027912</v>
      </c>
      <c r="F80" s="6">
        <v>1200</v>
      </c>
      <c r="G80" s="38">
        <v>61.123687909696343</v>
      </c>
      <c r="H80" s="38">
        <v>0.29866541992519546</v>
      </c>
      <c r="I80" s="38">
        <v>-0.73908280413619887</v>
      </c>
      <c r="J80" s="38">
        <v>-0.59426716287908787</v>
      </c>
      <c r="K80" s="6">
        <v>1800</v>
      </c>
      <c r="L80" s="38">
        <v>97.58341009746195</v>
      </c>
      <c r="M80" s="38">
        <v>4.1925624294755437</v>
      </c>
      <c r="N80" s="38">
        <v>-0.90203700824133104</v>
      </c>
      <c r="O80" s="38">
        <v>-0.98152570064094513</v>
      </c>
    </row>
    <row r="81" spans="1:15">
      <c r="A81" s="6">
        <v>1800</v>
      </c>
      <c r="B81" s="7">
        <v>94.655589139898055</v>
      </c>
      <c r="C81" s="7">
        <v>-0.81660576812593355</v>
      </c>
      <c r="D81" s="7">
        <v>-0.91662149954832883</v>
      </c>
      <c r="E81" s="7">
        <v>-0.98445088566827699</v>
      </c>
      <c r="F81" s="6">
        <v>1200</v>
      </c>
      <c r="G81" s="38">
        <v>54.327135782218669</v>
      </c>
      <c r="H81" s="38">
        <v>0.49963857107324938</v>
      </c>
      <c r="I81" s="38">
        <v>-0.76296269753108537</v>
      </c>
      <c r="J81" s="38">
        <v>-0.37615482637782727</v>
      </c>
      <c r="K81" s="6">
        <v>1800</v>
      </c>
      <c r="L81" s="38">
        <v>98.580523063453441</v>
      </c>
      <c r="M81" s="38">
        <v>1.4204449043603455</v>
      </c>
      <c r="N81" s="38">
        <v>-0.92299543676662321</v>
      </c>
      <c r="O81" s="38">
        <v>-0.99170179135932557</v>
      </c>
    </row>
    <row r="82" spans="1:15">
      <c r="A82" s="6">
        <v>1800</v>
      </c>
      <c r="B82" s="7">
        <v>98.920765763254266</v>
      </c>
      <c r="C82" s="7">
        <v>-0.45977417375001051</v>
      </c>
      <c r="D82" s="7">
        <v>-0.89440809042236769</v>
      </c>
      <c r="E82" s="7">
        <v>-0.99121597737716505</v>
      </c>
      <c r="F82" s="6">
        <v>1200</v>
      </c>
      <c r="G82" s="38">
        <v>76.253118773655416</v>
      </c>
      <c r="H82" s="38">
        <v>0.34354968658143581</v>
      </c>
      <c r="I82" s="38">
        <v>-0.8441055520974704</v>
      </c>
      <c r="J82" s="38">
        <v>-0.79329583597931597</v>
      </c>
      <c r="K82" s="6">
        <v>1800</v>
      </c>
      <c r="L82" s="38">
        <v>98.913435668939456</v>
      </c>
      <c r="M82" s="38">
        <v>0.2539408572112698</v>
      </c>
      <c r="N82" s="38">
        <v>-0.93769979072281118</v>
      </c>
      <c r="O82" s="38">
        <v>-0.99570639950930284</v>
      </c>
    </row>
    <row r="83" spans="1:15">
      <c r="A83" s="6">
        <v>1800</v>
      </c>
      <c r="B83" s="7">
        <v>98.871525162788686</v>
      </c>
      <c r="C83" s="7">
        <v>-0.15677139415132335</v>
      </c>
      <c r="D83" s="7">
        <v>-0.56037842594920795</v>
      </c>
      <c r="E83" s="7">
        <v>-0.98567906768265356</v>
      </c>
      <c r="F83" s="6">
        <v>1200</v>
      </c>
      <c r="G83" s="38">
        <v>80.325823144132627</v>
      </c>
      <c r="H83" s="38">
        <v>0.77729500891265557</v>
      </c>
      <c r="I83" s="38">
        <v>-0.81484334874165387</v>
      </c>
      <c r="J83" s="38">
        <v>-0.78477929984779315</v>
      </c>
      <c r="K83" s="6">
        <v>1800</v>
      </c>
      <c r="L83" s="38">
        <v>99.420384651025515</v>
      </c>
      <c r="M83" s="38">
        <v>0.35759816231866925</v>
      </c>
      <c r="N83" s="38">
        <v>-0.94502804995360479</v>
      </c>
      <c r="O83" s="38">
        <v>-0.9968213123439037</v>
      </c>
    </row>
    <row r="84" spans="1:15">
      <c r="A84" s="6">
        <v>1800</v>
      </c>
      <c r="B84" s="7">
        <v>97.044540737392921</v>
      </c>
      <c r="C84" s="7">
        <v>3.5802966832009897E-2</v>
      </c>
      <c r="D84" s="7">
        <v>-0.40075099903541411</v>
      </c>
      <c r="E84" s="7">
        <v>-0.9511667894866126</v>
      </c>
      <c r="F84" s="6">
        <v>1200</v>
      </c>
      <c r="G84" s="38">
        <v>82.496786397317976</v>
      </c>
      <c r="H84" s="38">
        <v>1.5020241771484519</v>
      </c>
      <c r="I84" s="38">
        <v>-0.81542568198094567</v>
      </c>
      <c r="J84" s="38">
        <v>-0.7433918579972989</v>
      </c>
      <c r="K84" s="6">
        <v>1800</v>
      </c>
      <c r="L84" s="38">
        <v>98.398958138191034</v>
      </c>
      <c r="M84" s="38">
        <v>5.147481892642003E-2</v>
      </c>
      <c r="N84" s="38">
        <v>-0.9406097013906497</v>
      </c>
      <c r="O84" s="38">
        <v>-0.99150338130743887</v>
      </c>
    </row>
    <row r="85" spans="1:15">
      <c r="A85" s="6">
        <v>1800</v>
      </c>
      <c r="B85" s="7">
        <v>99.547242060135545</v>
      </c>
      <c r="C85" s="7">
        <v>0.17718255048168507</v>
      </c>
      <c r="D85" s="7">
        <v>-0.79492939666238771</v>
      </c>
      <c r="E85" s="7">
        <v>-0.99187643020594962</v>
      </c>
      <c r="F85" s="6">
        <v>1200</v>
      </c>
      <c r="G85" s="38">
        <v>86.370383986278981</v>
      </c>
      <c r="H85" s="38">
        <v>0.27174676236542372</v>
      </c>
      <c r="I85" s="38">
        <v>-0.84937038414536958</v>
      </c>
      <c r="J85" s="38">
        <v>-0.89927691580974534</v>
      </c>
      <c r="K85" s="6">
        <v>1800</v>
      </c>
      <c r="L85" s="38">
        <v>48.310541571081949</v>
      </c>
      <c r="M85" s="38">
        <v>-0.38651218062982773</v>
      </c>
      <c r="N85" s="38">
        <v>-0.56343091936312284</v>
      </c>
      <c r="O85" s="38">
        <v>-0.68087265347539327</v>
      </c>
    </row>
    <row r="86" spans="1:15">
      <c r="A86" s="6">
        <v>1800</v>
      </c>
      <c r="B86" s="7">
        <v>95.361634605239615</v>
      </c>
      <c r="C86" s="7">
        <v>9.2517560366408347E-2</v>
      </c>
      <c r="D86" s="7">
        <v>-0.32103825136612019</v>
      </c>
      <c r="E86" s="7">
        <v>-0.91903064861012118</v>
      </c>
      <c r="F86" s="6">
        <v>1200</v>
      </c>
      <c r="G86" s="38">
        <v>93.07440769137682</v>
      </c>
      <c r="H86" s="38">
        <v>0.33196550574904182</v>
      </c>
      <c r="I86" s="38">
        <v>-0.84875402122245158</v>
      </c>
      <c r="J86" s="38">
        <v>-0.9502891070666305</v>
      </c>
      <c r="K86" s="6">
        <v>1900</v>
      </c>
      <c r="L86" s="38">
        <v>79.848277261605503</v>
      </c>
      <c r="M86" s="38">
        <v>-0.2872238232468779</v>
      </c>
      <c r="N86" s="38">
        <v>-0.91811169135105863</v>
      </c>
      <c r="O86" s="38">
        <v>-0.91272128447920953</v>
      </c>
    </row>
    <row r="87" spans="1:15">
      <c r="A87" s="6">
        <v>1800</v>
      </c>
      <c r="B87" s="7">
        <v>94.148192217300704</v>
      </c>
      <c r="C87" s="7">
        <v>0.13958974861228346</v>
      </c>
      <c r="D87" s="7">
        <v>-0.28368095658672454</v>
      </c>
      <c r="E87" s="7">
        <v>-0.89509507084897666</v>
      </c>
      <c r="F87" s="6">
        <v>1200</v>
      </c>
      <c r="G87" s="38">
        <v>95.777995234952556</v>
      </c>
      <c r="H87" s="38">
        <v>0.85470196947958788</v>
      </c>
      <c r="I87" s="38">
        <v>-0.83764891578037504</v>
      </c>
      <c r="J87" s="38">
        <v>-0.95890410958904115</v>
      </c>
      <c r="K87" s="6">
        <v>1900</v>
      </c>
      <c r="L87" s="38">
        <v>82.834082533785221</v>
      </c>
      <c r="M87" s="38">
        <v>-0.16407376722206879</v>
      </c>
      <c r="N87" s="38">
        <v>-0.91995706168680946</v>
      </c>
      <c r="O87" s="38">
        <v>-0.91642918736911261</v>
      </c>
    </row>
    <row r="88" spans="1:15">
      <c r="A88" s="6">
        <v>1800</v>
      </c>
      <c r="B88" s="7">
        <v>99.714133128547275</v>
      </c>
      <c r="C88" s="7">
        <v>0.22978283350568773</v>
      </c>
      <c r="D88" s="7">
        <v>-0.75609756097560976</v>
      </c>
      <c r="E88" s="7">
        <v>-0.99478260869565216</v>
      </c>
      <c r="F88" s="6">
        <v>1200</v>
      </c>
      <c r="G88" s="38">
        <v>60.149498944621996</v>
      </c>
      <c r="H88" s="38">
        <v>-1.0678391959799138E-2</v>
      </c>
      <c r="I88" s="38">
        <v>-7.8055919040503241E-2</v>
      </c>
      <c r="J88" s="38">
        <v>-0.67257520479107868</v>
      </c>
      <c r="K88" s="6">
        <v>1900</v>
      </c>
      <c r="L88" s="38">
        <v>89.064237391368835</v>
      </c>
      <c r="M88" s="38">
        <v>0.21430279991983614</v>
      </c>
      <c r="N88" s="38">
        <v>-0.92436158888234676</v>
      </c>
      <c r="O88" s="38">
        <v>-0.92755491344481833</v>
      </c>
    </row>
    <row r="89" spans="1:15">
      <c r="A89" s="6">
        <v>1800</v>
      </c>
      <c r="B89" s="7">
        <v>99.73721557935869</v>
      </c>
      <c r="C89" s="7">
        <v>-0.20117234110253768</v>
      </c>
      <c r="D89" s="7">
        <v>-0.83140830206378991</v>
      </c>
      <c r="E89" s="7">
        <v>-0.99703177257525089</v>
      </c>
      <c r="F89" s="6">
        <v>1200</v>
      </c>
      <c r="G89" s="38">
        <v>39.740268250876717</v>
      </c>
      <c r="H89" s="38">
        <v>6.1229946524063994E-2</v>
      </c>
      <c r="I89" s="38">
        <v>8.2730828493540409E-2</v>
      </c>
      <c r="J89" s="38">
        <v>-0.27329820864067433</v>
      </c>
      <c r="K89" s="6">
        <v>1900</v>
      </c>
      <c r="L89" s="38">
        <v>91.914807193511876</v>
      </c>
      <c r="M89" s="38">
        <v>-0.48740035513241908</v>
      </c>
      <c r="N89" s="38">
        <v>-0.94847060074590017</v>
      </c>
      <c r="O89" s="38">
        <v>-0.97796839627676013</v>
      </c>
    </row>
    <row r="90" spans="1:15">
      <c r="A90" s="6">
        <v>1800</v>
      </c>
      <c r="B90" s="7">
        <v>99.713074186998909</v>
      </c>
      <c r="C90" s="7">
        <v>0.61677352637021721</v>
      </c>
      <c r="D90" s="7">
        <v>-0.3910162601626016</v>
      </c>
      <c r="E90" s="7">
        <v>-0.99382608695652175</v>
      </c>
      <c r="F90" s="6">
        <v>1300</v>
      </c>
      <c r="G90" s="38">
        <v>76.709068666363464</v>
      </c>
      <c r="H90" s="38">
        <v>1.3977300992160435E-2</v>
      </c>
      <c r="I90" s="38">
        <v>-0.82597260273972606</v>
      </c>
      <c r="J90" s="38">
        <v>-0.8207135330423001</v>
      </c>
      <c r="K90" s="6">
        <v>1900</v>
      </c>
      <c r="L90" s="38">
        <v>95.685987299591403</v>
      </c>
      <c r="M90" s="38">
        <v>0.46004934771766859</v>
      </c>
      <c r="N90" s="38">
        <v>-0.92825704922185459</v>
      </c>
      <c r="O90" s="38">
        <v>-0.96835154027187464</v>
      </c>
    </row>
    <row r="91" spans="1:15">
      <c r="A91" s="6">
        <v>1800</v>
      </c>
      <c r="B91" s="7">
        <v>99.178217690889397</v>
      </c>
      <c r="C91" s="7">
        <v>0.58052577151254536</v>
      </c>
      <c r="D91" s="7">
        <v>-0.2964939024390244</v>
      </c>
      <c r="E91" s="7">
        <v>-0.98172196796338673</v>
      </c>
      <c r="F91" s="6">
        <v>1300</v>
      </c>
      <c r="G91" s="38">
        <v>79.648309316259841</v>
      </c>
      <c r="H91" s="38">
        <v>-3.1155757833232434E-2</v>
      </c>
      <c r="I91" s="38">
        <v>-0.84479886685552408</v>
      </c>
      <c r="J91" s="38">
        <v>-0.85663854559038688</v>
      </c>
      <c r="K91" s="6">
        <v>1900</v>
      </c>
      <c r="L91" s="38">
        <v>98.180791517325673</v>
      </c>
      <c r="M91" s="38">
        <v>0.99296656545382822</v>
      </c>
      <c r="N91" s="38">
        <v>-0.92925802145953829</v>
      </c>
      <c r="O91" s="38">
        <v>-0.98296641491242165</v>
      </c>
    </row>
    <row r="92" spans="1:15">
      <c r="A92" s="6">
        <v>1800</v>
      </c>
      <c r="B92" s="7">
        <v>70.913126316392038</v>
      </c>
      <c r="C92" s="7">
        <v>-3.9016902512248874E-2</v>
      </c>
      <c r="D92" s="7">
        <v>-4.7807657563755157E-2</v>
      </c>
      <c r="E92" s="7">
        <v>-0.57081630125108385</v>
      </c>
      <c r="F92" s="6">
        <v>1300</v>
      </c>
      <c r="G92" s="38">
        <v>89.592149479476532</v>
      </c>
      <c r="H92" s="38">
        <v>1.2267805698880849</v>
      </c>
      <c r="I92" s="38">
        <v>-0.86477729257641922</v>
      </c>
      <c r="J92" s="38">
        <v>-0.85140361821584531</v>
      </c>
      <c r="K92" s="6">
        <v>1900</v>
      </c>
      <c r="L92" s="38">
        <v>99.116394776450392</v>
      </c>
      <c r="M92" s="38">
        <v>0.69701314217443255</v>
      </c>
      <c r="N92" s="38">
        <v>-0.93799330253062607</v>
      </c>
      <c r="O92" s="38">
        <v>-0.99302172481895989</v>
      </c>
    </row>
    <row r="93" spans="1:15">
      <c r="A93" s="6">
        <v>2500</v>
      </c>
      <c r="B93" s="7">
        <v>95.490490485845797</v>
      </c>
      <c r="C93" s="7">
        <v>-0.72945910948991588</v>
      </c>
      <c r="D93" s="7">
        <v>-0.90937210021651715</v>
      </c>
      <c r="E93" s="7">
        <v>-0.97958606557377048</v>
      </c>
      <c r="F93" s="6">
        <v>1300</v>
      </c>
      <c r="G93" s="38">
        <v>88.516615674477237</v>
      </c>
      <c r="H93" s="38">
        <v>2.0020796175550433</v>
      </c>
      <c r="I93" s="38">
        <v>-0.8532826086956522</v>
      </c>
      <c r="J93" s="38">
        <v>-0.78898112756808403</v>
      </c>
      <c r="K93" s="6">
        <v>1900</v>
      </c>
      <c r="L93" s="38">
        <v>98.509267403567392</v>
      </c>
      <c r="M93" s="38">
        <v>0.7135108011458553</v>
      </c>
      <c r="N93" s="38">
        <v>-0.94030411113196921</v>
      </c>
      <c r="O93" s="38">
        <v>-0.98738620812756595</v>
      </c>
    </row>
    <row r="94" spans="1:15">
      <c r="A94" s="6">
        <v>2500</v>
      </c>
      <c r="B94" s="7">
        <v>96.385984170308362</v>
      </c>
      <c r="C94" s="7">
        <v>-0.72018420501384672</v>
      </c>
      <c r="D94" s="7">
        <v>-0.9175759037112946</v>
      </c>
      <c r="E94" s="7">
        <v>-0.9836182108626198</v>
      </c>
      <c r="F94" s="6">
        <v>1300</v>
      </c>
      <c r="G94" s="38">
        <v>92.049775183985005</v>
      </c>
      <c r="H94" s="38">
        <v>4.1260255548083418</v>
      </c>
      <c r="I94" s="38">
        <v>-0.87931199999999998</v>
      </c>
      <c r="J94" s="38">
        <v>-0.75569230769230766</v>
      </c>
      <c r="K94" s="6">
        <v>1900</v>
      </c>
      <c r="L94" s="38">
        <v>48.861531351115502</v>
      </c>
      <c r="M94" s="38">
        <v>8.7078239470803176E-2</v>
      </c>
      <c r="N94" s="38">
        <v>-0.52367010955042792</v>
      </c>
      <c r="O94" s="38">
        <v>-0.51482650795329232</v>
      </c>
    </row>
    <row r="95" spans="1:15">
      <c r="A95" s="6">
        <v>2500</v>
      </c>
      <c r="B95" s="7">
        <v>95.486683855262442</v>
      </c>
      <c r="C95" s="7">
        <v>-0.56815895395214755</v>
      </c>
      <c r="D95" s="7">
        <v>-0.89236934379696109</v>
      </c>
      <c r="E95" s="7">
        <v>-0.97147787610619463</v>
      </c>
      <c r="F95" s="6">
        <v>1300</v>
      </c>
      <c r="G95" s="38">
        <v>96.711374904488622</v>
      </c>
      <c r="H95" s="38">
        <v>1.0389264032574554</v>
      </c>
      <c r="I95" s="38">
        <v>-0.85860273972602741</v>
      </c>
      <c r="J95" s="38">
        <v>-0.96115459882583165</v>
      </c>
      <c r="K95" s="6">
        <v>1900</v>
      </c>
      <c r="L95" s="38">
        <v>46.066660925598477</v>
      </c>
      <c r="M95" s="38">
        <v>9.9581208712260949E-2</v>
      </c>
      <c r="N95" s="38">
        <v>-0.52611386879828625</v>
      </c>
      <c r="O95" s="38">
        <v>-0.46063358319198999</v>
      </c>
    </row>
    <row r="96" spans="1:15">
      <c r="A96" s="6">
        <v>2500</v>
      </c>
      <c r="B96" s="7">
        <v>97.570365480463536</v>
      </c>
      <c r="C96" s="7">
        <v>-0.46653162401920023</v>
      </c>
      <c r="D96" s="7">
        <v>-0.87163930097460274</v>
      </c>
      <c r="E96" s="7">
        <v>-0.97763358778625953</v>
      </c>
      <c r="F96" s="6">
        <v>1300</v>
      </c>
      <c r="G96" s="38">
        <v>98.726812001537695</v>
      </c>
      <c r="H96" s="38">
        <v>1.4071585778041733</v>
      </c>
      <c r="I96" s="38">
        <v>-0.89430519480519477</v>
      </c>
      <c r="J96" s="38">
        <v>-0.98158627087198513</v>
      </c>
      <c r="K96" s="6">
        <v>2000</v>
      </c>
      <c r="L96" s="38">
        <v>91.207943391994647</v>
      </c>
      <c r="M96" s="38">
        <v>-0.77061704042909573</v>
      </c>
      <c r="N96" s="38">
        <v>-0.94013940256045514</v>
      </c>
      <c r="O96" s="38">
        <v>-0.98758851390430336</v>
      </c>
    </row>
    <row r="97" spans="1:15">
      <c r="A97" s="6">
        <v>2500</v>
      </c>
      <c r="B97" s="7">
        <v>97.388686041995143</v>
      </c>
      <c r="C97" s="7">
        <v>-0.47221129850209398</v>
      </c>
      <c r="D97" s="7">
        <v>-0.86861135708285087</v>
      </c>
      <c r="E97" s="7">
        <v>-0.98148916967509026</v>
      </c>
      <c r="F97" s="6">
        <v>1300</v>
      </c>
      <c r="G97" s="38">
        <v>50.439875824471315</v>
      </c>
      <c r="H97" s="38">
        <v>0.26191028320982213</v>
      </c>
      <c r="I97" s="38">
        <v>-4.9546798029556638E-2</v>
      </c>
      <c r="J97" s="38">
        <v>-0.29725004059979421</v>
      </c>
      <c r="K97" s="6">
        <v>2000</v>
      </c>
      <c r="L97" s="38">
        <v>96.88570181107535</v>
      </c>
      <c r="M97" s="38">
        <v>-0.78530189412918916</v>
      </c>
      <c r="N97" s="38">
        <v>-0.92823638470451908</v>
      </c>
      <c r="O97" s="38">
        <v>-0.99595584022003492</v>
      </c>
    </row>
    <row r="98" spans="1:15">
      <c r="A98" s="6">
        <v>2500</v>
      </c>
      <c r="B98" s="7">
        <v>95.391371211153015</v>
      </c>
      <c r="C98" s="7">
        <v>-0.21732642763168841</v>
      </c>
      <c r="D98" s="7">
        <v>-0.53831744099546897</v>
      </c>
      <c r="E98" s="7">
        <v>-0.93383870967741933</v>
      </c>
      <c r="F98" s="6">
        <v>1300</v>
      </c>
      <c r="G98" s="38">
        <v>46.846795157118869</v>
      </c>
      <c r="H98" s="38">
        <v>0.14411217977185986</v>
      </c>
      <c r="I98" s="38">
        <v>-7.1169811320754839E-2</v>
      </c>
      <c r="J98" s="38">
        <v>-0.2653483309143686</v>
      </c>
      <c r="K98" s="6">
        <v>2000</v>
      </c>
      <c r="L98" s="38">
        <v>97.285761156268094</v>
      </c>
      <c r="M98" s="38">
        <v>-0.55021832699469586</v>
      </c>
      <c r="N98" s="38">
        <v>-0.92759505409582688</v>
      </c>
      <c r="O98" s="38">
        <v>-0.99258284219644344</v>
      </c>
    </row>
    <row r="99" spans="1:15">
      <c r="A99" s="6">
        <v>2500</v>
      </c>
      <c r="B99" s="7">
        <v>98.34866821155876</v>
      </c>
      <c r="C99" s="7">
        <v>-0.41626176955036009</v>
      </c>
      <c r="D99" s="7">
        <v>-0.83151841868823007</v>
      </c>
      <c r="E99" s="7">
        <v>-0.98604761904761906</v>
      </c>
      <c r="K99" s="6">
        <v>2000</v>
      </c>
      <c r="L99" s="38">
        <v>98.390707343489652</v>
      </c>
      <c r="M99" s="38">
        <v>-2.1634758625385886E-2</v>
      </c>
      <c r="N99" s="38">
        <v>-0.92127004219409281</v>
      </c>
      <c r="O99" s="38">
        <v>-0.99079612370751613</v>
      </c>
    </row>
    <row r="100" spans="1:15">
      <c r="A100" s="6">
        <v>2500</v>
      </c>
      <c r="B100" s="7">
        <v>97.077879272702845</v>
      </c>
      <c r="C100" s="7">
        <v>-0.48641060941009318</v>
      </c>
      <c r="D100" s="7">
        <v>-0.88974896522066327</v>
      </c>
      <c r="E100" s="7">
        <v>-0.98121794871794876</v>
      </c>
      <c r="K100" s="6">
        <v>2000</v>
      </c>
      <c r="L100" s="38">
        <v>99.606423090216552</v>
      </c>
      <c r="M100" s="38">
        <v>1.1396854271794408</v>
      </c>
      <c r="N100" s="38">
        <v>-0.93430935251798564</v>
      </c>
      <c r="O100" s="38">
        <v>-0.99529211795398842</v>
      </c>
    </row>
    <row r="101" spans="1:15">
      <c r="A101" s="6">
        <v>2500</v>
      </c>
      <c r="B101" s="7">
        <v>98.050393125465533</v>
      </c>
      <c r="C101" s="7">
        <v>0.12935491583706815</v>
      </c>
      <c r="D101" s="7">
        <v>-0.81517968126750895</v>
      </c>
      <c r="E101" s="7">
        <v>-0.9675884955752212</v>
      </c>
      <c r="K101" s="6">
        <v>2000</v>
      </c>
      <c r="L101" s="38">
        <v>98.600796047999225</v>
      </c>
      <c r="M101" s="38">
        <v>0.28472530250349393</v>
      </c>
      <c r="N101" s="38">
        <v>-0.9183475177304965</v>
      </c>
      <c r="O101" s="38">
        <v>-0.98917075831969448</v>
      </c>
    </row>
    <row r="102" spans="1:15">
      <c r="A102" s="6">
        <v>2500</v>
      </c>
      <c r="B102" s="7">
        <v>89.349890293315681</v>
      </c>
      <c r="C102" s="7">
        <v>8.1785004228956737E-2</v>
      </c>
      <c r="D102" s="7">
        <v>-9.822025960123093E-2</v>
      </c>
      <c r="E102" s="7">
        <v>-0.77791223404255327</v>
      </c>
      <c r="K102" s="6">
        <v>2000</v>
      </c>
      <c r="L102" s="38">
        <v>50.007506358866181</v>
      </c>
      <c r="M102" s="38">
        <v>0.22851176360538239</v>
      </c>
      <c r="N102" s="38">
        <v>-0.12043107769423544</v>
      </c>
      <c r="O102" s="38">
        <v>-0.36364537717921164</v>
      </c>
    </row>
    <row r="103" spans="1:15">
      <c r="A103" s="6">
        <v>2500</v>
      </c>
      <c r="B103" s="7">
        <v>90.18271861909713</v>
      </c>
      <c r="C103" s="7">
        <v>2.9141160852570458E-2</v>
      </c>
      <c r="D103" s="7">
        <v>-0.12562572198690769</v>
      </c>
      <c r="E103" s="7">
        <v>-0.82434948979591827</v>
      </c>
      <c r="K103" s="6">
        <v>2000</v>
      </c>
      <c r="L103" s="38">
        <v>46.066660925598477</v>
      </c>
      <c r="M103" s="38">
        <v>0.27119936680903911</v>
      </c>
      <c r="N103" s="38">
        <v>-9.9565683646112402E-2</v>
      </c>
      <c r="O103" s="38">
        <v>-0.2385852753144978</v>
      </c>
    </row>
    <row r="104" spans="1:15">
      <c r="A104" s="6">
        <v>2500</v>
      </c>
      <c r="B104" s="7">
        <v>91.570585772376589</v>
      </c>
      <c r="C104" s="7">
        <v>1.8215581873801012E-2</v>
      </c>
      <c r="D104" s="7">
        <v>-0.14279232766982675</v>
      </c>
      <c r="E104" s="7">
        <v>-0.84329601990049752</v>
      </c>
      <c r="K104" s="6">
        <v>2100</v>
      </c>
      <c r="L104" s="38">
        <v>95.808905593853893</v>
      </c>
      <c r="M104" s="38">
        <v>-0.65223414141546021</v>
      </c>
      <c r="N104" s="38">
        <v>-0.92548220064724918</v>
      </c>
      <c r="O104" s="38">
        <v>-0.99152885949002456</v>
      </c>
    </row>
    <row r="105" spans="1:15">
      <c r="A105" s="6">
        <v>2500</v>
      </c>
      <c r="B105" s="7">
        <v>99.18859704738685</v>
      </c>
      <c r="C105" s="7">
        <v>8.5555638303378423E-3</v>
      </c>
      <c r="D105" s="7">
        <v>-0.55845673601820667</v>
      </c>
      <c r="E105" s="7">
        <v>-0.98567237163814181</v>
      </c>
      <c r="K105" s="6">
        <v>2100</v>
      </c>
      <c r="L105" s="38">
        <v>96.543027639188068</v>
      </c>
      <c r="M105" s="38">
        <v>-0.65516601441989897</v>
      </c>
      <c r="N105" s="38">
        <v>-0.9175504978662874</v>
      </c>
      <c r="O105" s="38">
        <v>-0.99317368264736683</v>
      </c>
    </row>
    <row r="106" spans="1:15">
      <c r="A106" s="6">
        <v>2500</v>
      </c>
      <c r="B106" s="7">
        <v>97.785299831871114</v>
      </c>
      <c r="C106" s="7">
        <v>0.2088822429696191</v>
      </c>
      <c r="D106" s="7">
        <v>-0.36984388120576495</v>
      </c>
      <c r="E106" s="7">
        <v>-0.95608991825613077</v>
      </c>
      <c r="K106" s="6">
        <v>2100</v>
      </c>
      <c r="L106" s="38">
        <v>98.420332620916355</v>
      </c>
      <c r="M106" s="38">
        <v>-0.42573018447459654</v>
      </c>
      <c r="N106" s="38">
        <v>-0.93305490196078433</v>
      </c>
      <c r="O106" s="38">
        <v>-0.99486748545572079</v>
      </c>
    </row>
    <row r="107" spans="1:15">
      <c r="A107" s="6">
        <v>2500</v>
      </c>
      <c r="B107" s="7">
        <v>73.4850509054003</v>
      </c>
      <c r="C107" s="7">
        <v>-4.9801129959935242E-2</v>
      </c>
      <c r="D107" s="7">
        <v>-5.7852777039596126E-2</v>
      </c>
      <c r="E107" s="7">
        <v>-0.52129577464788734</v>
      </c>
      <c r="K107" s="6">
        <v>2100</v>
      </c>
      <c r="L107" s="38">
        <v>98.648148336125146</v>
      </c>
      <c r="M107" s="38">
        <v>-0.42017312434259291</v>
      </c>
      <c r="N107" s="38">
        <v>-0.94503076923076923</v>
      </c>
      <c r="O107" s="38">
        <v>-0.99664412510566358</v>
      </c>
    </row>
    <row r="108" spans="1:15">
      <c r="A108" s="6">
        <v>2500</v>
      </c>
      <c r="B108" s="7">
        <v>72.756780590525509</v>
      </c>
      <c r="C108" s="7">
        <v>0.11975273049098556</v>
      </c>
      <c r="D108" s="7">
        <v>-9.8117291513518667E-3</v>
      </c>
      <c r="E108" s="7">
        <v>-0.48154220779220769</v>
      </c>
      <c r="K108" s="6">
        <v>2100</v>
      </c>
      <c r="L108" s="38">
        <v>99.407421980457784</v>
      </c>
      <c r="M108" s="38">
        <v>2.3309661041416541</v>
      </c>
      <c r="N108" s="38">
        <v>-0.84203141361256539</v>
      </c>
      <c r="O108" s="38">
        <v>-0.98857948334388124</v>
      </c>
    </row>
    <row r="109" spans="1:15">
      <c r="A109" s="6">
        <v>750</v>
      </c>
      <c r="B109" s="38">
        <v>71.715771281967406</v>
      </c>
      <c r="C109" s="38">
        <v>9.9122651542006279E-2</v>
      </c>
      <c r="D109" s="38">
        <v>-0.78150325758779593</v>
      </c>
      <c r="E109" s="38">
        <v>-0.7454247667877234</v>
      </c>
      <c r="K109" s="6">
        <v>2100</v>
      </c>
      <c r="L109" s="38">
        <v>98.600796047999225</v>
      </c>
      <c r="M109" s="38">
        <v>0.28472530250349393</v>
      </c>
      <c r="N109" s="38">
        <v>-0.9183475177304965</v>
      </c>
      <c r="O109" s="38">
        <v>-0.98917075831969448</v>
      </c>
    </row>
    <row r="110" spans="1:15">
      <c r="A110" s="6">
        <v>750</v>
      </c>
      <c r="B110" s="38">
        <v>75.391854539854748</v>
      </c>
      <c r="C110" s="38">
        <v>0.10176282051282048</v>
      </c>
      <c r="D110" s="38">
        <v>-0.80842911877394641</v>
      </c>
      <c r="E110" s="38">
        <v>-0.78921388275692916</v>
      </c>
      <c r="K110" s="6">
        <v>2100</v>
      </c>
      <c r="L110" s="38">
        <v>50.007506358866181</v>
      </c>
      <c r="M110" s="38">
        <v>0.22851176360538239</v>
      </c>
      <c r="N110" s="38">
        <v>-0.12043107769423544</v>
      </c>
      <c r="O110" s="38">
        <v>-0.36364537717921164</v>
      </c>
    </row>
    <row r="111" spans="1:15">
      <c r="A111" s="6">
        <v>750</v>
      </c>
      <c r="B111" s="38">
        <v>79.484441682850573</v>
      </c>
      <c r="C111" s="38">
        <v>7.537102343692581E-2</v>
      </c>
      <c r="D111" s="38">
        <v>-0.84685307775911478</v>
      </c>
      <c r="E111" s="38">
        <v>-0.83388362840534613</v>
      </c>
      <c r="K111" s="6">
        <v>2400</v>
      </c>
      <c r="L111" s="38">
        <v>94.287767070479489</v>
      </c>
      <c r="M111" s="38">
        <v>-0.79303503010399556</v>
      </c>
      <c r="N111" s="38">
        <v>-0.96461129041390636</v>
      </c>
      <c r="O111" s="38">
        <v>-0.99252384214704381</v>
      </c>
    </row>
    <row r="112" spans="1:15">
      <c r="A112" s="6">
        <v>750</v>
      </c>
      <c r="B112" s="38">
        <v>82.068331923127076</v>
      </c>
      <c r="C112" s="38">
        <v>-5.8977455716585969E-2</v>
      </c>
      <c r="D112" s="38">
        <v>-0.88547392970181571</v>
      </c>
      <c r="E112" s="38">
        <v>-0.87462808330933872</v>
      </c>
      <c r="K112" s="6">
        <v>2400</v>
      </c>
      <c r="L112" s="38">
        <v>97.270627240673122</v>
      </c>
      <c r="M112" s="38">
        <v>-0.833081660448866</v>
      </c>
      <c r="N112" s="38">
        <v>-0.97013617902365212</v>
      </c>
      <c r="O112" s="38">
        <v>-0.99719600915630469</v>
      </c>
    </row>
    <row r="113" spans="1:15">
      <c r="A113" s="6">
        <v>750</v>
      </c>
      <c r="B113" s="38">
        <v>77.448821774889865</v>
      </c>
      <c r="C113" s="38">
        <v>-8.3162600111752583E-2</v>
      </c>
      <c r="D113" s="38">
        <v>-0.70568589797111136</v>
      </c>
      <c r="E113" s="38">
        <v>-0.84125202443756719</v>
      </c>
      <c r="K113" s="6">
        <v>2400</v>
      </c>
      <c r="L113" s="38">
        <v>98.705191931470154</v>
      </c>
      <c r="M113" s="38">
        <v>-0.79843629859927123</v>
      </c>
      <c r="N113" s="38">
        <v>-0.97358719597176635</v>
      </c>
      <c r="O113" s="38">
        <v>-0.99841704297872214</v>
      </c>
    </row>
    <row r="114" spans="1:15">
      <c r="A114" s="6">
        <v>900</v>
      </c>
      <c r="B114" s="38">
        <v>78.768535759323171</v>
      </c>
      <c r="C114" s="38">
        <v>0.52505446623093732</v>
      </c>
      <c r="D114" s="38">
        <v>-0.81865965834428378</v>
      </c>
      <c r="E114" s="38">
        <v>-0.81690962099125364</v>
      </c>
      <c r="K114" s="6">
        <v>2400</v>
      </c>
      <c r="L114" s="38">
        <v>99.040803194343937</v>
      </c>
      <c r="M114" s="38">
        <v>-0.77238581730769229</v>
      </c>
      <c r="N114" s="38">
        <v>-0.97306034482758619</v>
      </c>
      <c r="O114" s="38">
        <v>-0.99870653973509937</v>
      </c>
    </row>
    <row r="115" spans="1:15">
      <c r="A115" s="6">
        <v>900</v>
      </c>
      <c r="B115" s="38">
        <v>81.748050748674189</v>
      </c>
      <c r="C115" s="38">
        <v>0.51566300738202564</v>
      </c>
      <c r="D115" s="38">
        <v>-0.8647665947973413</v>
      </c>
      <c r="E115" s="38">
        <v>-0.84998160151716717</v>
      </c>
      <c r="K115" s="6">
        <v>2400</v>
      </c>
      <c r="L115" s="38">
        <v>99.573017405436019</v>
      </c>
      <c r="M115" s="38">
        <v>-0.115141683906965</v>
      </c>
      <c r="N115" s="38">
        <v>-0.94098305370542112</v>
      </c>
      <c r="O115" s="38">
        <v>-0.99777360384721259</v>
      </c>
    </row>
    <row r="116" spans="1:15">
      <c r="A116" s="6">
        <v>900</v>
      </c>
      <c r="B116" s="38">
        <v>81.32497070815397</v>
      </c>
      <c r="C116" s="38">
        <v>0.39309240035883652</v>
      </c>
      <c r="D116" s="38">
        <v>-0.91150962356033083</v>
      </c>
      <c r="E116" s="38">
        <v>-0.85093465957811698</v>
      </c>
      <c r="K116" s="6">
        <v>2400</v>
      </c>
      <c r="L116" s="38">
        <v>99.746050902575391</v>
      </c>
      <c r="M116" s="38">
        <v>0.26511400276370312</v>
      </c>
      <c r="N116" s="38">
        <v>-0.94063596944042949</v>
      </c>
      <c r="O116" s="38">
        <v>-0.99818244306089809</v>
      </c>
    </row>
    <row r="117" spans="1:15">
      <c r="A117" s="6">
        <v>900</v>
      </c>
      <c r="B117" s="38">
        <v>80.650199706332529</v>
      </c>
      <c r="C117" s="38">
        <v>0.21794604366569303</v>
      </c>
      <c r="D117" s="38">
        <v>-0.91664802751139318</v>
      </c>
      <c r="E117" s="38">
        <v>-0.85863159853607096</v>
      </c>
      <c r="K117" s="6">
        <v>2400</v>
      </c>
      <c r="L117" s="38">
        <v>68.213499240569604</v>
      </c>
      <c r="M117" s="38">
        <v>0.16228305121062814</v>
      </c>
      <c r="N117" s="38">
        <v>-0.53174526942656808</v>
      </c>
      <c r="O117" s="38">
        <v>-0.6634937617984713</v>
      </c>
    </row>
    <row r="118" spans="1:15">
      <c r="A118" s="6">
        <v>900</v>
      </c>
      <c r="B118" s="38">
        <v>79.697325087774601</v>
      </c>
      <c r="C118" s="38">
        <v>8.7303527673191716E-2</v>
      </c>
      <c r="D118" s="38">
        <v>-0.8989189313182222</v>
      </c>
      <c r="E118" s="38">
        <v>-0.86436241757123222</v>
      </c>
      <c r="K118" s="6">
        <v>2400</v>
      </c>
      <c r="L118" s="38">
        <v>48.310541571081949</v>
      </c>
      <c r="M118" s="38">
        <v>-0.20649060294836863</v>
      </c>
      <c r="N118" s="38">
        <v>-0.401014751479846</v>
      </c>
      <c r="O118" s="38">
        <v>-0.47977756524772797</v>
      </c>
    </row>
    <row r="119" spans="1:15">
      <c r="A119" s="6">
        <v>900</v>
      </c>
      <c r="B119" s="38">
        <v>41.812519125681021</v>
      </c>
      <c r="C119" s="38">
        <v>-7.9043500582508863E-2</v>
      </c>
      <c r="D119" s="38">
        <v>4.910854298089351E-3</v>
      </c>
      <c r="E119" s="38">
        <v>-0.41927016814494455</v>
      </c>
      <c r="K119" s="6">
        <v>2500</v>
      </c>
      <c r="L119" s="38">
        <v>47.065734216771133</v>
      </c>
      <c r="M119" s="38">
        <v>-0.59411104509143731</v>
      </c>
      <c r="N119" s="38">
        <v>-0.72141918528252302</v>
      </c>
      <c r="O119" s="38">
        <v>-0.81270430250022085</v>
      </c>
    </row>
    <row r="120" spans="1:15">
      <c r="A120" s="6">
        <v>1000</v>
      </c>
      <c r="B120" s="38">
        <v>67.513737761041298</v>
      </c>
      <c r="C120" s="38">
        <v>0.32555118110236259</v>
      </c>
      <c r="D120" s="38">
        <v>-0.89639370078740155</v>
      </c>
      <c r="E120" s="38">
        <v>-0.71376899696048635</v>
      </c>
      <c r="K120" s="6">
        <v>2500</v>
      </c>
      <c r="L120" s="38">
        <v>83.495284004668306</v>
      </c>
      <c r="M120" s="38">
        <v>-0.7238798901202993</v>
      </c>
      <c r="N120" s="38">
        <v>-0.96669142432725819</v>
      </c>
      <c r="O120" s="38">
        <v>-0.97760594921198296</v>
      </c>
    </row>
    <row r="121" spans="1:15">
      <c r="A121" s="6">
        <v>1000</v>
      </c>
      <c r="B121" s="38">
        <v>70.559052257195177</v>
      </c>
      <c r="C121" s="38">
        <v>0.30747086614173269</v>
      </c>
      <c r="D121" s="38">
        <v>-0.9219905511811024</v>
      </c>
      <c r="E121" s="38">
        <v>-0.7563768996960486</v>
      </c>
      <c r="K121" s="6">
        <v>2500</v>
      </c>
      <c r="L121" s="38">
        <v>96.46391198069891</v>
      </c>
      <c r="M121" s="38">
        <v>-0.71400539612460134</v>
      </c>
      <c r="N121" s="38">
        <v>-0.97278763564845838</v>
      </c>
      <c r="O121" s="38">
        <v>-0.99693008707740427</v>
      </c>
    </row>
    <row r="122" spans="1:15">
      <c r="A122" s="6">
        <v>1000</v>
      </c>
      <c r="B122" s="38">
        <v>77.227327019019867</v>
      </c>
      <c r="C122" s="38">
        <v>0.44422202506376918</v>
      </c>
      <c r="D122" s="38">
        <v>-0.92989907951646888</v>
      </c>
      <c r="E122" s="38">
        <v>-0.82051885782781797</v>
      </c>
      <c r="K122" s="6">
        <v>2500</v>
      </c>
      <c r="L122" s="38">
        <v>97.944641377200895</v>
      </c>
      <c r="M122" s="38">
        <v>0.52466664385358586</v>
      </c>
      <c r="N122" s="38">
        <v>-0.95514994736878311</v>
      </c>
      <c r="O122" s="38">
        <v>-0.98624700441133817</v>
      </c>
    </row>
    <row r="123" spans="1:15">
      <c r="A123" s="6">
        <v>1000</v>
      </c>
      <c r="B123" s="38">
        <v>79.076160950343663</v>
      </c>
      <c r="C123" s="38">
        <v>0.30065296715959322</v>
      </c>
      <c r="D123" s="38">
        <v>-0.93001248319569807</v>
      </c>
      <c r="E123" s="38">
        <v>-0.86292534657869369</v>
      </c>
      <c r="K123" s="6">
        <v>2500</v>
      </c>
      <c r="L123" s="38">
        <v>99.592581680410575</v>
      </c>
      <c r="M123" s="38">
        <v>0.94834670858498127</v>
      </c>
      <c r="N123" s="38">
        <v>-0.97090769972887103</v>
      </c>
      <c r="O123" s="38">
        <v>-0.9970660958777724</v>
      </c>
    </row>
    <row r="124" spans="1:15">
      <c r="A124" s="6">
        <v>1000</v>
      </c>
      <c r="B124" s="38">
        <v>79.828676379376006</v>
      </c>
      <c r="C124" s="38">
        <v>7.7354804333669147E-2</v>
      </c>
      <c r="D124" s="38">
        <v>-0.92668284885441954</v>
      </c>
      <c r="E124" s="38">
        <v>-0.89648894272154545</v>
      </c>
      <c r="K124" s="6">
        <v>2500</v>
      </c>
      <c r="L124" s="38">
        <v>97.400922801470017</v>
      </c>
      <c r="M124" s="38">
        <v>0.98960951902128413</v>
      </c>
      <c r="N124" s="38">
        <v>-0.96785605984029111</v>
      </c>
      <c r="O124" s="38">
        <v>-0.9752373476863273</v>
      </c>
    </row>
    <row r="125" spans="1:15">
      <c r="A125" s="6">
        <v>1000</v>
      </c>
      <c r="B125" s="38">
        <v>84.843969567925924</v>
      </c>
      <c r="C125" s="38">
        <v>0.95007812739360964</v>
      </c>
      <c r="D125" s="38">
        <v>-0.87036367535770087</v>
      </c>
      <c r="E125" s="38">
        <v>-0.85251853866805438</v>
      </c>
      <c r="K125" s="6">
        <v>2500</v>
      </c>
      <c r="L125" s="38">
        <v>99.49309060883013</v>
      </c>
      <c r="M125" s="38">
        <v>1.4998489257828029</v>
      </c>
      <c r="N125" s="38">
        <v>-0.96339814113201028</v>
      </c>
      <c r="O125" s="38">
        <v>-0.99661637334808795</v>
      </c>
    </row>
    <row r="126" spans="1:15">
      <c r="A126" s="6">
        <v>1000</v>
      </c>
      <c r="B126" s="38">
        <v>85.71397076534663</v>
      </c>
      <c r="C126" s="38">
        <v>0.99005354330708717</v>
      </c>
      <c r="D126" s="38">
        <v>-0.83748031496062991</v>
      </c>
      <c r="E126" s="38">
        <v>-0.85989057750759867</v>
      </c>
      <c r="K126" s="6">
        <v>2500</v>
      </c>
      <c r="L126" s="38">
        <v>99.637643905280683</v>
      </c>
      <c r="M126" s="38">
        <v>0.85081738530744055</v>
      </c>
      <c r="N126" s="38">
        <v>-0.9654279204757088</v>
      </c>
      <c r="O126" s="38">
        <v>-0.99666505862365506</v>
      </c>
    </row>
    <row r="127" spans="1:15">
      <c r="A127" s="6">
        <v>1000</v>
      </c>
      <c r="B127" s="38">
        <v>93.134363834138568</v>
      </c>
      <c r="C127" s="38">
        <v>-0.14985446858053209</v>
      </c>
      <c r="D127" s="38">
        <v>-0.95257207635037833</v>
      </c>
      <c r="E127" s="38">
        <v>-0.97304649154967893</v>
      </c>
      <c r="K127" s="6">
        <v>2500</v>
      </c>
      <c r="L127" s="38">
        <v>98.625909720660019</v>
      </c>
      <c r="M127" s="38">
        <v>0.11128107665446008</v>
      </c>
      <c r="N127" s="38">
        <v>-0.95702742751698489</v>
      </c>
      <c r="O127" s="38">
        <v>-0.99232884643218988</v>
      </c>
    </row>
    <row r="128" spans="1:15">
      <c r="A128" s="6">
        <v>1000</v>
      </c>
      <c r="B128" s="38">
        <v>96.173409066217459</v>
      </c>
      <c r="C128" s="38">
        <v>0.26292222610554883</v>
      </c>
      <c r="D128" s="38">
        <v>-0.96287082913591415</v>
      </c>
      <c r="E128" s="38">
        <v>-0.97747744172942774</v>
      </c>
      <c r="K128" s="6">
        <v>2500</v>
      </c>
      <c r="L128" s="38">
        <v>48.310541571081949</v>
      </c>
      <c r="M128" s="38">
        <v>-0.32714704537507733</v>
      </c>
      <c r="N128" s="38">
        <v>-0.62413699601610251</v>
      </c>
      <c r="O128" s="38">
        <v>-0.65716959497328786</v>
      </c>
    </row>
    <row r="129" spans="1:5">
      <c r="A129" s="6">
        <v>1000</v>
      </c>
      <c r="B129" s="38">
        <v>95.417883309680192</v>
      </c>
      <c r="C129" s="38">
        <v>0.93310653241515595</v>
      </c>
      <c r="D129" s="38">
        <v>-0.95823753738099815</v>
      </c>
      <c r="E129" s="38">
        <v>-0.95719263315082126</v>
      </c>
    </row>
    <row r="130" spans="1:5">
      <c r="A130" s="6">
        <v>1000</v>
      </c>
      <c r="B130" s="38">
        <v>50.180540275821294</v>
      </c>
      <c r="C130" s="38">
        <v>-8.5826771653543243E-2</v>
      </c>
      <c r="D130" s="38">
        <v>-0.76831271091113607</v>
      </c>
      <c r="E130" s="38">
        <v>-0.58860906064553475</v>
      </c>
    </row>
    <row r="131" spans="1:5">
      <c r="A131" s="6">
        <v>1000</v>
      </c>
      <c r="B131" s="38">
        <v>39.383963961222705</v>
      </c>
      <c r="C131" s="38">
        <v>-0.10157901385321499</v>
      </c>
      <c r="D131" s="38">
        <v>-0.75339593246031411</v>
      </c>
      <c r="E131" s="38">
        <v>-0.40870893812070275</v>
      </c>
    </row>
    <row r="132" spans="1:5">
      <c r="A132" s="6">
        <v>1100</v>
      </c>
      <c r="B132" s="38">
        <v>71.69010965860025</v>
      </c>
      <c r="C132" s="38">
        <v>0.25860566448801747</v>
      </c>
      <c r="D132" s="38">
        <v>-0.85184565762752362</v>
      </c>
      <c r="E132" s="38">
        <v>-0.7654121388815267</v>
      </c>
    </row>
    <row r="133" spans="1:5">
      <c r="A133" s="6">
        <v>1100</v>
      </c>
      <c r="B133" s="38">
        <v>73.598510882084469</v>
      </c>
      <c r="C133" s="38">
        <v>0.27560770589950789</v>
      </c>
      <c r="D133" s="38">
        <v>-0.86180636750235395</v>
      </c>
      <c r="E133" s="38">
        <v>-0.78464681710704531</v>
      </c>
    </row>
    <row r="134" spans="1:5">
      <c r="A134" s="6">
        <v>1100</v>
      </c>
      <c r="B134" s="38">
        <v>80.96029124936851</v>
      </c>
      <c r="C134" s="38">
        <v>0.86726346396751586</v>
      </c>
      <c r="D134" s="38">
        <v>-0.86016760662041036</v>
      </c>
      <c r="E134" s="38">
        <v>-0.79678052432757429</v>
      </c>
    </row>
    <row r="135" spans="1:5">
      <c r="A135" s="6">
        <v>1100</v>
      </c>
      <c r="B135" s="38">
        <v>84.058174570591845</v>
      </c>
      <c r="C135" s="38">
        <v>0.84155132641291841</v>
      </c>
      <c r="D135" s="38">
        <v>-0.88016928190461463</v>
      </c>
      <c r="E135" s="38">
        <v>-0.83639169953695758</v>
      </c>
    </row>
    <row r="136" spans="1:5">
      <c r="A136" s="6">
        <v>1100</v>
      </c>
      <c r="B136" s="38">
        <v>84.209139628988311</v>
      </c>
      <c r="C136" s="38">
        <v>0.82037385931043039</v>
      </c>
      <c r="D136" s="38">
        <v>-0.87359767303744373</v>
      </c>
      <c r="E136" s="38">
        <v>-0.83943226502599011</v>
      </c>
    </row>
    <row r="137" spans="1:5">
      <c r="A137" s="6">
        <v>1100</v>
      </c>
      <c r="B137" s="38">
        <v>85.393547723110075</v>
      </c>
      <c r="C137" s="38">
        <v>2.3376176044595374</v>
      </c>
      <c r="D137" s="38">
        <v>-0.82024534022419782</v>
      </c>
      <c r="E137" s="38">
        <v>-0.75656791048422556</v>
      </c>
    </row>
    <row r="138" spans="1:5">
      <c r="A138" s="6">
        <v>1100</v>
      </c>
      <c r="B138" s="38">
        <v>90.004436843497444</v>
      </c>
      <c r="C138" s="38">
        <v>0.33241774909682587</v>
      </c>
      <c r="D138" s="38">
        <v>-0.90267303182022318</v>
      </c>
      <c r="E138" s="38">
        <v>-0.9311510499317267</v>
      </c>
    </row>
    <row r="139" spans="1:5">
      <c r="A139" s="6">
        <v>1100</v>
      </c>
      <c r="B139" s="38">
        <v>91.975732394179005</v>
      </c>
      <c r="C139" s="38">
        <v>0.26152715436911067</v>
      </c>
      <c r="D139" s="38">
        <v>-0.90031505786615584</v>
      </c>
      <c r="E139" s="38">
        <v>-0.95010713407566127</v>
      </c>
    </row>
    <row r="140" spans="1:5">
      <c r="A140" s="6">
        <v>1100</v>
      </c>
      <c r="B140" s="38">
        <v>98.042265144351319</v>
      </c>
      <c r="C140" s="38">
        <v>0.44191894557712574</v>
      </c>
      <c r="D140" s="38">
        <v>-0.91476258654166753</v>
      </c>
      <c r="E140" s="38">
        <v>-0.98693123304759001</v>
      </c>
    </row>
    <row r="141" spans="1:5">
      <c r="A141" s="6">
        <v>1100</v>
      </c>
      <c r="B141" s="38">
        <v>43.612914656108273</v>
      </c>
      <c r="C141" s="38">
        <v>-4.8020838327180848E-2</v>
      </c>
      <c r="D141" s="38">
        <v>-0.52900089638842207</v>
      </c>
      <c r="E141" s="38">
        <v>-0.45370561776928708</v>
      </c>
    </row>
    <row r="142" spans="1:5">
      <c r="A142" s="6">
        <v>1100</v>
      </c>
      <c r="B142" s="38">
        <v>41.034796014750754</v>
      </c>
      <c r="C142" s="38">
        <v>1.5529858667113539E-2</v>
      </c>
      <c r="D142" s="38">
        <v>-0.51784089760436669</v>
      </c>
      <c r="E142" s="38">
        <v>-0.36211407639979065</v>
      </c>
    </row>
    <row r="143" spans="1:5">
      <c r="A143" s="6">
        <v>1200</v>
      </c>
      <c r="B143" s="38">
        <v>61.123687909696343</v>
      </c>
      <c r="C143" s="38">
        <v>0.29866541992519546</v>
      </c>
      <c r="D143" s="38">
        <v>-0.73908280413619887</v>
      </c>
      <c r="E143" s="38">
        <v>-0.59426716287908787</v>
      </c>
    </row>
    <row r="144" spans="1:5">
      <c r="A144" s="6">
        <v>1200</v>
      </c>
      <c r="B144" s="38">
        <v>54.327135782218669</v>
      </c>
      <c r="C144" s="38">
        <v>0.49963857107324938</v>
      </c>
      <c r="D144" s="38">
        <v>-0.76296269753108537</v>
      </c>
      <c r="E144" s="38">
        <v>-0.37615482637782727</v>
      </c>
    </row>
    <row r="145" spans="1:5">
      <c r="A145" s="6">
        <v>1200</v>
      </c>
      <c r="B145" s="38">
        <v>76.253118773655416</v>
      </c>
      <c r="C145" s="38">
        <v>0.34354968658143581</v>
      </c>
      <c r="D145" s="38">
        <v>-0.8441055520974704</v>
      </c>
      <c r="E145" s="38">
        <v>-0.79329583597931597</v>
      </c>
    </row>
    <row r="146" spans="1:5">
      <c r="A146" s="6">
        <v>1200</v>
      </c>
      <c r="B146" s="38">
        <v>80.325823144132627</v>
      </c>
      <c r="C146" s="38">
        <v>0.77729500891265557</v>
      </c>
      <c r="D146" s="38">
        <v>-0.81484334874165387</v>
      </c>
      <c r="E146" s="38">
        <v>-0.78477929984779315</v>
      </c>
    </row>
    <row r="147" spans="1:5">
      <c r="A147" s="6">
        <v>1200</v>
      </c>
      <c r="B147" s="38">
        <v>82.496786397317976</v>
      </c>
      <c r="C147" s="38">
        <v>1.5020241771484519</v>
      </c>
      <c r="D147" s="38">
        <v>-0.81542568198094567</v>
      </c>
      <c r="E147" s="38">
        <v>-0.7433918579972989</v>
      </c>
    </row>
    <row r="148" spans="1:5">
      <c r="A148" s="6">
        <v>1200</v>
      </c>
      <c r="B148" s="38">
        <v>86.370383986278981</v>
      </c>
      <c r="C148" s="38">
        <v>0.27174676236542372</v>
      </c>
      <c r="D148" s="38">
        <v>-0.84937038414536958</v>
      </c>
      <c r="E148" s="38">
        <v>-0.89927691580974534</v>
      </c>
    </row>
    <row r="149" spans="1:5">
      <c r="A149" s="6">
        <v>1200</v>
      </c>
      <c r="B149" s="38">
        <v>93.07440769137682</v>
      </c>
      <c r="C149" s="38">
        <v>0.33196550574904182</v>
      </c>
      <c r="D149" s="38">
        <v>-0.84875402122245158</v>
      </c>
      <c r="E149" s="38">
        <v>-0.9502891070666305</v>
      </c>
    </row>
    <row r="150" spans="1:5">
      <c r="A150" s="6">
        <v>1200</v>
      </c>
      <c r="B150" s="38">
        <v>95.777995234952556</v>
      </c>
      <c r="C150" s="38">
        <v>0.85470196947958788</v>
      </c>
      <c r="D150" s="38">
        <v>-0.83764891578037504</v>
      </c>
      <c r="E150" s="38">
        <v>-0.95890410958904115</v>
      </c>
    </row>
    <row r="151" spans="1:5">
      <c r="A151" s="6">
        <v>1200</v>
      </c>
      <c r="B151" s="38">
        <v>60.149498944621996</v>
      </c>
      <c r="C151" s="38">
        <v>-1.0678391959799138E-2</v>
      </c>
      <c r="D151" s="38">
        <v>-7.8055919040503241E-2</v>
      </c>
      <c r="E151" s="38">
        <v>-0.67257520479107868</v>
      </c>
    </row>
    <row r="152" spans="1:5">
      <c r="A152" s="6">
        <v>1200</v>
      </c>
      <c r="B152" s="38">
        <v>39.740268250876717</v>
      </c>
      <c r="C152" s="38">
        <v>6.1229946524063994E-2</v>
      </c>
      <c r="D152" s="38">
        <v>8.2730828493540409E-2</v>
      </c>
      <c r="E152" s="38">
        <v>-0.27329820864067433</v>
      </c>
    </row>
    <row r="153" spans="1:5">
      <c r="A153" s="6">
        <v>1300</v>
      </c>
      <c r="B153" s="38">
        <v>76.709068666363464</v>
      </c>
      <c r="C153" s="38">
        <v>1.3977300992160435E-2</v>
      </c>
      <c r="D153" s="38">
        <v>-0.82597260273972606</v>
      </c>
      <c r="E153" s="38">
        <v>-0.8207135330423001</v>
      </c>
    </row>
    <row r="154" spans="1:5">
      <c r="A154" s="6">
        <v>1300</v>
      </c>
      <c r="B154" s="38">
        <v>79.648309316259841</v>
      </c>
      <c r="C154" s="38">
        <v>-3.1155757833232434E-2</v>
      </c>
      <c r="D154" s="38">
        <v>-0.84479886685552408</v>
      </c>
      <c r="E154" s="38">
        <v>-0.85663854559038688</v>
      </c>
    </row>
    <row r="155" spans="1:5">
      <c r="A155" s="6">
        <v>1300</v>
      </c>
      <c r="B155" s="38">
        <v>89.592149479476532</v>
      </c>
      <c r="C155" s="38">
        <v>1.2267805698880849</v>
      </c>
      <c r="D155" s="38">
        <v>-0.86477729257641922</v>
      </c>
      <c r="E155" s="38">
        <v>-0.85140361821584531</v>
      </c>
    </row>
    <row r="156" spans="1:5">
      <c r="A156" s="6">
        <v>1300</v>
      </c>
      <c r="B156" s="38">
        <v>88.516615674477237</v>
      </c>
      <c r="C156" s="38">
        <v>2.0020796175550433</v>
      </c>
      <c r="D156" s="38">
        <v>-0.8532826086956522</v>
      </c>
      <c r="E156" s="38">
        <v>-0.78898112756808403</v>
      </c>
    </row>
    <row r="157" spans="1:5">
      <c r="A157" s="6">
        <v>1300</v>
      </c>
      <c r="B157" s="38">
        <v>92.049775183985005</v>
      </c>
      <c r="C157" s="38">
        <v>4.1260255548083418</v>
      </c>
      <c r="D157" s="38">
        <v>-0.87931199999999998</v>
      </c>
      <c r="E157" s="38">
        <v>-0.75569230769230766</v>
      </c>
    </row>
    <row r="158" spans="1:5">
      <c r="A158" s="6">
        <v>1300</v>
      </c>
      <c r="B158" s="38">
        <v>96.711374904488622</v>
      </c>
      <c r="C158" s="38">
        <v>1.0389264032574554</v>
      </c>
      <c r="D158" s="38">
        <v>-0.85860273972602741</v>
      </c>
      <c r="E158" s="38">
        <v>-0.96115459882583165</v>
      </c>
    </row>
    <row r="159" spans="1:5">
      <c r="A159" s="6">
        <v>1300</v>
      </c>
      <c r="B159" s="38">
        <v>98.726812001537695</v>
      </c>
      <c r="C159" s="38">
        <v>1.4071585778041733</v>
      </c>
      <c r="D159" s="38">
        <v>-0.89430519480519477</v>
      </c>
      <c r="E159" s="38">
        <v>-0.98158627087198513</v>
      </c>
    </row>
    <row r="160" spans="1:5">
      <c r="A160" s="6">
        <v>1300</v>
      </c>
      <c r="B160" s="38">
        <v>50.439875824471315</v>
      </c>
      <c r="C160" s="38">
        <v>0.26191028320982213</v>
      </c>
      <c r="D160" s="38">
        <v>-4.9546798029556638E-2</v>
      </c>
      <c r="E160" s="38">
        <v>-0.29725004059979421</v>
      </c>
    </row>
    <row r="161" spans="1:10">
      <c r="A161" s="6">
        <v>1300</v>
      </c>
      <c r="B161" s="38">
        <v>46.846795157118869</v>
      </c>
      <c r="C161" s="38">
        <v>0.14411217977185986</v>
      </c>
      <c r="D161" s="38">
        <v>-7.1169811320754839E-2</v>
      </c>
      <c r="E161" s="38">
        <v>-0.2653483309143686</v>
      </c>
    </row>
    <row r="162" spans="1:10">
      <c r="A162" s="6">
        <v>1500</v>
      </c>
      <c r="B162" s="38">
        <v>90.068784316748363</v>
      </c>
      <c r="C162" s="38">
        <v>-0.76450949706956328</v>
      </c>
      <c r="D162" s="38">
        <v>-0.96645259203050105</v>
      </c>
      <c r="E162" s="38">
        <v>-0.98781258982466225</v>
      </c>
      <c r="F162" s="3"/>
      <c r="G162" s="3"/>
      <c r="H162" s="3"/>
      <c r="I162" s="3"/>
      <c r="J162" s="3"/>
    </row>
    <row r="163" spans="1:10">
      <c r="A163" s="6">
        <v>1500</v>
      </c>
      <c r="B163" s="38">
        <v>97.379045859532368</v>
      </c>
      <c r="C163" s="38">
        <v>-0.22722526991713876</v>
      </c>
      <c r="D163" s="38">
        <v>-0.96180124562738201</v>
      </c>
      <c r="E163" s="38">
        <v>-0.99058333266032972</v>
      </c>
      <c r="F163" s="3"/>
      <c r="G163" s="3"/>
      <c r="H163" s="3"/>
      <c r="I163" s="3"/>
      <c r="J163" s="3"/>
    </row>
    <row r="164" spans="1:10">
      <c r="A164" s="6">
        <v>1500</v>
      </c>
      <c r="B164" s="38">
        <v>98.795089803495173</v>
      </c>
      <c r="C164" s="38">
        <v>8.3230872106818676E-2</v>
      </c>
      <c r="D164" s="38">
        <v>-0.95448927284318441</v>
      </c>
      <c r="E164" s="38">
        <v>-0.99464538290563753</v>
      </c>
      <c r="F164" s="3"/>
      <c r="G164" s="3"/>
      <c r="H164" s="3"/>
      <c r="I164" s="3"/>
      <c r="J164" s="3"/>
    </row>
    <row r="165" spans="1:10">
      <c r="A165" s="6">
        <v>1500</v>
      </c>
      <c r="B165" s="38">
        <v>99.294850463558149</v>
      </c>
      <c r="C165" s="38">
        <v>0.39292064207547672</v>
      </c>
      <c r="D165" s="38">
        <v>-0.94596492817979971</v>
      </c>
      <c r="E165" s="38">
        <v>-0.99555980027478974</v>
      </c>
      <c r="F165" s="3"/>
      <c r="G165" s="3"/>
      <c r="H165" s="3"/>
      <c r="I165" s="3"/>
      <c r="J165" s="3"/>
    </row>
    <row r="166" spans="1:10">
      <c r="A166" s="6">
        <v>1500</v>
      </c>
      <c r="B166" s="38">
        <v>99.017634444876251</v>
      </c>
      <c r="C166" s="38">
        <v>0.10342879185478604</v>
      </c>
      <c r="D166" s="38">
        <v>-0.96040123082569528</v>
      </c>
      <c r="E166" s="38">
        <v>-0.99537599150811018</v>
      </c>
      <c r="F166" s="3"/>
      <c r="G166" s="3"/>
      <c r="H166" s="3"/>
      <c r="I166" s="3"/>
      <c r="J166" s="3"/>
    </row>
    <row r="167" spans="1:10">
      <c r="A167" s="6">
        <v>1500</v>
      </c>
      <c r="B167" s="38">
        <v>99.303731262784865</v>
      </c>
      <c r="C167" s="38">
        <v>0.25436459957828883</v>
      </c>
      <c r="D167" s="38">
        <v>-0.94062419632697203</v>
      </c>
      <c r="E167" s="38">
        <v>-0.99585740079256524</v>
      </c>
      <c r="F167" s="3"/>
      <c r="G167" s="3"/>
      <c r="H167" s="3"/>
      <c r="I167" s="3"/>
      <c r="J167" s="3"/>
    </row>
    <row r="168" spans="1:10">
      <c r="A168" s="6">
        <v>1500</v>
      </c>
      <c r="B168" s="38">
        <v>95.964378133942489</v>
      </c>
      <c r="C168" s="38">
        <v>0.45429423231280852</v>
      </c>
      <c r="D168" s="38">
        <v>-0.87903727782004282</v>
      </c>
      <c r="E168" s="38">
        <v>-0.96990946754641705</v>
      </c>
      <c r="F168" s="3"/>
      <c r="G168" s="3"/>
      <c r="H168" s="3"/>
      <c r="I168" s="3"/>
      <c r="J168" s="3"/>
    </row>
    <row r="169" spans="1:10">
      <c r="A169" s="6">
        <v>1500</v>
      </c>
      <c r="B169" s="38">
        <v>45.655605383374095</v>
      </c>
      <c r="C169" s="38">
        <v>-0.17564325308182338</v>
      </c>
      <c r="D169" s="38">
        <v>-0.52041783795472307</v>
      </c>
      <c r="E169" s="38">
        <v>-0.52601148958679322</v>
      </c>
      <c r="F169" s="3"/>
      <c r="G169" s="3"/>
      <c r="H169" s="3"/>
      <c r="I169" s="3"/>
      <c r="J169" s="3"/>
    </row>
    <row r="170" spans="1:10">
      <c r="A170" s="6">
        <v>1800</v>
      </c>
      <c r="B170" s="38">
        <v>89.474075746978741</v>
      </c>
      <c r="C170" s="38">
        <v>-0.59030623067218913</v>
      </c>
      <c r="D170" s="38">
        <v>-0.93717651373077582</v>
      </c>
      <c r="E170" s="38">
        <v>-0.97717848256927964</v>
      </c>
      <c r="F170" s="3"/>
      <c r="G170" s="3"/>
      <c r="H170" s="3"/>
      <c r="I170" s="3"/>
      <c r="J170" s="3"/>
    </row>
    <row r="171" spans="1:10">
      <c r="A171" s="6">
        <v>1800</v>
      </c>
      <c r="B171" s="38">
        <v>97.330480500603528</v>
      </c>
      <c r="C171" s="38">
        <v>3.2757568569949971</v>
      </c>
      <c r="D171" s="38">
        <v>-0.9099731596997862</v>
      </c>
      <c r="E171" s="38">
        <v>-0.97680070702607158</v>
      </c>
      <c r="F171" s="3"/>
      <c r="G171" s="3"/>
      <c r="H171" s="3"/>
      <c r="I171" s="3"/>
      <c r="J171" s="3"/>
    </row>
    <row r="172" spans="1:10">
      <c r="A172" s="6">
        <v>1800</v>
      </c>
      <c r="B172" s="38">
        <v>97.58341009746195</v>
      </c>
      <c r="C172" s="38">
        <v>4.1925624294755437</v>
      </c>
      <c r="D172" s="38">
        <v>-0.90203700824133104</v>
      </c>
      <c r="E172" s="38">
        <v>-0.98152570064094513</v>
      </c>
      <c r="F172" s="3"/>
      <c r="G172" s="3"/>
      <c r="H172" s="3"/>
      <c r="I172" s="3"/>
      <c r="J172" s="3"/>
    </row>
    <row r="173" spans="1:10">
      <c r="A173" s="6">
        <v>1800</v>
      </c>
      <c r="B173" s="38">
        <v>98.580523063453441</v>
      </c>
      <c r="C173" s="38">
        <v>1.4204449043603455</v>
      </c>
      <c r="D173" s="38">
        <v>-0.92299543676662321</v>
      </c>
      <c r="E173" s="38">
        <v>-0.99170179135932557</v>
      </c>
      <c r="F173" s="3"/>
      <c r="G173" s="3"/>
      <c r="H173" s="3"/>
      <c r="I173" s="3"/>
      <c r="J173" s="3"/>
    </row>
    <row r="174" spans="1:10">
      <c r="A174" s="6">
        <v>1800</v>
      </c>
      <c r="B174" s="38">
        <v>98.913435668939456</v>
      </c>
      <c r="C174" s="38">
        <v>0.2539408572112698</v>
      </c>
      <c r="D174" s="38">
        <v>-0.93769979072281118</v>
      </c>
      <c r="E174" s="38">
        <v>-0.99570639950930284</v>
      </c>
      <c r="F174" s="3"/>
      <c r="G174" s="3"/>
      <c r="H174" s="3"/>
      <c r="I174" s="3"/>
      <c r="J174" s="3"/>
    </row>
    <row r="175" spans="1:10">
      <c r="A175" s="6">
        <v>1800</v>
      </c>
      <c r="B175" s="38">
        <v>99.420384651025515</v>
      </c>
      <c r="C175" s="38">
        <v>0.35759816231866925</v>
      </c>
      <c r="D175" s="38">
        <v>-0.94502804995360479</v>
      </c>
      <c r="E175" s="38">
        <v>-0.9968213123439037</v>
      </c>
      <c r="F175" s="3"/>
      <c r="G175" s="3"/>
      <c r="H175" s="3"/>
      <c r="I175" s="3"/>
      <c r="J175" s="3"/>
    </row>
    <row r="176" spans="1:10">
      <c r="A176" s="6">
        <v>1800</v>
      </c>
      <c r="B176" s="38">
        <v>98.398958138191034</v>
      </c>
      <c r="C176" s="38">
        <v>5.147481892642003E-2</v>
      </c>
      <c r="D176" s="38">
        <v>-0.9406097013906497</v>
      </c>
      <c r="E176" s="38">
        <v>-0.99150338130743887</v>
      </c>
      <c r="F176" s="3"/>
      <c r="G176" s="3"/>
      <c r="H176" s="3"/>
      <c r="I176" s="3"/>
      <c r="J176" s="3"/>
    </row>
    <row r="177" spans="1:10">
      <c r="A177" s="6">
        <v>1800</v>
      </c>
      <c r="B177" s="38">
        <v>48.310541571081949</v>
      </c>
      <c r="C177" s="38">
        <v>-0.38651218062982773</v>
      </c>
      <c r="D177" s="38">
        <v>-0.56343091936312284</v>
      </c>
      <c r="E177" s="38">
        <v>-0.68087265347539327</v>
      </c>
      <c r="F177" s="3"/>
      <c r="G177" s="3"/>
      <c r="H177" s="3"/>
      <c r="I177" s="3"/>
      <c r="J177" s="3"/>
    </row>
    <row r="178" spans="1:10">
      <c r="A178" s="6">
        <v>1900</v>
      </c>
      <c r="B178" s="38">
        <v>79.848277261605503</v>
      </c>
      <c r="C178" s="38">
        <v>-0.2872238232468779</v>
      </c>
      <c r="D178" s="38">
        <v>-0.91811169135105863</v>
      </c>
      <c r="E178" s="38">
        <v>-0.91272128447920953</v>
      </c>
      <c r="F178" s="3"/>
      <c r="G178" s="3"/>
      <c r="H178" s="3"/>
      <c r="I178" s="3"/>
      <c r="J178" s="3"/>
    </row>
    <row r="179" spans="1:10">
      <c r="A179" s="6">
        <v>1900</v>
      </c>
      <c r="B179" s="38">
        <v>82.834082533785221</v>
      </c>
      <c r="C179" s="38">
        <v>-0.16407376722206879</v>
      </c>
      <c r="D179" s="38">
        <v>-0.91995706168680946</v>
      </c>
      <c r="E179" s="38">
        <v>-0.91642918736911261</v>
      </c>
      <c r="F179" s="3"/>
      <c r="G179" s="3"/>
      <c r="H179" s="3"/>
      <c r="I179" s="3"/>
      <c r="J179" s="3"/>
    </row>
    <row r="180" spans="1:10">
      <c r="A180" s="6">
        <v>1900</v>
      </c>
      <c r="B180" s="38">
        <v>89.064237391368835</v>
      </c>
      <c r="C180" s="38">
        <v>0.21430279991983614</v>
      </c>
      <c r="D180" s="38">
        <v>-0.92436158888234676</v>
      </c>
      <c r="E180" s="38">
        <v>-0.92755491344481833</v>
      </c>
      <c r="F180" s="3"/>
      <c r="G180" s="3"/>
      <c r="H180" s="3"/>
      <c r="I180" s="3"/>
      <c r="J180" s="3"/>
    </row>
    <row r="181" spans="1:10">
      <c r="A181" s="6">
        <v>1900</v>
      </c>
      <c r="B181" s="38">
        <v>91.914807193511876</v>
      </c>
      <c r="C181" s="38">
        <v>-0.48740035513241908</v>
      </c>
      <c r="D181" s="38">
        <v>-0.94847060074590017</v>
      </c>
      <c r="E181" s="38">
        <v>-0.97796839627676013</v>
      </c>
      <c r="F181" s="3"/>
      <c r="G181" s="3"/>
      <c r="H181" s="3"/>
      <c r="I181" s="3"/>
      <c r="J181" s="3"/>
    </row>
    <row r="182" spans="1:10">
      <c r="A182" s="6">
        <v>1900</v>
      </c>
      <c r="B182" s="38">
        <v>95.685987299591403</v>
      </c>
      <c r="C182" s="38">
        <v>0.46004934771766859</v>
      </c>
      <c r="D182" s="38">
        <v>-0.92825704922185459</v>
      </c>
      <c r="E182" s="38">
        <v>-0.96835154027187464</v>
      </c>
      <c r="F182" s="3"/>
      <c r="G182" s="3"/>
      <c r="H182" s="3"/>
      <c r="I182" s="3"/>
      <c r="J182" s="3"/>
    </row>
    <row r="183" spans="1:10">
      <c r="A183" s="6">
        <v>1900</v>
      </c>
      <c r="B183" s="38">
        <v>98.180791517325673</v>
      </c>
      <c r="C183" s="38">
        <v>0.99296656545382822</v>
      </c>
      <c r="D183" s="38">
        <v>-0.92925802145953829</v>
      </c>
      <c r="E183" s="38">
        <v>-0.98296641491242165</v>
      </c>
      <c r="F183" s="3"/>
      <c r="G183" s="3"/>
      <c r="H183" s="3"/>
      <c r="I183" s="3"/>
      <c r="J183" s="3"/>
    </row>
    <row r="184" spans="1:10">
      <c r="A184" s="6">
        <v>1900</v>
      </c>
      <c r="B184" s="38">
        <v>99.116394776450392</v>
      </c>
      <c r="C184" s="38">
        <v>0.69701314217443255</v>
      </c>
      <c r="D184" s="38">
        <v>-0.93799330253062607</v>
      </c>
      <c r="E184" s="38">
        <v>-0.99302172481895989</v>
      </c>
      <c r="F184" s="3"/>
      <c r="G184" s="3"/>
      <c r="H184" s="3"/>
      <c r="I184" s="3"/>
      <c r="J184" s="3"/>
    </row>
    <row r="185" spans="1:10">
      <c r="A185" s="6">
        <v>1900</v>
      </c>
      <c r="B185" s="38">
        <v>98.509267403567392</v>
      </c>
      <c r="C185" s="38">
        <v>0.7135108011458553</v>
      </c>
      <c r="D185" s="38">
        <v>-0.94030411113196921</v>
      </c>
      <c r="E185" s="38">
        <v>-0.98738620812756595</v>
      </c>
      <c r="F185" s="3"/>
      <c r="G185" s="3"/>
      <c r="H185" s="3"/>
      <c r="I185" s="3"/>
      <c r="J185" s="3"/>
    </row>
    <row r="186" spans="1:10">
      <c r="A186" s="6">
        <v>1900</v>
      </c>
      <c r="B186" s="38">
        <v>48.861531351115502</v>
      </c>
      <c r="C186" s="38">
        <v>8.7078239470803176E-2</v>
      </c>
      <c r="D186" s="38">
        <v>-0.52367010955042792</v>
      </c>
      <c r="E186" s="38">
        <v>-0.51482650795329232</v>
      </c>
      <c r="F186" s="3"/>
      <c r="G186" s="3"/>
      <c r="H186" s="3"/>
      <c r="I186" s="3"/>
      <c r="J186" s="3"/>
    </row>
    <row r="187" spans="1:10">
      <c r="A187" s="6">
        <v>1900</v>
      </c>
      <c r="B187" s="38">
        <v>46.066660925598477</v>
      </c>
      <c r="C187" s="38">
        <v>9.9581208712260949E-2</v>
      </c>
      <c r="D187" s="38">
        <v>-0.52611386879828625</v>
      </c>
      <c r="E187" s="38">
        <v>-0.46063358319198999</v>
      </c>
      <c r="F187" s="3"/>
      <c r="G187" s="3"/>
      <c r="H187" s="3"/>
      <c r="I187" s="3"/>
      <c r="J187" s="3"/>
    </row>
    <row r="188" spans="1:10">
      <c r="A188" s="6">
        <v>2000</v>
      </c>
      <c r="B188" s="38">
        <v>91.207943391994647</v>
      </c>
      <c r="C188" s="38">
        <v>-0.77061704042909573</v>
      </c>
      <c r="D188" s="38">
        <v>-0.94013940256045514</v>
      </c>
      <c r="E188" s="38">
        <v>-0.98758851390430336</v>
      </c>
      <c r="F188" s="3"/>
      <c r="G188" s="3"/>
      <c r="H188" s="3"/>
      <c r="I188" s="3"/>
      <c r="J188" s="3"/>
    </row>
    <row r="189" spans="1:10">
      <c r="A189" s="6">
        <v>2000</v>
      </c>
      <c r="B189" s="38">
        <v>96.88570181107535</v>
      </c>
      <c r="C189" s="38">
        <v>-0.78530189412918916</v>
      </c>
      <c r="D189" s="38">
        <v>-0.92823638470451908</v>
      </c>
      <c r="E189" s="38">
        <v>-0.99595584022003492</v>
      </c>
      <c r="F189" s="3"/>
      <c r="G189" s="3"/>
      <c r="H189" s="3"/>
      <c r="I189" s="3"/>
      <c r="J189" s="3"/>
    </row>
    <row r="190" spans="1:10">
      <c r="A190" s="6">
        <v>2000</v>
      </c>
      <c r="B190" s="38">
        <v>97.285761156268094</v>
      </c>
      <c r="C190" s="38">
        <v>-0.55021832699469586</v>
      </c>
      <c r="D190" s="38">
        <v>-0.92759505409582688</v>
      </c>
      <c r="E190" s="38">
        <v>-0.99258284219644344</v>
      </c>
      <c r="F190" s="3"/>
      <c r="G190" s="3"/>
      <c r="H190" s="3"/>
      <c r="I190" s="3"/>
      <c r="J190" s="3"/>
    </row>
    <row r="191" spans="1:10">
      <c r="A191" s="6">
        <v>2000</v>
      </c>
      <c r="B191" s="38">
        <v>98.390707343489652</v>
      </c>
      <c r="C191" s="38">
        <v>-2.1634758625385886E-2</v>
      </c>
      <c r="D191" s="38">
        <v>-0.92127004219409281</v>
      </c>
      <c r="E191" s="38">
        <v>-0.99079612370751613</v>
      </c>
      <c r="F191" s="3"/>
      <c r="G191" s="3"/>
      <c r="H191" s="3"/>
      <c r="I191" s="3"/>
      <c r="J191" s="3"/>
    </row>
    <row r="192" spans="1:10">
      <c r="A192" s="6">
        <v>2000</v>
      </c>
      <c r="B192" s="38">
        <v>99.606423090216552</v>
      </c>
      <c r="C192" s="38">
        <v>1.1396854271794408</v>
      </c>
      <c r="D192" s="38">
        <v>-0.93430935251798564</v>
      </c>
      <c r="E192" s="38">
        <v>-0.99529211795398842</v>
      </c>
      <c r="F192" s="3"/>
      <c r="G192" s="3"/>
      <c r="H192" s="3"/>
      <c r="I192" s="3"/>
      <c r="J192" s="3"/>
    </row>
    <row r="193" spans="1:10">
      <c r="A193" s="6">
        <v>2000</v>
      </c>
      <c r="B193" s="38">
        <v>98.600796047999225</v>
      </c>
      <c r="C193" s="38">
        <v>0.28472530250349393</v>
      </c>
      <c r="D193" s="38">
        <v>-0.9183475177304965</v>
      </c>
      <c r="E193" s="38">
        <v>-0.98917075831969448</v>
      </c>
      <c r="F193" s="3"/>
      <c r="G193" s="3"/>
      <c r="H193" s="3"/>
      <c r="I193" s="3"/>
      <c r="J193" s="3"/>
    </row>
    <row r="194" spans="1:10">
      <c r="A194" s="6">
        <v>2000</v>
      </c>
      <c r="B194" s="38">
        <v>50.007506358866181</v>
      </c>
      <c r="C194" s="38">
        <v>0.22851176360538239</v>
      </c>
      <c r="D194" s="38">
        <v>-0.12043107769423544</v>
      </c>
      <c r="E194" s="38">
        <v>-0.36364537717921164</v>
      </c>
      <c r="F194" s="3"/>
      <c r="G194" s="3"/>
      <c r="H194" s="3"/>
      <c r="I194" s="3"/>
      <c r="J194" s="3"/>
    </row>
    <row r="195" spans="1:10">
      <c r="A195" s="6">
        <v>2000</v>
      </c>
      <c r="B195" s="38">
        <v>46.066660925598477</v>
      </c>
      <c r="C195" s="38">
        <v>0.27119936680903911</v>
      </c>
      <c r="D195" s="38">
        <v>-9.9565683646112402E-2</v>
      </c>
      <c r="E195" s="38">
        <v>-0.2385852753144978</v>
      </c>
      <c r="F195" s="3"/>
      <c r="G195" s="3"/>
      <c r="H195" s="3"/>
      <c r="I195" s="3"/>
      <c r="J195" s="3"/>
    </row>
    <row r="196" spans="1:10">
      <c r="A196" s="6">
        <v>2100</v>
      </c>
      <c r="B196" s="38">
        <v>95.808905593853893</v>
      </c>
      <c r="C196" s="38">
        <v>-0.65223414141546021</v>
      </c>
      <c r="D196" s="38">
        <v>-0.92548220064724918</v>
      </c>
      <c r="E196" s="38">
        <v>-0.99152885949002456</v>
      </c>
      <c r="F196" s="3"/>
      <c r="G196" s="3"/>
      <c r="H196" s="3"/>
      <c r="I196" s="3"/>
      <c r="J196" s="3"/>
    </row>
    <row r="197" spans="1:10">
      <c r="A197" s="6">
        <v>2100</v>
      </c>
      <c r="B197" s="38">
        <v>96.543027639188068</v>
      </c>
      <c r="C197" s="38">
        <v>-0.65516601441989897</v>
      </c>
      <c r="D197" s="38">
        <v>-0.9175504978662874</v>
      </c>
      <c r="E197" s="38">
        <v>-0.99317368264736683</v>
      </c>
      <c r="F197" s="3"/>
      <c r="G197" s="3"/>
      <c r="H197" s="3"/>
      <c r="I197" s="3"/>
      <c r="J197" s="3"/>
    </row>
    <row r="198" spans="1:10">
      <c r="A198" s="6">
        <v>2100</v>
      </c>
      <c r="B198" s="38">
        <v>98.420332620916355</v>
      </c>
      <c r="C198" s="38">
        <v>-0.42573018447459654</v>
      </c>
      <c r="D198" s="38">
        <v>-0.93305490196078433</v>
      </c>
      <c r="E198" s="38">
        <v>-0.99486748545572079</v>
      </c>
      <c r="F198" s="3"/>
      <c r="G198" s="3"/>
      <c r="H198" s="3"/>
      <c r="I198" s="3"/>
      <c r="J198" s="3"/>
    </row>
    <row r="199" spans="1:10">
      <c r="A199" s="6">
        <v>2100</v>
      </c>
      <c r="B199" s="38">
        <v>98.648148336125146</v>
      </c>
      <c r="C199" s="38">
        <v>-0.42017312434259291</v>
      </c>
      <c r="D199" s="38">
        <v>-0.94503076923076923</v>
      </c>
      <c r="E199" s="38">
        <v>-0.99664412510566358</v>
      </c>
      <c r="F199" s="3"/>
      <c r="G199" s="3"/>
      <c r="H199" s="3"/>
      <c r="I199" s="3"/>
      <c r="J199" s="3"/>
    </row>
    <row r="200" spans="1:10">
      <c r="A200" s="6">
        <v>2100</v>
      </c>
      <c r="B200" s="38">
        <v>99.407421980457784</v>
      </c>
      <c r="C200" s="38">
        <v>2.3309661041416541</v>
      </c>
      <c r="D200" s="38">
        <v>-0.84203141361256539</v>
      </c>
      <c r="E200" s="38">
        <v>-0.98857948334388124</v>
      </c>
      <c r="F200" s="3"/>
      <c r="G200" s="3"/>
      <c r="H200" s="3"/>
      <c r="I200" s="3"/>
      <c r="J200" s="3"/>
    </row>
    <row r="201" spans="1:10">
      <c r="A201" s="6">
        <v>2100</v>
      </c>
      <c r="B201" s="38">
        <v>98.600796047999225</v>
      </c>
      <c r="C201" s="38">
        <v>0.28472530250349393</v>
      </c>
      <c r="D201" s="38">
        <v>-0.9183475177304965</v>
      </c>
      <c r="E201" s="38">
        <v>-0.98917075831969448</v>
      </c>
      <c r="F201" s="3"/>
      <c r="G201" s="3"/>
      <c r="H201" s="3"/>
      <c r="I201" s="3"/>
      <c r="J201" s="3"/>
    </row>
    <row r="202" spans="1:10">
      <c r="A202" s="6">
        <v>2100</v>
      </c>
      <c r="B202" s="38">
        <v>50.007506358866181</v>
      </c>
      <c r="C202" s="38">
        <v>0.22851176360538239</v>
      </c>
      <c r="D202" s="38">
        <v>-0.12043107769423544</v>
      </c>
      <c r="E202" s="38">
        <v>-0.36364537717921164</v>
      </c>
      <c r="F202" s="3"/>
      <c r="G202" s="3"/>
      <c r="H202" s="3"/>
      <c r="I202" s="3"/>
      <c r="J202" s="3"/>
    </row>
    <row r="203" spans="1:10">
      <c r="A203" s="6">
        <v>2400</v>
      </c>
      <c r="B203" s="38">
        <v>94.287767070479489</v>
      </c>
      <c r="C203" s="38">
        <v>-0.79303503010399556</v>
      </c>
      <c r="D203" s="38">
        <v>-0.96461129041390636</v>
      </c>
      <c r="E203" s="38">
        <v>-0.99252384214704381</v>
      </c>
      <c r="F203" s="3"/>
      <c r="G203" s="3"/>
      <c r="H203" s="3"/>
      <c r="I203" s="3"/>
      <c r="J203" s="3"/>
    </row>
    <row r="204" spans="1:10">
      <c r="A204" s="6">
        <v>2400</v>
      </c>
      <c r="B204" s="38">
        <v>97.270627240673122</v>
      </c>
      <c r="C204" s="38">
        <v>-0.833081660448866</v>
      </c>
      <c r="D204" s="38">
        <v>-0.97013617902365212</v>
      </c>
      <c r="E204" s="38">
        <v>-0.99719600915630469</v>
      </c>
      <c r="F204" s="3"/>
      <c r="G204" s="3"/>
      <c r="H204" s="3"/>
      <c r="I204" s="3"/>
      <c r="J204" s="3"/>
    </row>
    <row r="205" spans="1:10">
      <c r="A205" s="6">
        <v>2400</v>
      </c>
      <c r="B205" s="38">
        <v>98.705191931470154</v>
      </c>
      <c r="C205" s="38">
        <v>-0.79843629859927123</v>
      </c>
      <c r="D205" s="38">
        <v>-0.97358719597176635</v>
      </c>
      <c r="E205" s="38">
        <v>-0.99841704297872214</v>
      </c>
      <c r="F205" s="3"/>
      <c r="G205" s="3"/>
      <c r="H205" s="3"/>
      <c r="I205" s="3"/>
      <c r="J205" s="3"/>
    </row>
    <row r="206" spans="1:10">
      <c r="A206" s="6">
        <v>2400</v>
      </c>
      <c r="B206" s="38">
        <v>99.040803194343937</v>
      </c>
      <c r="C206" s="38">
        <v>-0.77238581730769229</v>
      </c>
      <c r="D206" s="38">
        <v>-0.97306034482758619</v>
      </c>
      <c r="E206" s="38">
        <v>-0.99870653973509937</v>
      </c>
      <c r="F206" s="3"/>
      <c r="G206" s="3"/>
      <c r="H206" s="3"/>
      <c r="I206" s="3"/>
      <c r="J206" s="3"/>
    </row>
    <row r="207" spans="1:10">
      <c r="A207" s="6">
        <v>2400</v>
      </c>
      <c r="B207" s="38">
        <v>99.573017405436019</v>
      </c>
      <c r="C207" s="38">
        <v>-0.115141683906965</v>
      </c>
      <c r="D207" s="38">
        <v>-0.94098305370542112</v>
      </c>
      <c r="E207" s="38">
        <v>-0.99777360384721259</v>
      </c>
      <c r="F207" s="3"/>
      <c r="G207" s="3"/>
      <c r="H207" s="3"/>
      <c r="I207" s="3"/>
      <c r="J207" s="3"/>
    </row>
    <row r="208" spans="1:10">
      <c r="A208" s="6">
        <v>2400</v>
      </c>
      <c r="B208" s="38">
        <v>99.746050902575391</v>
      </c>
      <c r="C208" s="38">
        <v>0.26511400276370312</v>
      </c>
      <c r="D208" s="38">
        <v>-0.94063596944042949</v>
      </c>
      <c r="E208" s="38">
        <v>-0.99818244306089809</v>
      </c>
      <c r="F208" s="3"/>
      <c r="G208" s="3"/>
      <c r="H208" s="3"/>
      <c r="I208" s="3"/>
      <c r="J208" s="3"/>
    </row>
    <row r="209" spans="1:10">
      <c r="A209" s="6">
        <v>2400</v>
      </c>
      <c r="B209" s="38">
        <v>68.213499240569604</v>
      </c>
      <c r="C209" s="38">
        <v>0.16228305121062814</v>
      </c>
      <c r="D209" s="38">
        <v>-0.53174526942656808</v>
      </c>
      <c r="E209" s="38">
        <v>-0.6634937617984713</v>
      </c>
      <c r="F209" s="3"/>
      <c r="G209" s="3"/>
      <c r="H209" s="3"/>
      <c r="I209" s="3"/>
      <c r="J209" s="3"/>
    </row>
    <row r="210" spans="1:10">
      <c r="A210" s="6">
        <v>2400</v>
      </c>
      <c r="B210" s="38">
        <v>48.310541571081949</v>
      </c>
      <c r="C210" s="38">
        <v>-0.20649060294836863</v>
      </c>
      <c r="D210" s="38">
        <v>-0.401014751479846</v>
      </c>
      <c r="E210" s="38">
        <v>-0.47977756524772797</v>
      </c>
      <c r="F210" s="3"/>
      <c r="G210" s="3"/>
      <c r="H210" s="3"/>
      <c r="I210" s="3"/>
      <c r="J210" s="3"/>
    </row>
    <row r="211" spans="1:10">
      <c r="A211" s="6">
        <v>2500</v>
      </c>
      <c r="B211" s="38">
        <v>47.065734216771133</v>
      </c>
      <c r="C211" s="38">
        <v>-0.59411104509143731</v>
      </c>
      <c r="D211" s="38">
        <v>-0.72141918528252302</v>
      </c>
      <c r="E211" s="38">
        <v>-0.81270430250022085</v>
      </c>
      <c r="F211" s="3"/>
      <c r="G211" s="3"/>
      <c r="H211" s="3"/>
      <c r="I211" s="3"/>
      <c r="J211" s="3"/>
    </row>
    <row r="212" spans="1:10">
      <c r="A212" s="6">
        <v>2500</v>
      </c>
      <c r="B212" s="38">
        <v>83.495284004668306</v>
      </c>
      <c r="C212" s="38">
        <v>-0.7238798901202993</v>
      </c>
      <c r="D212" s="38">
        <v>-0.96669142432725819</v>
      </c>
      <c r="E212" s="38">
        <v>-0.97760594921198296</v>
      </c>
      <c r="F212" s="3"/>
      <c r="G212" s="3"/>
      <c r="H212" s="3"/>
      <c r="I212" s="3"/>
      <c r="J212" s="3"/>
    </row>
    <row r="213" spans="1:10">
      <c r="A213" s="6">
        <v>2500</v>
      </c>
      <c r="B213" s="38">
        <v>96.46391198069891</v>
      </c>
      <c r="C213" s="38">
        <v>-0.71400539612460134</v>
      </c>
      <c r="D213" s="38">
        <v>-0.97278763564845838</v>
      </c>
      <c r="E213" s="38">
        <v>-0.99693008707740427</v>
      </c>
      <c r="F213" s="3"/>
      <c r="G213" s="3"/>
      <c r="H213" s="3"/>
      <c r="I213" s="3"/>
      <c r="J213" s="3"/>
    </row>
    <row r="214" spans="1:10">
      <c r="A214" s="6">
        <v>2500</v>
      </c>
      <c r="B214" s="38">
        <v>97.944641377200895</v>
      </c>
      <c r="C214" s="38">
        <v>0.52466664385358586</v>
      </c>
      <c r="D214" s="38">
        <v>-0.95514994736878311</v>
      </c>
      <c r="E214" s="38">
        <v>-0.98624700441133817</v>
      </c>
      <c r="F214" s="3"/>
      <c r="G214" s="3"/>
      <c r="H214" s="3"/>
      <c r="I214" s="3"/>
      <c r="J214" s="3"/>
    </row>
    <row r="215" spans="1:10">
      <c r="A215" s="6">
        <v>2500</v>
      </c>
      <c r="B215" s="38">
        <v>99.592581680410575</v>
      </c>
      <c r="C215" s="38">
        <v>0.94834670858498127</v>
      </c>
      <c r="D215" s="38">
        <v>-0.97090769972887103</v>
      </c>
      <c r="E215" s="38">
        <v>-0.9970660958777724</v>
      </c>
      <c r="F215" s="3"/>
      <c r="G215" s="3"/>
      <c r="H215" s="3"/>
      <c r="I215" s="3"/>
      <c r="J215" s="3"/>
    </row>
    <row r="216" spans="1:10">
      <c r="A216" s="6">
        <v>2500</v>
      </c>
      <c r="B216" s="38">
        <v>97.400922801470017</v>
      </c>
      <c r="C216" s="38">
        <v>0.98960951902128413</v>
      </c>
      <c r="D216" s="38">
        <v>-0.96785605984029111</v>
      </c>
      <c r="E216" s="38">
        <v>-0.9752373476863273</v>
      </c>
      <c r="F216" s="3"/>
      <c r="G216" s="3"/>
      <c r="H216" s="3"/>
      <c r="I216" s="3"/>
      <c r="J216" s="3"/>
    </row>
    <row r="217" spans="1:10">
      <c r="A217" s="6">
        <v>2500</v>
      </c>
      <c r="B217" s="38">
        <v>99.49309060883013</v>
      </c>
      <c r="C217" s="38">
        <v>1.4998489257828029</v>
      </c>
      <c r="D217" s="38">
        <v>-0.96339814113201028</v>
      </c>
      <c r="E217" s="38">
        <v>-0.99661637334808795</v>
      </c>
      <c r="F217" s="3"/>
      <c r="G217" s="3"/>
      <c r="H217" s="3"/>
      <c r="I217" s="3"/>
      <c r="J217" s="3"/>
    </row>
    <row r="218" spans="1:10">
      <c r="A218" s="6">
        <v>2500</v>
      </c>
      <c r="B218" s="38">
        <v>99.637643905280683</v>
      </c>
      <c r="C218" s="38">
        <v>0.85081738530744055</v>
      </c>
      <c r="D218" s="38">
        <v>-0.9654279204757088</v>
      </c>
      <c r="E218" s="38">
        <v>-0.99666505862365506</v>
      </c>
      <c r="F218" s="3"/>
      <c r="G218" s="3"/>
      <c r="H218" s="3"/>
      <c r="I218" s="3"/>
      <c r="J218" s="3"/>
    </row>
    <row r="219" spans="1:10">
      <c r="A219" s="6">
        <v>2500</v>
      </c>
      <c r="B219" s="38">
        <v>98.625909720660019</v>
      </c>
      <c r="C219" s="38">
        <v>0.11128107665446008</v>
      </c>
      <c r="D219" s="38">
        <v>-0.95702742751698489</v>
      </c>
      <c r="E219" s="38">
        <v>-0.99232884643218988</v>
      </c>
      <c r="F219" s="3"/>
      <c r="G219" s="3"/>
      <c r="H219" s="3"/>
      <c r="I219" s="3"/>
      <c r="J219" s="3"/>
    </row>
    <row r="220" spans="1:10">
      <c r="A220" s="6">
        <v>2500</v>
      </c>
      <c r="B220" s="38">
        <v>48.310541571081949</v>
      </c>
      <c r="C220" s="38">
        <v>-0.32714704537507733</v>
      </c>
      <c r="D220" s="38">
        <v>-0.62413699601610251</v>
      </c>
      <c r="E220" s="38">
        <v>-0.65716959497328786</v>
      </c>
      <c r="F220" s="3"/>
      <c r="G220" s="3"/>
      <c r="H220" s="3"/>
      <c r="I220" s="3"/>
      <c r="J220" s="3"/>
    </row>
  </sheetData>
  <mergeCells count="5">
    <mergeCell ref="A2:E2"/>
    <mergeCell ref="F2:J2"/>
    <mergeCell ref="K2:O2"/>
    <mergeCell ref="P2:T2"/>
    <mergeCell ref="A1:P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topLeftCell="A11" zoomScale="80" zoomScaleNormal="80" workbookViewId="0">
      <selection activeCell="F23" sqref="F23"/>
    </sheetView>
  </sheetViews>
  <sheetFormatPr defaultRowHeight="14.5"/>
  <cols>
    <col min="1" max="1" width="18.81640625" customWidth="1"/>
    <col min="2" max="2" width="12.7265625" customWidth="1"/>
    <col min="3" max="3" width="10.1796875" bestFit="1" customWidth="1"/>
    <col min="4" max="4" width="9.6328125" customWidth="1"/>
    <col min="5" max="5" width="12.1796875" customWidth="1"/>
    <col min="6" max="6" width="11.81640625" bestFit="1" customWidth="1"/>
    <col min="7" max="7" width="13.7265625" customWidth="1"/>
    <col min="8" max="8" width="9.81640625" customWidth="1"/>
  </cols>
  <sheetData>
    <row r="1" spans="1:8">
      <c r="B1" s="101" t="s">
        <v>459</v>
      </c>
      <c r="C1" s="101"/>
      <c r="D1" s="101"/>
      <c r="E1" s="101"/>
      <c r="F1" s="101"/>
      <c r="G1" s="101"/>
      <c r="H1" s="101"/>
    </row>
    <row r="2" spans="1:8">
      <c r="A2" s="1" t="s">
        <v>159</v>
      </c>
      <c r="B2" s="1" t="s">
        <v>160</v>
      </c>
      <c r="C2" s="1" t="s">
        <v>143</v>
      </c>
      <c r="D2" s="1" t="s">
        <v>164</v>
      </c>
      <c r="E2" s="1" t="s">
        <v>165</v>
      </c>
      <c r="F2" s="1" t="s">
        <v>144</v>
      </c>
      <c r="G2" s="1" t="s">
        <v>166</v>
      </c>
      <c r="H2" s="1" t="s">
        <v>167</v>
      </c>
    </row>
    <row r="3" spans="1:8">
      <c r="A3" s="82" t="s">
        <v>59</v>
      </c>
      <c r="B3" s="83">
        <v>30</v>
      </c>
      <c r="C3" s="83">
        <v>-0.14646029999999999</v>
      </c>
      <c r="D3" s="83">
        <v>-0.43372145200000001</v>
      </c>
      <c r="E3" s="83">
        <v>-0.28042365800000002</v>
      </c>
      <c r="F3" s="83">
        <v>-0.148133721</v>
      </c>
      <c r="G3" s="83">
        <v>-3.3788203000000003E-2</v>
      </c>
      <c r="H3" s="83">
        <v>0.168823959</v>
      </c>
    </row>
    <row r="4" spans="1:8">
      <c r="A4" s="84" t="s">
        <v>102</v>
      </c>
      <c r="B4" s="84" t="s">
        <v>163</v>
      </c>
      <c r="C4" s="85">
        <v>-0.56597010000000003</v>
      </c>
      <c r="D4" s="85">
        <v>-0.79631271299999995</v>
      </c>
      <c r="E4" s="85">
        <v>-0.726802053</v>
      </c>
      <c r="F4" s="85">
        <v>-0.51942093700000003</v>
      </c>
      <c r="G4" s="85">
        <v>-0.42473739999999999</v>
      </c>
      <c r="H4" s="85">
        <v>-0.385964054</v>
      </c>
    </row>
    <row r="5" spans="1:8">
      <c r="A5" s="84" t="s">
        <v>60</v>
      </c>
      <c r="B5" s="84" t="s">
        <v>163</v>
      </c>
      <c r="C5" s="85">
        <v>-0.1720315</v>
      </c>
      <c r="D5" s="85">
        <v>-0.31805319799999998</v>
      </c>
      <c r="E5" s="85">
        <v>-0.251294305</v>
      </c>
      <c r="F5" s="85">
        <v>-0.18453541300000001</v>
      </c>
      <c r="G5" s="85">
        <v>-9.9020700000000003E-2</v>
      </c>
      <c r="H5" s="85">
        <v>-1.3505987000000001E-2</v>
      </c>
    </row>
    <row r="6" spans="1:8">
      <c r="A6" s="82" t="s">
        <v>61</v>
      </c>
      <c r="B6" s="83">
        <v>49</v>
      </c>
      <c r="C6" s="83">
        <v>7.6777780000000004E-2</v>
      </c>
      <c r="D6" s="83">
        <v>1.6088735999999999E-2</v>
      </c>
      <c r="E6" s="83">
        <v>6.0112405000000001E-2</v>
      </c>
      <c r="F6" s="83">
        <v>7.9748959999999994E-2</v>
      </c>
      <c r="G6" s="83">
        <v>9.4042598000000005E-2</v>
      </c>
      <c r="H6" s="83">
        <v>0.13389380100000001</v>
      </c>
    </row>
    <row r="7" spans="1:8">
      <c r="A7" s="84" t="s">
        <v>62</v>
      </c>
      <c r="B7" s="84" t="s">
        <v>163</v>
      </c>
      <c r="C7" s="85">
        <v>1.8369698299999999</v>
      </c>
      <c r="D7" s="85">
        <v>-0.20212765999999999</v>
      </c>
      <c r="E7" s="85">
        <v>0.37867647100000001</v>
      </c>
      <c r="F7" s="85">
        <v>0.98266806699999998</v>
      </c>
      <c r="G7" s="85">
        <v>1.161764706</v>
      </c>
      <c r="H7" s="85">
        <v>22.529411759999999</v>
      </c>
    </row>
    <row r="8" spans="1:8">
      <c r="A8" s="84" t="s">
        <v>63</v>
      </c>
      <c r="B8" s="84" t="s">
        <v>163</v>
      </c>
      <c r="C8" s="85">
        <v>-0.35762650000000001</v>
      </c>
      <c r="D8" s="85">
        <v>-0.459038685</v>
      </c>
      <c r="E8" s="85">
        <v>-0.41781532700000001</v>
      </c>
      <c r="F8" s="85">
        <v>-0.376591968</v>
      </c>
      <c r="G8" s="85">
        <v>-0.30692036900000003</v>
      </c>
      <c r="H8" s="85">
        <v>-0.237248769</v>
      </c>
    </row>
    <row r="9" spans="1:8">
      <c r="A9" s="82" t="s">
        <v>64</v>
      </c>
      <c r="B9" s="83">
        <v>14</v>
      </c>
      <c r="C9" s="83">
        <v>-0.14393677274510466</v>
      </c>
      <c r="D9" s="83">
        <v>-0.420621931</v>
      </c>
      <c r="E9" s="83">
        <v>-0.241755319</v>
      </c>
      <c r="F9" s="83">
        <v>-0.19916562400000001</v>
      </c>
      <c r="G9" s="83">
        <v>-8.6976853000000007E-2</v>
      </c>
      <c r="H9" s="83">
        <v>0.31063829799999998</v>
      </c>
    </row>
    <row r="10" spans="1:8">
      <c r="A10" s="82" t="s">
        <v>157</v>
      </c>
      <c r="B10" s="83">
        <v>14</v>
      </c>
      <c r="C10" s="83">
        <v>7.0755000000000002E-3</v>
      </c>
      <c r="D10" s="83">
        <v>-0.38973064000000002</v>
      </c>
      <c r="E10" s="83">
        <v>-1.6245790999999999E-2</v>
      </c>
      <c r="F10" s="83">
        <v>1.5488215E-2</v>
      </c>
      <c r="G10" s="83">
        <v>7.2446688999999995E-2</v>
      </c>
      <c r="H10" s="83">
        <v>0.32631874300000002</v>
      </c>
    </row>
    <row r="11" spans="1:8">
      <c r="A11" s="82" t="s">
        <v>65</v>
      </c>
      <c r="B11" s="83">
        <v>14</v>
      </c>
      <c r="C11" s="83">
        <v>-0.21407509999999999</v>
      </c>
      <c r="D11" s="83">
        <v>-0.57543780899999997</v>
      </c>
      <c r="E11" s="83">
        <v>-0.32330883700000002</v>
      </c>
      <c r="F11" s="83">
        <v>-0.105788982</v>
      </c>
      <c r="G11" s="83">
        <v>-6.3741966999999997E-2</v>
      </c>
      <c r="H11" s="83">
        <v>4.7058819999999998E-3</v>
      </c>
    </row>
    <row r="12" spans="1:8">
      <c r="A12" s="82" t="s">
        <v>158</v>
      </c>
      <c r="B12" s="83">
        <v>14</v>
      </c>
      <c r="C12" s="83">
        <v>3.1364800000000001E-3</v>
      </c>
      <c r="D12" s="83">
        <v>-0.11299043</v>
      </c>
      <c r="E12" s="83">
        <v>-3.9292767999999999E-2</v>
      </c>
      <c r="F12" s="83">
        <v>-1.7332535E-2</v>
      </c>
      <c r="G12" s="83">
        <v>4.9420695000000001E-2</v>
      </c>
      <c r="H12" s="83">
        <v>0.188559695</v>
      </c>
    </row>
    <row r="13" spans="1:8">
      <c r="A13" s="82" t="s">
        <v>161</v>
      </c>
      <c r="B13" s="83">
        <v>14</v>
      </c>
      <c r="C13" s="83">
        <v>5.840948E-2</v>
      </c>
      <c r="D13" s="83">
        <v>-0.33174757700000002</v>
      </c>
      <c r="E13" s="83">
        <v>3.4184879000000001E-2</v>
      </c>
      <c r="F13" s="83">
        <v>5.3387250999999997E-2</v>
      </c>
      <c r="G13" s="83">
        <v>0.108160486</v>
      </c>
      <c r="H13" s="83">
        <v>0.22437979899999999</v>
      </c>
    </row>
    <row r="14" spans="1:8">
      <c r="A14" s="82" t="s">
        <v>68</v>
      </c>
      <c r="B14" s="83">
        <v>1</v>
      </c>
      <c r="C14" s="83">
        <v>0.19439893</v>
      </c>
      <c r="D14" s="83">
        <v>-3.1373617999999999E-2</v>
      </c>
      <c r="E14" s="83">
        <v>0.132397347</v>
      </c>
      <c r="F14" s="83">
        <v>0.23679455999999999</v>
      </c>
      <c r="G14" s="83">
        <v>0.282782125</v>
      </c>
      <c r="H14" s="83">
        <v>0.32501264000000002</v>
      </c>
    </row>
    <row r="15" spans="1:8">
      <c r="A15" s="84" t="s">
        <v>69</v>
      </c>
      <c r="B15" s="84" t="s">
        <v>163</v>
      </c>
      <c r="C15" s="85">
        <v>0.13219702</v>
      </c>
      <c r="D15" s="85">
        <v>7.3599239999999996E-2</v>
      </c>
      <c r="E15" s="85">
        <v>0.104507858</v>
      </c>
      <c r="F15" s="85">
        <v>0.12078059100000001</v>
      </c>
      <c r="G15" s="85">
        <v>0.12855133599999999</v>
      </c>
      <c r="H15" s="85">
        <v>0.264880952</v>
      </c>
    </row>
    <row r="16" spans="1:8">
      <c r="A16" s="82" t="s">
        <v>162</v>
      </c>
      <c r="B16" s="83">
        <v>7</v>
      </c>
      <c r="C16" s="83">
        <v>4.6301059999999998E-2</v>
      </c>
      <c r="D16" s="83">
        <v>-1.8677951000000002E-2</v>
      </c>
      <c r="E16" s="83">
        <v>1.4637132000000001E-2</v>
      </c>
      <c r="F16" s="83">
        <v>5.3360578999999998E-2</v>
      </c>
      <c r="G16" s="83">
        <v>6.6137743999999998E-2</v>
      </c>
      <c r="H16" s="83">
        <v>0.117637045</v>
      </c>
    </row>
    <row r="17" spans="1:8">
      <c r="A17" s="84" t="s">
        <v>70</v>
      </c>
      <c r="B17" s="84" t="s">
        <v>163</v>
      </c>
      <c r="C17" s="85">
        <v>-0.13483400000000001</v>
      </c>
      <c r="D17" s="85">
        <v>-0.52723464499999995</v>
      </c>
      <c r="E17" s="85">
        <v>-0.27026260299999999</v>
      </c>
      <c r="F17" s="85">
        <v>-0.13075398299999999</v>
      </c>
      <c r="G17" s="85">
        <v>1.2135773000000001E-2</v>
      </c>
      <c r="H17" s="85">
        <v>0.105142844</v>
      </c>
    </row>
    <row r="18" spans="1:8">
      <c r="A18" s="82" t="s">
        <v>100</v>
      </c>
      <c r="B18" s="83">
        <v>60</v>
      </c>
      <c r="C18" s="83">
        <v>-0.1309285</v>
      </c>
      <c r="D18" s="83">
        <v>-0.31779763300000002</v>
      </c>
      <c r="E18" s="83">
        <v>-0.23395932699999999</v>
      </c>
      <c r="F18" s="83">
        <v>-0.18916645000000001</v>
      </c>
      <c r="G18" s="83">
        <v>-6.7774635E-2</v>
      </c>
      <c r="H18" s="83">
        <v>0.24196630199999999</v>
      </c>
    </row>
    <row r="19" spans="1:8">
      <c r="A19" s="82" t="s">
        <v>67</v>
      </c>
      <c r="B19" s="83">
        <v>26</v>
      </c>
      <c r="C19" s="83">
        <v>8.0963259999999995E-2</v>
      </c>
      <c r="D19" s="83">
        <v>-4.6623782000000003E-2</v>
      </c>
      <c r="E19" s="83">
        <v>-1.7871292E-2</v>
      </c>
      <c r="F19" s="83">
        <v>5.1870833999999998E-2</v>
      </c>
      <c r="G19" s="83">
        <v>0.154069909</v>
      </c>
      <c r="H19" s="83">
        <v>0.28909853200000002</v>
      </c>
    </row>
    <row r="20" spans="1:8">
      <c r="A20" s="82" t="s">
        <v>155</v>
      </c>
      <c r="B20" s="83">
        <v>26</v>
      </c>
      <c r="C20" s="83">
        <v>-6.5538700000000005E-2</v>
      </c>
      <c r="D20" s="83">
        <v>-0.12794476399999999</v>
      </c>
      <c r="E20" s="83">
        <v>-8.6701011999999994E-2</v>
      </c>
      <c r="F20" s="83">
        <v>-8.4476628999999998E-2</v>
      </c>
      <c r="G20" s="83">
        <v>-3.0329377000000001E-2</v>
      </c>
      <c r="H20" s="83">
        <v>1.7581020000000001E-3</v>
      </c>
    </row>
    <row r="21" spans="1:8">
      <c r="A21" s="82" t="s">
        <v>101</v>
      </c>
      <c r="B21" s="83">
        <v>26</v>
      </c>
      <c r="C21" s="83">
        <v>-0.3679383</v>
      </c>
      <c r="D21" s="83">
        <v>-0.53846153799999996</v>
      </c>
      <c r="E21" s="83">
        <v>-0.476547842</v>
      </c>
      <c r="F21" s="83">
        <v>-0.43902438999999999</v>
      </c>
      <c r="G21" s="83">
        <v>-0.24932249300000001</v>
      </c>
      <c r="H21" s="83">
        <v>-0.146341463</v>
      </c>
    </row>
    <row r="22" spans="1:8">
      <c r="A22" s="84" t="s">
        <v>71</v>
      </c>
      <c r="B22" s="84" t="s">
        <v>163</v>
      </c>
      <c r="C22" s="85">
        <v>0.12193465000000001</v>
      </c>
      <c r="D22" s="85">
        <v>-0.12841809200000001</v>
      </c>
      <c r="E22" s="85">
        <v>-8.4242420000000002E-3</v>
      </c>
      <c r="F22" s="85">
        <v>5.7571559000000001E-2</v>
      </c>
      <c r="G22" s="85">
        <v>0.12949955199999999</v>
      </c>
      <c r="H22" s="85">
        <v>1.181994674</v>
      </c>
    </row>
    <row r="23" spans="1:8">
      <c r="A23" s="84" t="s">
        <v>103</v>
      </c>
      <c r="B23" s="84" t="s">
        <v>163</v>
      </c>
      <c r="C23" s="85">
        <v>-0.29786489999999999</v>
      </c>
      <c r="D23" s="85">
        <v>-0.84042553499999995</v>
      </c>
      <c r="E23" s="85">
        <v>-0.7544073</v>
      </c>
      <c r="F23" s="85">
        <v>-0.36170214099999998</v>
      </c>
      <c r="G23" s="85">
        <v>7.2340402999999998E-2</v>
      </c>
      <c r="H23" s="85">
        <v>0.32387704099999998</v>
      </c>
    </row>
    <row r="24" spans="1:8">
      <c r="A24" s="84" t="s">
        <v>104</v>
      </c>
      <c r="B24" s="84" t="s">
        <v>163</v>
      </c>
      <c r="C24" s="85">
        <v>-0.76226439999999995</v>
      </c>
      <c r="D24" s="85">
        <v>-0.86737588899999996</v>
      </c>
      <c r="E24" s="85">
        <v>-0.77507599299999996</v>
      </c>
      <c r="F24" s="85">
        <v>-0.75379939699999998</v>
      </c>
      <c r="G24" s="85">
        <v>-0.73872340999999997</v>
      </c>
      <c r="H24" s="85">
        <v>-0.70893617600000003</v>
      </c>
    </row>
    <row r="25" spans="1:8">
      <c r="A25" s="84" t="s">
        <v>105</v>
      </c>
      <c r="B25" s="84" t="s">
        <v>163</v>
      </c>
      <c r="C25" s="85">
        <v>0.19910221</v>
      </c>
      <c r="D25" s="85">
        <v>-4.7695390999999997E-2</v>
      </c>
      <c r="E25" s="85">
        <v>6.5942951999999999E-2</v>
      </c>
      <c r="F25" s="85">
        <v>0.161852738</v>
      </c>
      <c r="G25" s="85">
        <v>0.34367558599999998</v>
      </c>
      <c r="H25" s="85">
        <v>0.68354822900000001</v>
      </c>
    </row>
    <row r="26" spans="1:8">
      <c r="A26" s="82" t="s">
        <v>72</v>
      </c>
      <c r="B26" s="83">
        <v>5</v>
      </c>
      <c r="C26" s="83">
        <v>0.11597242000000001</v>
      </c>
      <c r="D26" s="83">
        <v>-0.17219931499999999</v>
      </c>
      <c r="E26" s="83">
        <v>-4.4658192999999999E-2</v>
      </c>
      <c r="F26" s="83">
        <v>2.9091978000000001E-2</v>
      </c>
      <c r="G26" s="83">
        <v>0.27000269999999998</v>
      </c>
      <c r="H26" s="83">
        <v>0.50272858899999995</v>
      </c>
    </row>
    <row r="27" spans="1:8">
      <c r="A27" s="82" t="s">
        <v>73</v>
      </c>
      <c r="B27" s="83">
        <v>50</v>
      </c>
      <c r="C27" s="83">
        <v>0.46168467000000002</v>
      </c>
      <c r="D27" s="83">
        <v>-0.116677777</v>
      </c>
      <c r="E27" s="83">
        <v>1.9404243000000002E-2</v>
      </c>
      <c r="F27" s="83">
        <v>0.457190769</v>
      </c>
      <c r="G27" s="83">
        <v>0.98120148900000004</v>
      </c>
      <c r="H27" s="83">
        <v>1.1542565330000001</v>
      </c>
    </row>
    <row r="28" spans="1:8">
      <c r="A28" s="82" t="s">
        <v>74</v>
      </c>
      <c r="B28" s="83">
        <v>8</v>
      </c>
      <c r="C28" s="83">
        <v>-0.398949</v>
      </c>
      <c r="D28" s="83">
        <v>-0.59637613199999995</v>
      </c>
      <c r="E28" s="83">
        <v>-0.499656357</v>
      </c>
      <c r="F28" s="83">
        <v>-0.38999846100000002</v>
      </c>
      <c r="G28" s="83">
        <v>-0.36637589199999998</v>
      </c>
      <c r="H28" s="83">
        <v>-0.11615120299999999</v>
      </c>
    </row>
    <row r="29" spans="1:8">
      <c r="A29" s="82" t="s">
        <v>80</v>
      </c>
      <c r="B29" s="83">
        <v>48</v>
      </c>
      <c r="C29" s="83">
        <v>-5.8951000000000003E-3</v>
      </c>
      <c r="D29" s="83">
        <v>-0.26009303499999997</v>
      </c>
      <c r="E29" s="83">
        <v>-0.22401458799999999</v>
      </c>
      <c r="F29" s="83">
        <v>-0.207266957</v>
      </c>
      <c r="G29" s="83">
        <v>1.0852541E-2</v>
      </c>
      <c r="H29" s="83">
        <v>0.65104659099999995</v>
      </c>
    </row>
    <row r="30" spans="1:8" s="6" customFormat="1">
      <c r="A30" s="82" t="s">
        <v>458</v>
      </c>
      <c r="B30" s="83">
        <v>28</v>
      </c>
      <c r="C30" s="83">
        <v>0.13865979329358685</v>
      </c>
      <c r="D30" s="83">
        <v>-0.29400510204081642</v>
      </c>
      <c r="E30" s="83">
        <v>-0.22117472604805472</v>
      </c>
      <c r="F30" s="83">
        <v>-2.7744117803799428E-2</v>
      </c>
      <c r="G30" s="83">
        <v>0.24903356646512514</v>
      </c>
      <c r="H30" s="83">
        <v>1.019547865984801</v>
      </c>
    </row>
    <row r="31" spans="1:8">
      <c r="A31" s="82" t="s">
        <v>147</v>
      </c>
      <c r="B31" s="83">
        <v>45</v>
      </c>
      <c r="C31" s="83">
        <v>0.52659964000000004</v>
      </c>
      <c r="D31" s="83">
        <v>-8.8292308999999999E-2</v>
      </c>
      <c r="E31" s="83">
        <v>4.2930211000000003E-2</v>
      </c>
      <c r="F31" s="83">
        <v>0.73528652800000005</v>
      </c>
      <c r="G31" s="83">
        <v>0.88759474100000002</v>
      </c>
      <c r="H31" s="83">
        <v>1.210535989</v>
      </c>
    </row>
    <row r="32" spans="1:8">
      <c r="A32" s="82" t="s">
        <v>95</v>
      </c>
      <c r="B32" s="83">
        <v>46</v>
      </c>
      <c r="C32" s="83">
        <v>8.0559699999999998E-2</v>
      </c>
      <c r="D32" s="83">
        <v>-7.6005664000000001E-2</v>
      </c>
      <c r="E32" s="83">
        <v>-8.5295809999999996E-3</v>
      </c>
      <c r="F32" s="83">
        <v>8.1028479999999993E-3</v>
      </c>
      <c r="G32" s="83">
        <v>0.12163897799999999</v>
      </c>
      <c r="H32" s="83">
        <v>0.53979121399999996</v>
      </c>
    </row>
    <row r="33" spans="1:8">
      <c r="A33" s="82" t="s">
        <v>81</v>
      </c>
      <c r="B33" s="83">
        <v>46</v>
      </c>
      <c r="C33" s="83">
        <v>0.14361467</v>
      </c>
      <c r="D33" s="83">
        <v>-3.1619464999999999E-2</v>
      </c>
      <c r="E33" s="83">
        <v>-1.118657E-2</v>
      </c>
      <c r="F33" s="83">
        <v>-3.552772E-3</v>
      </c>
      <c r="G33" s="83">
        <v>2.2966919999999998E-2</v>
      </c>
      <c r="H33" s="83">
        <v>1.0169142280000001</v>
      </c>
    </row>
    <row r="34" spans="1:8">
      <c r="A34" s="82" t="s">
        <v>150</v>
      </c>
      <c r="B34" s="83">
        <v>46</v>
      </c>
      <c r="C34" s="83">
        <v>2.009704E-2</v>
      </c>
      <c r="D34" s="83">
        <v>-1.459032E-2</v>
      </c>
      <c r="E34" s="83">
        <v>-8.9179250000000002E-3</v>
      </c>
      <c r="F34" s="83">
        <v>3.7286480000000002E-3</v>
      </c>
      <c r="G34" s="83">
        <v>3.2743609999999999E-2</v>
      </c>
      <c r="H34" s="83">
        <v>8.7521173999999993E-2</v>
      </c>
    </row>
  </sheetData>
  <mergeCells count="1">
    <mergeCell ref="B1:H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3"/>
  <sheetViews>
    <sheetView workbookViewId="0">
      <selection activeCell="U3" sqref="U3"/>
    </sheetView>
  </sheetViews>
  <sheetFormatPr defaultRowHeight="14.5"/>
  <cols>
    <col min="1" max="1" width="11.08984375" style="6" customWidth="1"/>
    <col min="2" max="2" width="11.36328125" style="6" customWidth="1"/>
    <col min="3" max="13" width="8.7265625" style="6"/>
    <col min="14" max="14" width="15.26953125" style="6" customWidth="1"/>
    <col min="15" max="15" width="16.54296875" style="6" customWidth="1"/>
    <col min="16" max="16" width="13.36328125" style="6" customWidth="1"/>
    <col min="17" max="17" width="18.81640625" style="6" customWidth="1"/>
    <col min="18" max="19" width="22.90625" style="6" customWidth="1"/>
    <col min="20" max="20" width="14.6328125" style="6" customWidth="1"/>
    <col min="21" max="21" width="14.1796875" style="6" customWidth="1"/>
    <col min="22" max="22" width="17.6328125" style="6" customWidth="1"/>
    <col min="23" max="23" width="17.26953125" style="6" customWidth="1"/>
    <col min="24" max="30" width="8.7265625" style="6"/>
    <col min="31" max="31" width="11.08984375" style="6" customWidth="1"/>
    <col min="32" max="32" width="12.36328125" style="6" customWidth="1"/>
    <col min="33" max="33" width="11.1796875" style="6" customWidth="1"/>
    <col min="34" max="34" width="11.6328125" style="6" customWidth="1"/>
    <col min="35" max="35" width="11" style="6" customWidth="1"/>
    <col min="36" max="16384" width="8.7265625" style="6"/>
  </cols>
  <sheetData>
    <row r="1" spans="1:36">
      <c r="A1" s="81" t="s">
        <v>168</v>
      </c>
      <c r="B1" s="81"/>
      <c r="C1" s="87"/>
    </row>
    <row r="2" spans="1:36">
      <c r="A2" s="1" t="s">
        <v>196</v>
      </c>
      <c r="B2" s="1" t="s">
        <v>20</v>
      </c>
      <c r="C2" s="1" t="s">
        <v>22</v>
      </c>
      <c r="D2" s="1" t="s">
        <v>23</v>
      </c>
      <c r="E2" s="1" t="s">
        <v>24</v>
      </c>
      <c r="F2" s="1" t="s">
        <v>54</v>
      </c>
      <c r="G2" s="1" t="s">
        <v>55</v>
      </c>
      <c r="H2" s="1" t="s">
        <v>56</v>
      </c>
      <c r="I2" s="1" t="s">
        <v>51</v>
      </c>
      <c r="J2" s="1" t="s">
        <v>52</v>
      </c>
      <c r="K2" s="1" t="s">
        <v>109</v>
      </c>
      <c r="L2" s="1" t="s">
        <v>108</v>
      </c>
      <c r="M2" s="1" t="s">
        <v>138</v>
      </c>
      <c r="N2" s="1" t="s">
        <v>7</v>
      </c>
      <c r="O2" s="1" t="s">
        <v>8</v>
      </c>
      <c r="P2" s="1" t="s">
        <v>9</v>
      </c>
      <c r="Q2" s="1" t="s">
        <v>10</v>
      </c>
      <c r="R2" s="1" t="s">
        <v>11</v>
      </c>
      <c r="S2" s="1" t="s">
        <v>12</v>
      </c>
      <c r="T2" s="1" t="s">
        <v>13</v>
      </c>
      <c r="U2" s="1" t="s">
        <v>14</v>
      </c>
      <c r="V2" s="1" t="s">
        <v>15</v>
      </c>
      <c r="W2" s="1" t="s">
        <v>460</v>
      </c>
      <c r="X2" s="1" t="s">
        <v>16</v>
      </c>
      <c r="Y2" s="1" t="s">
        <v>17</v>
      </c>
      <c r="Z2" s="1" t="s">
        <v>107</v>
      </c>
      <c r="AA2" s="1" t="s">
        <v>136</v>
      </c>
      <c r="AB2" s="1" t="s">
        <v>135</v>
      </c>
      <c r="AC2" s="1" t="s">
        <v>106</v>
      </c>
      <c r="AD2" s="1" t="s">
        <v>459</v>
      </c>
      <c r="AE2" s="1" t="s">
        <v>461</v>
      </c>
      <c r="AF2" s="1" t="s">
        <v>462</v>
      </c>
      <c r="AG2" s="1" t="s">
        <v>464</v>
      </c>
      <c r="AH2" s="1" t="s">
        <v>463</v>
      </c>
      <c r="AI2" s="1" t="s">
        <v>466</v>
      </c>
      <c r="AJ2" s="1"/>
    </row>
    <row r="3" spans="1:36">
      <c r="A3" s="6" t="s">
        <v>216</v>
      </c>
      <c r="B3" s="6">
        <v>66.67</v>
      </c>
      <c r="C3" s="6">
        <v>15583.59</v>
      </c>
      <c r="D3" s="6">
        <v>4406.2809999999999</v>
      </c>
      <c r="E3" s="6">
        <v>486.9</v>
      </c>
      <c r="F3" s="6">
        <v>2860.9450000000002</v>
      </c>
      <c r="G3" s="6">
        <v>8299.6689999999999</v>
      </c>
      <c r="H3" s="6">
        <v>250.732</v>
      </c>
      <c r="I3" s="6">
        <f t="shared" ref="I3:I10" si="0">100*(C3/(C3+F3+G3+H3))</f>
        <v>57.727827174696763</v>
      </c>
      <c r="J3" s="6">
        <f t="shared" ref="J3:J10" si="1">100*(C3/(C3+F3+H3))</f>
        <v>83.355803369911754</v>
      </c>
      <c r="K3" s="6">
        <v>2.6970000000000001</v>
      </c>
      <c r="L3" s="6">
        <v>30.638000000000002</v>
      </c>
      <c r="M3" s="6">
        <v>20.257000000000001</v>
      </c>
      <c r="N3" s="6">
        <f>(C3/C11-1)*100</f>
        <v>444.69444310134014</v>
      </c>
      <c r="O3" s="6">
        <f>(D3/D11-1)*100</f>
        <v>-59.134098169662551</v>
      </c>
      <c r="P3" s="6">
        <f>(E3/E11-1)*100</f>
        <v>366.01923162818002</v>
      </c>
      <c r="Q3" s="6">
        <f t="shared" ref="Q3:Q10" si="2">O3/-0.13</f>
        <v>454.87767822817347</v>
      </c>
      <c r="R3" s="6">
        <f t="shared" ref="R3:R10" si="3">Q3*0.0018</f>
        <v>0.81877982081071221</v>
      </c>
      <c r="S3" s="6">
        <f t="shared" ref="S3:S10" si="4">Q3*0.00015</f>
        <v>6.8231651734226018E-2</v>
      </c>
      <c r="T3" s="6">
        <f>C11*(100-R3)/100</f>
        <v>2837.5532200622333</v>
      </c>
      <c r="U3" s="6">
        <f>E11*(100-S3)/100</f>
        <v>104.40937778205708</v>
      </c>
      <c r="V3" s="6">
        <f>T3/U3</f>
        <v>27.17718734025318</v>
      </c>
      <c r="W3" s="6">
        <f>V3/X11-1</f>
        <v>-7.5106063014996893E-3</v>
      </c>
      <c r="X3" s="6">
        <f>C3/E3</f>
        <v>32.005730129390024</v>
      </c>
      <c r="Y3" s="6">
        <f>D3/E3</f>
        <v>9.049663175189977</v>
      </c>
      <c r="Z3" s="6">
        <f>F3/E3</f>
        <v>5.8758369275005142</v>
      </c>
      <c r="AA3" s="6">
        <f>K3/E3</f>
        <v>5.5391250770178684E-3</v>
      </c>
      <c r="AB3" s="6">
        <f>L3/E3</f>
        <v>6.2924625179708371E-2</v>
      </c>
      <c r="AC3" s="6">
        <f>L3/K3</f>
        <v>11.360029662588062</v>
      </c>
      <c r="AD3" s="6">
        <f t="shared" ref="AD3:AI3" si="5">X3/X11-1</f>
        <v>0.1688239586127902</v>
      </c>
      <c r="AE3" s="6">
        <f t="shared" si="5"/>
        <v>-0.91230855068457162</v>
      </c>
      <c r="AF3" s="6">
        <f t="shared" si="5"/>
        <v>-0.81169566584654707</v>
      </c>
      <c r="AG3" s="6">
        <f t="shared" si="5"/>
        <v>1.6793124110966589</v>
      </c>
      <c r="AH3" s="6">
        <f t="shared" si="5"/>
        <v>-0.6499810047103205</v>
      </c>
      <c r="AI3" s="6">
        <f t="shared" si="5"/>
        <v>-0.86936238049731029</v>
      </c>
    </row>
    <row r="4" spans="1:36">
      <c r="A4" s="6" t="s">
        <v>216</v>
      </c>
      <c r="B4" s="6">
        <v>90.08</v>
      </c>
      <c r="C4" s="6">
        <v>11358.592000000001</v>
      </c>
      <c r="D4" s="6">
        <v>9842.9689999999991</v>
      </c>
      <c r="E4" s="6">
        <v>442.09500000000003</v>
      </c>
      <c r="F4" s="6">
        <v>2575.1030000000001</v>
      </c>
      <c r="G4" s="6">
        <v>3268.9409999999998</v>
      </c>
      <c r="H4" s="6">
        <v>84.986000000000004</v>
      </c>
      <c r="I4" s="6">
        <f t="shared" si="0"/>
        <v>65.703611520427742</v>
      </c>
      <c r="J4" s="6">
        <f t="shared" si="1"/>
        <v>81.024684133978084</v>
      </c>
      <c r="K4" s="6">
        <v>1.083</v>
      </c>
      <c r="L4" s="6">
        <v>43.142000000000003</v>
      </c>
      <c r="M4" s="6">
        <v>4.984</v>
      </c>
      <c r="N4" s="6">
        <f>(C4/C11-1)*100</f>
        <v>297.01775674638111</v>
      </c>
      <c r="O4" s="6">
        <f>(D4/D11-1)*100</f>
        <v>-8.7117220002413287</v>
      </c>
      <c r="P4" s="6">
        <f>(E4/E11-1)*100</f>
        <v>323.1356997466836</v>
      </c>
      <c r="Q4" s="6">
        <f t="shared" si="2"/>
        <v>67.013246155702532</v>
      </c>
      <c r="R4" s="6">
        <f t="shared" si="3"/>
        <v>0.12062384308026455</v>
      </c>
      <c r="S4" s="6">
        <f t="shared" si="4"/>
        <v>1.0051986923355379E-2</v>
      </c>
      <c r="T4" s="6">
        <f>C11*(100-R4)/100</f>
        <v>2857.5273113179724</v>
      </c>
      <c r="U4" s="6">
        <f>E11*(100-S4)/100</f>
        <v>104.47016428371589</v>
      </c>
      <c r="V4" s="6">
        <f t="shared" ref="V4:V10" si="6">T4/U4</f>
        <v>27.352568371172598</v>
      </c>
      <c r="W4" s="6">
        <f>V4/X11-1</f>
        <v>-1.1058297194278532E-3</v>
      </c>
      <c r="X4" s="6">
        <f t="shared" ref="X4:X11" si="7">C4/E4</f>
        <v>25.692649769845847</v>
      </c>
      <c r="Y4" s="6">
        <f t="shared" ref="Y4:Y11" si="8">D4/E4</f>
        <v>22.264375303950505</v>
      </c>
      <c r="Z4" s="6">
        <f t="shared" ref="Z4:Z11" si="9">F4/E4</f>
        <v>5.8247729560388599</v>
      </c>
      <c r="AA4" s="6">
        <f t="shared" ref="AA4:AA11" si="10">K4/E4</f>
        <v>2.4496997251721915E-3</v>
      </c>
      <c r="AB4" s="6">
        <f t="shared" ref="AB4:AB11" si="11">L4/E4</f>
        <v>9.758536061253803E-2</v>
      </c>
      <c r="AC4" s="6">
        <f t="shared" ref="AC4:AC11" si="12">L4/K4</f>
        <v>39.835641735918749</v>
      </c>
      <c r="AD4" s="6">
        <f t="shared" ref="AD4:AI4" si="13">X4/X11-1</f>
        <v>-6.1724744605426651E-2</v>
      </c>
      <c r="AE4" s="6">
        <f t="shared" si="13"/>
        <v>-0.78425767890913067</v>
      </c>
      <c r="AF4" s="6">
        <f t="shared" si="13"/>
        <v>-0.81333212500359309</v>
      </c>
      <c r="AG4" s="6">
        <f t="shared" si="13"/>
        <v>0.18493639082935509</v>
      </c>
      <c r="AH4" s="6">
        <f t="shared" si="13"/>
        <v>-0.4571802409782757</v>
      </c>
      <c r="AI4" s="6">
        <f t="shared" si="13"/>
        <v>-0.54189966379393883</v>
      </c>
    </row>
    <row r="5" spans="1:36">
      <c r="A5" s="6" t="s">
        <v>216</v>
      </c>
      <c r="B5" s="6">
        <v>90.35</v>
      </c>
      <c r="C5" s="6">
        <v>13629.941000000001</v>
      </c>
      <c r="D5" s="6">
        <v>7645.0659999999998</v>
      </c>
      <c r="E5" s="6">
        <v>533.39499999999998</v>
      </c>
      <c r="F5" s="6">
        <v>3638.09</v>
      </c>
      <c r="G5" s="6">
        <v>5852.8320000000003</v>
      </c>
      <c r="H5" s="6">
        <v>94.195999999999998</v>
      </c>
      <c r="I5" s="6">
        <f t="shared" si="0"/>
        <v>58.711636270233036</v>
      </c>
      <c r="J5" s="6">
        <f t="shared" si="1"/>
        <v>78.503414337342775</v>
      </c>
      <c r="K5" s="6">
        <v>1.284</v>
      </c>
      <c r="L5" s="6">
        <v>48.311999999999998</v>
      </c>
      <c r="M5" s="6">
        <v>3.165</v>
      </c>
      <c r="N5" s="6">
        <f>(C5/C11-1)*100</f>
        <v>376.40839642849454</v>
      </c>
      <c r="O5" s="6">
        <f>(D5/D11-1)*100</f>
        <v>-29.096097901506845</v>
      </c>
      <c r="P5" s="6">
        <f>(E6/E11-1)*100</f>
        <v>1404.7319759317513</v>
      </c>
      <c r="Q5" s="6">
        <f t="shared" si="2"/>
        <v>223.81613770389879</v>
      </c>
      <c r="R5" s="6">
        <f t="shared" si="3"/>
        <v>0.40286904786701783</v>
      </c>
      <c r="S5" s="6">
        <f t="shared" si="4"/>
        <v>3.3572420655584814E-2</v>
      </c>
      <c r="T5" s="6">
        <f>C11*(100-R5)/100</f>
        <v>2849.4523371621513</v>
      </c>
      <c r="U5" s="6">
        <f>E11*(100-S5)/100</f>
        <v>104.44558997774956</v>
      </c>
      <c r="V5" s="6">
        <f t="shared" si="6"/>
        <v>27.281691240091426</v>
      </c>
      <c r="W5" s="6">
        <f>V5/X11-1</f>
        <v>-3.6942065066626339E-3</v>
      </c>
      <c r="X5" s="6">
        <f t="shared" si="7"/>
        <v>25.553184788008888</v>
      </c>
      <c r="Y5" s="6">
        <f t="shared" si="8"/>
        <v>14.332841515199805</v>
      </c>
      <c r="Z5" s="6">
        <f t="shared" si="9"/>
        <v>6.8206301146429951</v>
      </c>
      <c r="AA5" s="6">
        <f t="shared" si="10"/>
        <v>2.407221664994985E-3</v>
      </c>
      <c r="AB5" s="6">
        <f t="shared" si="11"/>
        <v>9.0574527320278597E-2</v>
      </c>
      <c r="AC5" s="6">
        <f t="shared" si="12"/>
        <v>37.626168224299064</v>
      </c>
      <c r="AD5" s="6">
        <f t="shared" ref="AD5:AI5" si="14">X5/X11-1</f>
        <v>-6.6817895472459865E-2</v>
      </c>
      <c r="AE5" s="6">
        <f t="shared" si="14"/>
        <v>-0.86111442813452266</v>
      </c>
      <c r="AF5" s="6">
        <f t="shared" si="14"/>
        <v>-0.78141765537540497</v>
      </c>
      <c r="AG5" s="6">
        <f t="shared" si="14"/>
        <v>0.16438946469036764</v>
      </c>
      <c r="AH5" s="6">
        <f t="shared" si="14"/>
        <v>-0.49617808670388541</v>
      </c>
      <c r="AI5" s="6">
        <f t="shared" si="14"/>
        <v>-0.56730807983556431</v>
      </c>
    </row>
    <row r="6" spans="1:36">
      <c r="A6" s="6" t="s">
        <v>216</v>
      </c>
      <c r="B6" s="6">
        <v>92.6</v>
      </c>
      <c r="C6" s="6">
        <v>33172.239999999998</v>
      </c>
      <c r="D6" s="6">
        <v>10545.276</v>
      </c>
      <c r="E6" s="6">
        <v>1572.154</v>
      </c>
      <c r="F6" s="6">
        <v>687.76800000000003</v>
      </c>
      <c r="G6" s="6">
        <v>13777.152</v>
      </c>
      <c r="H6" s="6">
        <v>122.449</v>
      </c>
      <c r="I6" s="6">
        <f t="shared" si="0"/>
        <v>69.456682528535765</v>
      </c>
      <c r="J6" s="6">
        <f t="shared" si="1"/>
        <v>97.615778635429436</v>
      </c>
      <c r="K6" s="6">
        <v>2.468</v>
      </c>
      <c r="L6" s="6">
        <v>139.99</v>
      </c>
      <c r="M6" s="6">
        <v>8.4589999999999996</v>
      </c>
      <c r="N6" s="6">
        <f>(C6/C11-1)*100</f>
        <v>1059.4719055894052</v>
      </c>
      <c r="O6" s="6">
        <f>(D6/D11-1)*100</f>
        <v>-2.1981998447639928</v>
      </c>
      <c r="P6" s="6">
        <f>(E6/E11-1)*100</f>
        <v>1404.7319759317513</v>
      </c>
      <c r="Q6" s="6">
        <f t="shared" si="2"/>
        <v>16.909229575107638</v>
      </c>
      <c r="R6" s="6">
        <f t="shared" si="3"/>
        <v>3.0436613235193748E-2</v>
      </c>
      <c r="S6" s="6">
        <f t="shared" si="4"/>
        <v>2.5363844362661456E-3</v>
      </c>
      <c r="T6" s="6">
        <f>C11*(100-R6)/100</f>
        <v>2860.1075484232738</v>
      </c>
      <c r="U6" s="6">
        <f>E11*(100-S6)/100</f>
        <v>104.47801663529843</v>
      </c>
      <c r="V6" s="6">
        <f t="shared" si="6"/>
        <v>27.375209068210545</v>
      </c>
      <c r="W6" s="6">
        <f>V6/X11-1</f>
        <v>-2.7900936473945759E-4</v>
      </c>
      <c r="X6" s="6">
        <f t="shared" si="7"/>
        <v>21.099866806941304</v>
      </c>
      <c r="Y6" s="6">
        <f t="shared" si="8"/>
        <v>6.7075337403333259</v>
      </c>
      <c r="Z6" s="6">
        <f t="shared" si="9"/>
        <v>0.43746859404358607</v>
      </c>
      <c r="AA6" s="6">
        <f t="shared" si="10"/>
        <v>1.5698207681944644E-3</v>
      </c>
      <c r="AB6" s="6">
        <f t="shared" si="11"/>
        <v>8.9043439764806762E-2</v>
      </c>
      <c r="AC6" s="6">
        <f t="shared" si="12"/>
        <v>56.722042139384122</v>
      </c>
      <c r="AD6" s="6">
        <f t="shared" ref="AD6:AI6" si="15">X6/X11-1</f>
        <v>-0.22944954707203347</v>
      </c>
      <c r="AE6" s="6">
        <f t="shared" si="15"/>
        <v>-0.93500384007279713</v>
      </c>
      <c r="AF6" s="6">
        <f t="shared" si="15"/>
        <v>-0.98598034061686146</v>
      </c>
      <c r="AG6" s="6">
        <f t="shared" si="15"/>
        <v>-0.24066703514751642</v>
      </c>
      <c r="AH6" s="6">
        <f t="shared" si="15"/>
        <v>-0.50469477991161227</v>
      </c>
      <c r="AI6" s="6">
        <f t="shared" si="15"/>
        <v>-0.34771010476990005</v>
      </c>
    </row>
    <row r="7" spans="1:36">
      <c r="A7" s="6" t="s">
        <v>216</v>
      </c>
      <c r="B7" s="6">
        <v>92.6</v>
      </c>
      <c r="C7" s="6">
        <v>31519.915000000001</v>
      </c>
      <c r="D7" s="6">
        <v>9834.15</v>
      </c>
      <c r="E7" s="6">
        <v>1558.55</v>
      </c>
      <c r="F7" s="6">
        <v>648.46900000000005</v>
      </c>
      <c r="G7" s="6">
        <v>13859.061</v>
      </c>
      <c r="H7" s="6">
        <v>104.53</v>
      </c>
      <c r="I7" s="6">
        <f t="shared" si="0"/>
        <v>68.3255269257386</v>
      </c>
      <c r="J7" s="6">
        <f t="shared" si="1"/>
        <v>97.666777161802003</v>
      </c>
      <c r="K7" s="6">
        <v>2.4380000000000002</v>
      </c>
      <c r="L7" s="6">
        <v>131.309</v>
      </c>
      <c r="M7" s="6">
        <v>10.717000000000001</v>
      </c>
      <c r="N7" s="6">
        <f>(C7/C11-1)*100</f>
        <v>1001.7180603138671</v>
      </c>
      <c r="O7" s="6">
        <f>(D7/D11-1)*100</f>
        <v>-8.7935135129119217</v>
      </c>
      <c r="P7" s="6">
        <f>(E7/E11-1)*100</f>
        <v>1391.7113852004518</v>
      </c>
      <c r="Q7" s="6">
        <f t="shared" si="2"/>
        <v>67.642411637784008</v>
      </c>
      <c r="R7" s="6">
        <f t="shared" si="3"/>
        <v>0.12175634094801122</v>
      </c>
      <c r="S7" s="6">
        <f t="shared" si="4"/>
        <v>1.01463617456676E-2</v>
      </c>
      <c r="T7" s="6">
        <f>C11*(100-R7)/100</f>
        <v>2857.4949107993511</v>
      </c>
      <c r="U7" s="6">
        <f>E11*(100-S7)/100</f>
        <v>104.47006568027238</v>
      </c>
      <c r="V7" s="6">
        <f t="shared" si="6"/>
        <v>27.352284046079109</v>
      </c>
      <c r="W7" s="6">
        <f>V7/X11-1</f>
        <v>-1.116213047037018E-3</v>
      </c>
      <c r="X7" s="6">
        <f t="shared" si="7"/>
        <v>20.223871547271504</v>
      </c>
      <c r="Y7" s="6">
        <f t="shared" si="8"/>
        <v>6.3098071925828494</v>
      </c>
      <c r="Z7" s="6">
        <f t="shared" si="9"/>
        <v>0.4160719899906965</v>
      </c>
      <c r="AA7" s="6">
        <f t="shared" si="10"/>
        <v>1.5642744859003562E-3</v>
      </c>
      <c r="AB7" s="6">
        <f t="shared" si="11"/>
        <v>8.4250745885598791E-2</v>
      </c>
      <c r="AC7" s="6">
        <f t="shared" si="12"/>
        <v>53.859310910582437</v>
      </c>
      <c r="AD7" s="6">
        <f t="shared" ref="AD7:AI7" si="16">X7/X11-1</f>
        <v>-0.26144020133906698</v>
      </c>
      <c r="AE7" s="6">
        <f t="shared" si="16"/>
        <v>-0.93885781968820192</v>
      </c>
      <c r="AF7" s="6">
        <f t="shared" si="16"/>
        <v>-0.98666604264178781</v>
      </c>
      <c r="AG7" s="6">
        <f t="shared" si="16"/>
        <v>-0.24334980955311802</v>
      </c>
      <c r="AH7" s="6">
        <f t="shared" si="16"/>
        <v>-0.53135419808916118</v>
      </c>
      <c r="AI7" s="6">
        <f t="shared" si="16"/>
        <v>-0.38063082805271775</v>
      </c>
    </row>
    <row r="8" spans="1:36">
      <c r="A8" s="6" t="s">
        <v>216</v>
      </c>
      <c r="B8" s="6">
        <v>92.8</v>
      </c>
      <c r="C8" s="6">
        <v>22326.960999999999</v>
      </c>
      <c r="D8" s="6">
        <v>13222.619000000001</v>
      </c>
      <c r="E8" s="6">
        <v>1439.8620000000001</v>
      </c>
      <c r="F8" s="6">
        <v>1603.43</v>
      </c>
      <c r="G8" s="6">
        <v>9880.3060000000005</v>
      </c>
      <c r="H8" s="6">
        <v>109.584</v>
      </c>
      <c r="I8" s="6">
        <f t="shared" si="0"/>
        <v>65.821863327134579</v>
      </c>
      <c r="J8" s="6">
        <f t="shared" si="1"/>
        <v>92.87431039341763</v>
      </c>
      <c r="K8" s="6">
        <v>3.98</v>
      </c>
      <c r="L8" s="6">
        <v>183.29499999999999</v>
      </c>
      <c r="M8" s="6">
        <v>8.7010000000000005</v>
      </c>
      <c r="N8" s="6">
        <f>(C8/C11-1)*100</f>
        <v>680.39601837832868</v>
      </c>
      <c r="O8" s="6">
        <f>(D8/D11-1)*100</f>
        <v>22.632725873350946</v>
      </c>
      <c r="P8" s="6">
        <f>(E8/E11-1)*100</f>
        <v>1278.1133351624862</v>
      </c>
      <c r="Q8" s="6">
        <f t="shared" si="2"/>
        <v>-174.09789133346882</v>
      </c>
      <c r="R8" s="6">
        <f t="shared" si="3"/>
        <v>-0.31337620440024389</v>
      </c>
      <c r="S8" s="6">
        <f t="shared" si="4"/>
        <v>-2.6114683700020323E-2</v>
      </c>
      <c r="T8" s="6">
        <f>C11*(100-R8)/100</f>
        <v>2869.9439586430462</v>
      </c>
      <c r="U8" s="6">
        <f>E11*(100-S8)/100</f>
        <v>104.50795146229433</v>
      </c>
      <c r="V8" s="6">
        <f t="shared" si="6"/>
        <v>27.461488991854367</v>
      </c>
      <c r="W8" s="6">
        <f>V8/X11-1</f>
        <v>2.871865228481596E-3</v>
      </c>
      <c r="X8" s="6">
        <f t="shared" si="7"/>
        <v>15.506320050115912</v>
      </c>
      <c r="Y8" s="6">
        <f t="shared" si="8"/>
        <v>9.1832543674324345</v>
      </c>
      <c r="Z8" s="6">
        <f t="shared" si="9"/>
        <v>1.1135997755340443</v>
      </c>
      <c r="AA8" s="6">
        <f t="shared" si="10"/>
        <v>2.7641537869601391E-3</v>
      </c>
      <c r="AB8" s="6">
        <f t="shared" si="11"/>
        <v>0.12730039406554239</v>
      </c>
      <c r="AC8" s="6">
        <f t="shared" si="12"/>
        <v>46.054020100502512</v>
      </c>
      <c r="AD8" s="6">
        <f t="shared" ref="AD8:AI8" si="17">X8/X11-1</f>
        <v>-0.43372145202679124</v>
      </c>
      <c r="AE8" s="6">
        <f t="shared" si="17"/>
        <v>-0.91101404888525228</v>
      </c>
      <c r="AF8" s="6">
        <f t="shared" si="17"/>
        <v>-0.9643122049109395</v>
      </c>
      <c r="AG8" s="6">
        <f t="shared" si="17"/>
        <v>0.33703995569808654</v>
      </c>
      <c r="AH8" s="6">
        <f t="shared" si="17"/>
        <v>-0.29189000485027705</v>
      </c>
      <c r="AI8" s="6">
        <f t="shared" si="17"/>
        <v>-0.47038980239000483</v>
      </c>
    </row>
    <row r="9" spans="1:36">
      <c r="A9" s="6" t="s">
        <v>216</v>
      </c>
      <c r="B9" s="6">
        <v>92.8</v>
      </c>
      <c r="C9" s="6">
        <v>6357.5730000000003</v>
      </c>
      <c r="D9" s="6">
        <v>16516.188999999998</v>
      </c>
      <c r="E9" s="6">
        <v>350.38400000000001</v>
      </c>
      <c r="F9" s="6">
        <v>3594.06</v>
      </c>
      <c r="G9" s="6">
        <v>1803.5450000000001</v>
      </c>
      <c r="H9" s="6">
        <v>59.417999999999999</v>
      </c>
      <c r="I9" s="6">
        <f t="shared" si="0"/>
        <v>53.811175600079778</v>
      </c>
      <c r="J9" s="6">
        <f t="shared" si="1"/>
        <v>63.50555001667658</v>
      </c>
      <c r="K9" s="6">
        <v>1.103</v>
      </c>
      <c r="L9" s="6">
        <v>43.125</v>
      </c>
      <c r="M9" s="6">
        <v>6.0659999999999998</v>
      </c>
      <c r="N9" s="6">
        <f>(C9/C11-1)*100</f>
        <v>122.21674753449724</v>
      </c>
      <c r="O9" s="6">
        <f>(D9/D11-1)*100</f>
        <v>53.178827742783326</v>
      </c>
      <c r="P9" s="6">
        <f>(E9/E11-1)*100</f>
        <v>235.35773763567107</v>
      </c>
      <c r="Q9" s="6">
        <f t="shared" si="2"/>
        <v>-409.06790571371789</v>
      </c>
      <c r="R9" s="6">
        <f t="shared" si="3"/>
        <v>-0.73632223028469224</v>
      </c>
      <c r="S9" s="6">
        <f t="shared" si="4"/>
        <v>-6.1360185857057679E-2</v>
      </c>
      <c r="T9" s="6">
        <f>C11*(100-R9)/100</f>
        <v>2882.0443528052947</v>
      </c>
      <c r="U9" s="6">
        <f>E11*(100-S9)/100</f>
        <v>104.54477619791801</v>
      </c>
      <c r="V9" s="6">
        <f t="shared" si="6"/>
        <v>27.567559639222701</v>
      </c>
      <c r="W9" s="6">
        <f>V9/X11-1</f>
        <v>6.745481404349718E-3</v>
      </c>
      <c r="X9" s="6">
        <f t="shared" si="7"/>
        <v>18.144587081601898</v>
      </c>
      <c r="Y9" s="6">
        <f t="shared" si="8"/>
        <v>47.137394972373158</v>
      </c>
      <c r="Z9" s="6">
        <f t="shared" si="9"/>
        <v>10.257488926434997</v>
      </c>
      <c r="AA9" s="6">
        <f t="shared" si="10"/>
        <v>3.1479747933695602E-3</v>
      </c>
      <c r="AB9" s="6">
        <f t="shared" si="11"/>
        <v>0.12307925019407279</v>
      </c>
      <c r="AC9" s="6">
        <f t="shared" si="12"/>
        <v>39.097914777878515</v>
      </c>
      <c r="AD9" s="6">
        <f t="shared" ref="AD9:AI9" si="18">X9/X11-1</f>
        <v>-0.33737402601424071</v>
      </c>
      <c r="AE9" s="6">
        <f t="shared" si="18"/>
        <v>-0.54323753248480255</v>
      </c>
      <c r="AF9" s="6">
        <f t="shared" si="18"/>
        <v>-0.67127582909275862</v>
      </c>
      <c r="AG9" s="6">
        <f t="shared" si="18"/>
        <v>0.52269678269034237</v>
      </c>
      <c r="AH9" s="6">
        <f t="shared" si="18"/>
        <v>-0.31537016913644322</v>
      </c>
      <c r="AI9" s="6">
        <f t="shared" si="18"/>
        <v>-0.55038334706799996</v>
      </c>
    </row>
    <row r="10" spans="1:36" s="3" customFormat="1">
      <c r="A10" s="6" t="s">
        <v>216</v>
      </c>
      <c r="B10" s="3">
        <v>92.8</v>
      </c>
      <c r="C10" s="3">
        <v>14235.919</v>
      </c>
      <c r="D10" s="3">
        <v>10954.065000000001</v>
      </c>
      <c r="E10" s="3">
        <v>495.11799999999999</v>
      </c>
      <c r="F10" s="3">
        <v>803.04200000000003</v>
      </c>
      <c r="G10" s="3">
        <v>4651.8209999999999</v>
      </c>
      <c r="H10" s="3">
        <v>78.543000000000006</v>
      </c>
      <c r="I10" s="3">
        <f t="shared" si="0"/>
        <v>72.010141975004203</v>
      </c>
      <c r="J10" s="3">
        <f t="shared" si="1"/>
        <v>94.168448706876489</v>
      </c>
      <c r="K10" s="6">
        <v>1.5509999999999999</v>
      </c>
      <c r="L10" s="6">
        <v>53.865000000000002</v>
      </c>
      <c r="M10" s="6">
        <v>8.19</v>
      </c>
      <c r="N10" s="6">
        <f>(C10/C11-1)*100</f>
        <v>397.58919297419828</v>
      </c>
      <c r="O10" s="6">
        <f>(D10/D11-1)*100</f>
        <v>1.5930996986200707</v>
      </c>
      <c r="P10" s="6">
        <f>(E10/E11-1)*100</f>
        <v>373.88480165389456</v>
      </c>
      <c r="Q10" s="6">
        <f t="shared" si="2"/>
        <v>-12.254613066308236</v>
      </c>
      <c r="R10" s="6">
        <f t="shared" si="3"/>
        <v>-2.2058303519354824E-2</v>
      </c>
      <c r="S10" s="6">
        <f t="shared" si="4"/>
        <v>-1.8381919599462352E-3</v>
      </c>
      <c r="T10" s="6">
        <f>C11*(100-R10)/100</f>
        <v>2861.6094166177227</v>
      </c>
      <c r="U10" s="6">
        <f>E11*(100-S10)/100</f>
        <v>104.48258722188102</v>
      </c>
      <c r="V10" s="6">
        <f t="shared" si="6"/>
        <v>27.388385880421968</v>
      </c>
      <c r="W10" s="6">
        <f>V10/X11-1</f>
        <v>2.021973988179937E-4</v>
      </c>
      <c r="X10" s="6">
        <f t="shared" si="7"/>
        <v>28.752578173283943</v>
      </c>
      <c r="Y10" s="6">
        <f t="shared" si="8"/>
        <v>22.124150202577972</v>
      </c>
      <c r="Z10" s="6">
        <f t="shared" si="9"/>
        <v>1.6219204310891546</v>
      </c>
      <c r="AA10" s="6">
        <f t="shared" si="10"/>
        <v>3.1325865753214386E-3</v>
      </c>
      <c r="AB10" s="6">
        <f t="shared" si="11"/>
        <v>0.10879224750463526</v>
      </c>
      <c r="AC10" s="6">
        <f t="shared" si="12"/>
        <v>34.729206963249517</v>
      </c>
      <c r="AD10" s="6">
        <f t="shared" ref="AD10:AI10" si="19">X10/X11-1</f>
        <v>5.0021421319218495E-2</v>
      </c>
      <c r="AE10" s="6">
        <f t="shared" si="19"/>
        <v>-0.7856164634441698</v>
      </c>
      <c r="AF10" s="6">
        <f t="shared" si="19"/>
        <v>-0.94802193277408686</v>
      </c>
      <c r="AG10" s="6">
        <f t="shared" si="19"/>
        <v>0.51525339713256568</v>
      </c>
      <c r="AH10" s="6">
        <f t="shared" si="19"/>
        <v>-0.39484179590857182</v>
      </c>
      <c r="AI10" s="6">
        <f t="shared" si="19"/>
        <v>-0.6006224402884579</v>
      </c>
      <c r="AJ10" s="6"/>
    </row>
    <row r="11" spans="1:36" s="2" customFormat="1">
      <c r="A11" s="2" t="s">
        <v>42</v>
      </c>
      <c r="B11" s="2">
        <v>165.5</v>
      </c>
      <c r="C11" s="2">
        <v>2860.978333333333</v>
      </c>
      <c r="D11" s="2">
        <v>10782.292333333333</v>
      </c>
      <c r="E11" s="2">
        <v>104.48066666666666</v>
      </c>
      <c r="F11" s="2">
        <v>3260.2083333333335</v>
      </c>
      <c r="G11" s="2">
        <v>13.32</v>
      </c>
      <c r="H11" s="2">
        <v>27.442333333333334</v>
      </c>
      <c r="I11" s="2">
        <v>46.549202478978096</v>
      </c>
      <c r="J11" s="2">
        <v>46.743821723030102</v>
      </c>
      <c r="K11" s="2">
        <v>0.21599999999999997</v>
      </c>
      <c r="L11" s="2">
        <v>18.783000000000001</v>
      </c>
      <c r="M11" s="2">
        <v>4.7160000000000002</v>
      </c>
      <c r="X11" s="2">
        <f t="shared" si="7"/>
        <v>27.382849139553727</v>
      </c>
      <c r="Y11" s="2">
        <f t="shared" si="8"/>
        <v>103.19892356480625</v>
      </c>
      <c r="Z11" s="2">
        <f t="shared" si="9"/>
        <v>31.203938846740389</v>
      </c>
      <c r="AA11" s="2">
        <f t="shared" si="10"/>
        <v>2.0673681255224249E-3</v>
      </c>
      <c r="AB11" s="2">
        <f t="shared" si="11"/>
        <v>0.17977488658188756</v>
      </c>
      <c r="AC11" s="2">
        <f t="shared" si="12"/>
        <v>86.958333333333357</v>
      </c>
    </row>
    <row r="12" spans="1:36">
      <c r="V12" s="39"/>
      <c r="Y12" s="39"/>
      <c r="Z12" s="39"/>
      <c r="AA12" s="39"/>
      <c r="AB12" s="39"/>
      <c r="AC12" s="39" t="s">
        <v>97</v>
      </c>
      <c r="AD12" s="6">
        <f>_xlfn.VAR.P(AD3:AD10)</f>
        <v>3.6325858821807319E-2</v>
      </c>
    </row>
    <row r="13" spans="1:36">
      <c r="V13" s="39"/>
      <c r="Y13" s="39"/>
      <c r="Z13" s="39"/>
      <c r="AA13" s="39"/>
      <c r="AB13" s="39"/>
      <c r="AC13" s="39" t="s">
        <v>98</v>
      </c>
      <c r="AD13" s="6">
        <f>AVERAGE(AD3:AD10)</f>
        <v>-0.14646031082475128</v>
      </c>
    </row>
  </sheetData>
  <sortState ref="B3:AG10">
    <sortCondition ref="B3:B10"/>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65"/>
  <sheetViews>
    <sheetView zoomScale="50" zoomScaleNormal="50" workbookViewId="0">
      <selection activeCell="H24" sqref="H24"/>
    </sheetView>
  </sheetViews>
  <sheetFormatPr defaultRowHeight="14.5"/>
  <cols>
    <col min="1" max="1" width="12.36328125" style="6" customWidth="1"/>
    <col min="2" max="2" width="11.7265625" customWidth="1"/>
    <col min="6" max="13" width="8.7265625" style="6"/>
    <col min="14" max="14" width="13.26953125" customWidth="1"/>
    <col min="15" max="16" width="12.54296875" customWidth="1"/>
    <col min="17" max="17" width="17.90625" customWidth="1"/>
    <col min="18" max="19" width="20" customWidth="1"/>
    <col min="20" max="21" width="11.90625" customWidth="1"/>
    <col min="22" max="22" width="13.81640625" customWidth="1"/>
    <col min="23" max="23" width="15.90625" customWidth="1"/>
    <col min="26" max="29" width="8.7265625" style="6"/>
    <col min="31" max="32" width="11" customWidth="1"/>
  </cols>
  <sheetData>
    <row r="1" spans="1:36" s="6" customFormat="1">
      <c r="A1" s="81" t="s">
        <v>168</v>
      </c>
      <c r="B1" s="81"/>
      <c r="C1" s="87"/>
    </row>
    <row r="2" spans="1:36">
      <c r="A2" s="1" t="s">
        <v>196</v>
      </c>
      <c r="B2" s="1" t="s">
        <v>20</v>
      </c>
      <c r="C2" s="1" t="s">
        <v>22</v>
      </c>
      <c r="D2" s="1" t="s">
        <v>23</v>
      </c>
      <c r="E2" s="1" t="s">
        <v>24</v>
      </c>
      <c r="F2" s="1" t="s">
        <v>54</v>
      </c>
      <c r="G2" s="1" t="s">
        <v>55</v>
      </c>
      <c r="H2" s="1" t="s">
        <v>56</v>
      </c>
      <c r="I2" s="1" t="s">
        <v>51</v>
      </c>
      <c r="J2" s="1" t="s">
        <v>52</v>
      </c>
      <c r="K2" s="1" t="s">
        <v>109</v>
      </c>
      <c r="L2" s="1" t="s">
        <v>108</v>
      </c>
      <c r="M2" s="1" t="s">
        <v>138</v>
      </c>
      <c r="N2" s="1" t="s">
        <v>7</v>
      </c>
      <c r="O2" s="1" t="s">
        <v>8</v>
      </c>
      <c r="P2" s="1" t="s">
        <v>9</v>
      </c>
      <c r="Q2" s="1" t="s">
        <v>10</v>
      </c>
      <c r="R2" s="1" t="s">
        <v>11</v>
      </c>
      <c r="S2" s="1" t="s">
        <v>12</v>
      </c>
      <c r="T2" s="1" t="s">
        <v>13</v>
      </c>
      <c r="U2" s="1" t="s">
        <v>14</v>
      </c>
      <c r="V2" s="1" t="s">
        <v>15</v>
      </c>
      <c r="W2" s="1" t="s">
        <v>460</v>
      </c>
      <c r="X2" s="1" t="s">
        <v>16</v>
      </c>
      <c r="Y2" s="1" t="s">
        <v>17</v>
      </c>
      <c r="Z2" s="1" t="s">
        <v>107</v>
      </c>
      <c r="AA2" s="1" t="s">
        <v>136</v>
      </c>
      <c r="AB2" s="1" t="s">
        <v>135</v>
      </c>
      <c r="AC2" s="1" t="s">
        <v>106</v>
      </c>
      <c r="AD2" s="1" t="s">
        <v>459</v>
      </c>
      <c r="AE2" s="1" t="s">
        <v>461</v>
      </c>
      <c r="AF2" s="1" t="s">
        <v>462</v>
      </c>
      <c r="AG2" s="1" t="s">
        <v>464</v>
      </c>
      <c r="AH2" s="1" t="s">
        <v>463</v>
      </c>
      <c r="AI2" s="1" t="s">
        <v>466</v>
      </c>
      <c r="AJ2" s="1"/>
    </row>
    <row r="3" spans="1:36">
      <c r="A3" s="6" t="s">
        <v>213</v>
      </c>
      <c r="B3" s="88">
        <v>227.95</v>
      </c>
      <c r="C3" s="5">
        <v>54630.186841796989</v>
      </c>
      <c r="D3" s="5">
        <v>480.15815064590907</v>
      </c>
      <c r="E3" s="5">
        <v>4490.2004472057033</v>
      </c>
      <c r="F3" s="5">
        <v>330.697</v>
      </c>
      <c r="G3" s="5">
        <v>32997.440999999999</v>
      </c>
      <c r="H3" s="5">
        <v>953.16600000000005</v>
      </c>
      <c r="I3" s="5">
        <f t="shared" ref="I3:I10" si="0">100*(C3/(C3+F3+G3+H3))</f>
        <v>61.443336878696819</v>
      </c>
      <c r="J3" s="5">
        <f t="shared" ref="J3:J10" si="1">100*(C3/(C3+F3+H3))</f>
        <v>97.70386333375501</v>
      </c>
      <c r="K3" s="6">
        <v>1.9650000000000001</v>
      </c>
      <c r="L3" s="6">
        <v>80.978999999999999</v>
      </c>
      <c r="M3" s="6">
        <v>17.484999999999999</v>
      </c>
      <c r="N3">
        <f>(C3/C11-1)*100</f>
        <v>53.214087457460167</v>
      </c>
      <c r="O3">
        <f>(D3/D11-1)*100</f>
        <v>-97.01234137998172</v>
      </c>
      <c r="P3">
        <f>(E3/E11-1)*100</f>
        <v>550.86866814320706</v>
      </c>
      <c r="Q3">
        <f>O3/-0.61</f>
        <v>159.03662521308479</v>
      </c>
      <c r="R3">
        <f>Q3*0.0032</f>
        <v>0.50891720068187141</v>
      </c>
      <c r="S3">
        <f>Q3*0.000044</f>
        <v>6.9976115093757308E-3</v>
      </c>
      <c r="T3">
        <f>C11*(100-R3)/100</f>
        <v>35474.652054619517</v>
      </c>
      <c r="U3">
        <f>E11*(100-S3)/100</f>
        <v>689.8298320659876</v>
      </c>
      <c r="V3">
        <f>T3/U3</f>
        <v>51.425221707758922</v>
      </c>
      <c r="W3">
        <f>V3/X11-1</f>
        <v>-5.019547140133418E-3</v>
      </c>
      <c r="X3">
        <f t="shared" ref="X3:X11" si="2">C3/E3</f>
        <v>12.166536323738933</v>
      </c>
      <c r="Y3">
        <f t="shared" ref="Y3:Y11" si="3">D3/E3</f>
        <v>0.10693468059866154</v>
      </c>
      <c r="Z3" s="6">
        <f t="shared" ref="Z3:Z11" si="4">F3/E3</f>
        <v>7.3648605198860573E-2</v>
      </c>
      <c r="AA3" s="6">
        <f>K3/E3</f>
        <v>4.3761966155048587E-4</v>
      </c>
      <c r="AB3" s="6">
        <f t="shared" ref="AB3:AB11" si="5">L3/E3</f>
        <v>1.8034606907224832E-2</v>
      </c>
      <c r="AC3" s="6">
        <f>L3/K3</f>
        <v>41.210687022900764</v>
      </c>
      <c r="AD3">
        <f t="shared" ref="AD3:AI3" si="6">X3/X11-1</f>
        <v>-0.76460060999011048</v>
      </c>
      <c r="AE3">
        <f t="shared" si="6"/>
        <v>-0.99540973660855203</v>
      </c>
      <c r="AF3" s="6">
        <f t="shared" si="6"/>
        <v>-0.99639806396358388</v>
      </c>
      <c r="AG3" s="6">
        <f t="shared" si="6"/>
        <v>-0.73883717671206539</v>
      </c>
      <c r="AH3" s="6">
        <f t="shared" si="6"/>
        <v>-0.65494410309643447</v>
      </c>
      <c r="AI3" s="6">
        <f t="shared" si="6"/>
        <v>0.32122900403453625</v>
      </c>
    </row>
    <row r="4" spans="1:36">
      <c r="A4" s="6" t="s">
        <v>213</v>
      </c>
      <c r="B4" s="88">
        <v>227.65</v>
      </c>
      <c r="C4" s="5">
        <v>55873.987999563105</v>
      </c>
      <c r="D4" s="5">
        <v>567.07776335132962</v>
      </c>
      <c r="E4" s="5">
        <v>5307.4281381447499</v>
      </c>
      <c r="F4" s="5">
        <v>598.20699999999999</v>
      </c>
      <c r="G4" s="5">
        <v>40718.326000000001</v>
      </c>
      <c r="H4" s="5">
        <v>1205.373</v>
      </c>
      <c r="I4" s="5">
        <f t="shared" si="0"/>
        <v>56.784877628949836</v>
      </c>
      <c r="J4" s="5">
        <f t="shared" si="1"/>
        <v>96.87299575458232</v>
      </c>
      <c r="K4" s="6">
        <v>1.2769999999999999</v>
      </c>
      <c r="L4" s="6">
        <v>63.399000000000001</v>
      </c>
      <c r="M4" s="6">
        <v>7.8689999999999998</v>
      </c>
      <c r="N4">
        <f>(C4/C11-1)*100</f>
        <v>56.702412692691965</v>
      </c>
      <c r="O4">
        <f>(D4/D11-1)*100</f>
        <v>-96.471506803293451</v>
      </c>
      <c r="P4">
        <f>(E4/E11-1)*100</f>
        <v>669.32839060442973</v>
      </c>
      <c r="Q4" s="6">
        <f t="shared" ref="Q4:Q10" si="7">O4/-0.61</f>
        <v>158.1500111529401</v>
      </c>
      <c r="R4" s="6">
        <f t="shared" ref="R4:R10" si="8">Q4*0.0032</f>
        <v>0.50608003568940829</v>
      </c>
      <c r="S4" s="6">
        <f t="shared" ref="S4:S10" si="9">Q4*0.000044</f>
        <v>6.9586004907293639E-3</v>
      </c>
      <c r="T4">
        <f>C11*(100-R4)/100</f>
        <v>35475.663677350894</v>
      </c>
      <c r="U4">
        <f>E11*(100-S4)/100</f>
        <v>689.83010119446453</v>
      </c>
      <c r="V4">
        <f t="shared" ref="V4:V10" si="10">T4/U4</f>
        <v>51.426668125852387</v>
      </c>
      <c r="W4">
        <f>V4/X11-1</f>
        <v>-4.9915616948232877E-3</v>
      </c>
      <c r="X4">
        <f t="shared" si="2"/>
        <v>10.527507211636832</v>
      </c>
      <c r="Y4">
        <f t="shared" si="3"/>
        <v>0.10684605586568635</v>
      </c>
      <c r="Z4" s="6">
        <f t="shared" si="4"/>
        <v>0.11271127642796641</v>
      </c>
      <c r="AA4" s="6">
        <f>K4/E4</f>
        <v>2.4060617812648983E-4</v>
      </c>
      <c r="AB4" s="6">
        <f t="shared" si="5"/>
        <v>1.1945333662522576E-2</v>
      </c>
      <c r="AC4" s="6">
        <f>L4/K4</f>
        <v>49.646828504306974</v>
      </c>
      <c r="AD4">
        <f t="shared" ref="AD4:AI4" si="11">X4/X11-1</f>
        <v>-0.79631271300208062</v>
      </c>
      <c r="AE4">
        <f t="shared" si="11"/>
        <v>-0.99541354090165013</v>
      </c>
      <c r="AF4" s="6">
        <f t="shared" si="11"/>
        <v>-0.99448762393829238</v>
      </c>
      <c r="AG4" s="6">
        <f t="shared" si="11"/>
        <v>-0.85641095613163043</v>
      </c>
      <c r="AH4" s="6">
        <f t="shared" si="11"/>
        <v>-0.77145008804806026</v>
      </c>
      <c r="AI4" s="6">
        <f t="shared" si="11"/>
        <v>0.59169464323096355</v>
      </c>
      <c r="AJ4" s="6"/>
    </row>
    <row r="5" spans="1:36">
      <c r="A5" s="6" t="s">
        <v>213</v>
      </c>
      <c r="B5" s="88">
        <v>228.2</v>
      </c>
      <c r="C5" s="5">
        <v>58683.857334401546</v>
      </c>
      <c r="D5" s="5">
        <v>499.22500914705358</v>
      </c>
      <c r="E5" s="5">
        <v>3972.8178605190392</v>
      </c>
      <c r="F5" s="5">
        <v>246.44499999999999</v>
      </c>
      <c r="G5" s="5">
        <v>30194.656999999999</v>
      </c>
      <c r="H5" s="5">
        <v>829.76400000000001</v>
      </c>
      <c r="I5" s="5">
        <f t="shared" si="0"/>
        <v>65.23710502254302</v>
      </c>
      <c r="J5" s="5">
        <f t="shared" si="1"/>
        <v>98.199116791507862</v>
      </c>
      <c r="K5" s="6">
        <v>2.1320000000000001</v>
      </c>
      <c r="L5" s="6">
        <v>52.447000000000003</v>
      </c>
      <c r="M5" s="6">
        <v>31.693999999999999</v>
      </c>
      <c r="N5">
        <f>(C5/C11-1)*100</f>
        <v>64.582883013225299</v>
      </c>
      <c r="O5">
        <f>(D5/D11-1)*100</f>
        <v>-96.893702835408462</v>
      </c>
      <c r="P5">
        <f>(E5/E11-1)*100</f>
        <v>475.87243599798114</v>
      </c>
      <c r="Q5" s="6">
        <f t="shared" si="7"/>
        <v>158.84213579575157</v>
      </c>
      <c r="R5" s="6">
        <f t="shared" si="8"/>
        <v>0.50829483454640501</v>
      </c>
      <c r="S5" s="6">
        <f t="shared" si="9"/>
        <v>6.9890539750130688E-3</v>
      </c>
      <c r="T5" s="6">
        <f>C11*(100-R5)/100</f>
        <v>35474.873966186715</v>
      </c>
      <c r="U5" s="6">
        <f>E11*(100-S5)/100</f>
        <v>689.82989110254357</v>
      </c>
      <c r="V5">
        <f t="shared" si="10"/>
        <v>51.425538996995066</v>
      </c>
      <c r="W5" s="6">
        <f>V5/X11-1</f>
        <v>-5.0134081955186538E-3</v>
      </c>
      <c r="X5">
        <f t="shared" si="2"/>
        <v>14.771343513526855</v>
      </c>
      <c r="Y5">
        <f t="shared" si="3"/>
        <v>0.12566018042463972</v>
      </c>
      <c r="Z5" s="6">
        <f t="shared" si="4"/>
        <v>6.2032796028510237E-2</v>
      </c>
      <c r="AA5" s="6">
        <f>K5/E5</f>
        <v>5.3664680205637704E-4</v>
      </c>
      <c r="AB5" s="6">
        <f t="shared" si="5"/>
        <v>1.3201460988485368E-2</v>
      </c>
      <c r="AC5" s="6">
        <f>L5/K5</f>
        <v>24.599906191369605</v>
      </c>
      <c r="AD5" s="6">
        <f t="shared" ref="AD5:AI5" si="12">X5/X11-1</f>
        <v>-0.71420253388581645</v>
      </c>
      <c r="AE5">
        <f t="shared" si="12"/>
        <v>-0.99460592837855077</v>
      </c>
      <c r="AF5" s="6">
        <f t="shared" si="12"/>
        <v>-0.99696615892654816</v>
      </c>
      <c r="AG5" s="6">
        <f t="shared" si="12"/>
        <v>-0.67973972321781484</v>
      </c>
      <c r="AH5" s="6">
        <f t="shared" si="12"/>
        <v>-0.74741662043133439</v>
      </c>
      <c r="AI5" s="6">
        <f t="shared" si="12"/>
        <v>-0.21131842479343099</v>
      </c>
      <c r="AJ5" s="6"/>
    </row>
    <row r="6" spans="1:36">
      <c r="A6" s="6" t="s">
        <v>212</v>
      </c>
      <c r="B6" s="88">
        <v>229.4</v>
      </c>
      <c r="C6" s="5">
        <v>42737.058679774222</v>
      </c>
      <c r="D6" s="5">
        <v>5495.7786692648542</v>
      </c>
      <c r="E6" s="5">
        <v>1464.9464496829362</v>
      </c>
      <c r="F6" s="5">
        <v>201.01599999999999</v>
      </c>
      <c r="G6" s="5">
        <v>15123.367</v>
      </c>
      <c r="H6" s="5">
        <v>523.64099999999996</v>
      </c>
      <c r="I6" s="5">
        <f t="shared" si="0"/>
        <v>72.948704217718301</v>
      </c>
      <c r="J6" s="5">
        <f t="shared" si="1"/>
        <v>98.332654409367365</v>
      </c>
      <c r="K6" s="6" t="s">
        <v>53</v>
      </c>
      <c r="L6" s="6">
        <v>46.741999999999997</v>
      </c>
      <c r="M6" s="6" t="s">
        <v>53</v>
      </c>
      <c r="N6" s="6">
        <f>(C6/C11-1)*100</f>
        <v>19.858997832088487</v>
      </c>
      <c r="O6" s="6">
        <f>(D6/D11-1)*100</f>
        <v>-65.803953358171228</v>
      </c>
      <c r="P6">
        <f>(E6/E11-1)*100</f>
        <v>112.34859241075026</v>
      </c>
      <c r="Q6" s="6">
        <f t="shared" si="7"/>
        <v>107.87533337405119</v>
      </c>
      <c r="R6" s="6">
        <f t="shared" si="8"/>
        <v>0.34520106679696383</v>
      </c>
      <c r="S6" s="6">
        <f t="shared" si="9"/>
        <v>4.7465146684582526E-3</v>
      </c>
      <c r="T6" s="6">
        <f>C11*(100-R6)/100</f>
        <v>35533.026862912739</v>
      </c>
      <c r="U6" s="6">
        <f>E11*(100-S6)/100</f>
        <v>689.84536189026176</v>
      </c>
      <c r="V6">
        <f t="shared" si="10"/>
        <v>51.508684157196974</v>
      </c>
      <c r="W6" s="6">
        <f>V6/X11-1</f>
        <v>-3.4047071262081063E-3</v>
      </c>
      <c r="X6">
        <f t="shared" si="2"/>
        <v>29.173120074814996</v>
      </c>
      <c r="Y6">
        <f t="shared" si="3"/>
        <v>3.7515218869975255</v>
      </c>
      <c r="Z6" s="6">
        <f t="shared" si="4"/>
        <v>0.1372173024095909</v>
      </c>
      <c r="AA6" s="6" t="s">
        <v>53</v>
      </c>
      <c r="AB6" s="6">
        <f t="shared" si="5"/>
        <v>3.1906968346943017E-2</v>
      </c>
      <c r="AC6" s="6" t="s">
        <v>53</v>
      </c>
      <c r="AD6" s="6">
        <f>X6/X11-1</f>
        <v>-0.43555548698791102</v>
      </c>
      <c r="AE6">
        <f>Y6/Y11-1</f>
        <v>-0.83896268746777158</v>
      </c>
      <c r="AF6" s="6">
        <f>Z6/Z11-1</f>
        <v>-0.99328910649381097</v>
      </c>
      <c r="AG6" s="6" t="s">
        <v>53</v>
      </c>
      <c r="AH6" s="6">
        <f>AB6/AB11-1</f>
        <v>-0.38952439401285133</v>
      </c>
      <c r="AI6" s="6" t="s">
        <v>53</v>
      </c>
      <c r="AJ6" s="6"/>
    </row>
    <row r="7" spans="1:36">
      <c r="A7" s="6" t="s">
        <v>212</v>
      </c>
      <c r="B7" s="88">
        <v>230.7</v>
      </c>
      <c r="C7" s="5">
        <v>25860.249130164764</v>
      </c>
      <c r="D7" s="5">
        <v>10367.599376495238</v>
      </c>
      <c r="E7" s="5">
        <v>1022.5515730372801</v>
      </c>
      <c r="F7" s="5">
        <v>588.83100000000002</v>
      </c>
      <c r="G7" s="5">
        <v>971.63099999999997</v>
      </c>
      <c r="H7" s="5">
        <v>38.927999999999997</v>
      </c>
      <c r="I7" s="5">
        <f t="shared" si="0"/>
        <v>94.175487913666529</v>
      </c>
      <c r="J7" s="5">
        <f t="shared" si="1"/>
        <v>97.630025644377909</v>
      </c>
      <c r="K7" s="6">
        <v>0.93300000000000005</v>
      </c>
      <c r="L7" s="6">
        <v>20.600999999999999</v>
      </c>
      <c r="M7" s="6">
        <v>52.415999999999997</v>
      </c>
      <c r="N7" s="6">
        <f>(C7/C11-1)*100</f>
        <v>-27.473166376407686</v>
      </c>
      <c r="O7" s="6">
        <f>(D7/D11-1)*100</f>
        <v>-35.490322085723655</v>
      </c>
      <c r="P7">
        <f>(E7/E11-1)*100</f>
        <v>48.222064532707499</v>
      </c>
      <c r="Q7" s="6">
        <f t="shared" si="7"/>
        <v>58.180855878235498</v>
      </c>
      <c r="R7" s="6">
        <f t="shared" si="8"/>
        <v>0.1861787388103536</v>
      </c>
      <c r="S7" s="6">
        <f t="shared" si="9"/>
        <v>2.5599576586423619E-3</v>
      </c>
      <c r="T7" s="6">
        <f>C11*(100-R7)/100</f>
        <v>35589.728042511109</v>
      </c>
      <c r="U7" s="6">
        <f>E11*(100-S7)/100</f>
        <v>689.8604464683707</v>
      </c>
      <c r="V7">
        <f t="shared" si="10"/>
        <v>51.589750107731184</v>
      </c>
      <c r="W7" s="6">
        <f>V7/X11-1</f>
        <v>-1.8362348183508237E-3</v>
      </c>
      <c r="X7">
        <f t="shared" si="2"/>
        <v>25.289921615740308</v>
      </c>
      <c r="Y7">
        <f t="shared" si="3"/>
        <v>10.138950102732135</v>
      </c>
      <c r="Z7" s="6">
        <f t="shared" si="4"/>
        <v>0.57584479406842826</v>
      </c>
      <c r="AA7" s="6">
        <f>K7/E7</f>
        <v>9.1242341667786451E-4</v>
      </c>
      <c r="AB7" s="6">
        <f t="shared" si="5"/>
        <v>2.0146661100729567E-2</v>
      </c>
      <c r="AC7" s="6">
        <f>L7/K7</f>
        <v>22.080385852090028</v>
      </c>
      <c r="AD7" s="6">
        <f t="shared" ref="AD7:AI7" si="13">X7/X11-1</f>
        <v>-0.51068800821089533</v>
      </c>
      <c r="AE7">
        <f t="shared" si="13"/>
        <v>-0.56477682241403893</v>
      </c>
      <c r="AF7" s="6">
        <f t="shared" si="13"/>
        <v>-0.97183712971159175</v>
      </c>
      <c r="AG7" s="6">
        <f t="shared" si="13"/>
        <v>-0.45548361632256262</v>
      </c>
      <c r="AH7" s="6">
        <f t="shared" si="13"/>
        <v>-0.6145341979735921</v>
      </c>
      <c r="AI7" s="6">
        <f t="shared" si="13"/>
        <v>-0.29209512591130515</v>
      </c>
      <c r="AJ7" s="6"/>
    </row>
    <row r="8" spans="1:36">
      <c r="A8" s="6" t="s">
        <v>212</v>
      </c>
      <c r="B8" s="88">
        <v>231.6</v>
      </c>
      <c r="C8" s="5">
        <v>27916.964750397852</v>
      </c>
      <c r="D8" s="5">
        <v>13825.185170755938</v>
      </c>
      <c r="E8" s="5">
        <v>1144.7381938752935</v>
      </c>
      <c r="F8" s="5">
        <v>1427.982</v>
      </c>
      <c r="G8" s="5">
        <v>732.19299999999998</v>
      </c>
      <c r="H8" s="5">
        <v>31.984000000000002</v>
      </c>
      <c r="I8" s="5">
        <f t="shared" si="0"/>
        <v>92.719286624968504</v>
      </c>
      <c r="J8" s="5">
        <f t="shared" si="1"/>
        <v>95.030229630165735</v>
      </c>
      <c r="K8" s="6">
        <v>0.92200000000000004</v>
      </c>
      <c r="L8" s="6">
        <v>23.597000000000001</v>
      </c>
      <c r="M8" s="6">
        <v>30.212</v>
      </c>
      <c r="N8" s="6">
        <f>(C8/C11-1)*100</f>
        <v>-21.704967050528325</v>
      </c>
      <c r="O8" s="6">
        <f>(D8/D11-1)*100</f>
        <v>-13.976397998879131</v>
      </c>
      <c r="P8">
        <f>(E8/E11-1)*100</f>
        <v>65.933399272618161</v>
      </c>
      <c r="Q8" s="6">
        <f t="shared" si="7"/>
        <v>22.91212786701497</v>
      </c>
      <c r="R8" s="6">
        <f t="shared" si="8"/>
        <v>7.3318809174447913E-2</v>
      </c>
      <c r="S8" s="6">
        <f t="shared" si="9"/>
        <v>1.0081336261486586E-3</v>
      </c>
      <c r="T8" s="6">
        <f>C11*(100-R8)/100</f>
        <v>35629.969505585927</v>
      </c>
      <c r="U8" s="6">
        <f>E11*(100-S8)/100</f>
        <v>689.87115216263101</v>
      </c>
      <c r="V8">
        <f t="shared" si="10"/>
        <v>51.647281371154477</v>
      </c>
      <c r="W8" s="6">
        <f>V8/X11-1</f>
        <v>-7.2311404543889957E-4</v>
      </c>
      <c r="X8">
        <f t="shared" si="2"/>
        <v>24.387204777269005</v>
      </c>
      <c r="Y8">
        <f t="shared" si="3"/>
        <v>12.077158991221742</v>
      </c>
      <c r="Z8" s="6">
        <f t="shared" si="4"/>
        <v>1.2474310786869427</v>
      </c>
      <c r="AA8" s="6">
        <f>K8/E8</f>
        <v>8.0542433626569607E-4</v>
      </c>
      <c r="AB8" s="6">
        <f t="shared" si="5"/>
        <v>2.0613446922843417E-2</v>
      </c>
      <c r="AC8" s="6">
        <f>L8/K8</f>
        <v>25.593275488069416</v>
      </c>
      <c r="AD8" s="6">
        <f t="shared" ref="AD8:AI8" si="14">X8/X11-1</f>
        <v>-0.52815386599271774</v>
      </c>
      <c r="AE8">
        <f t="shared" si="14"/>
        <v>-0.48157753425041649</v>
      </c>
      <c r="AF8" s="6">
        <f t="shared" si="14"/>
        <v>-0.93899182553239358</v>
      </c>
      <c r="AG8" s="6">
        <f t="shared" si="14"/>
        <v>-0.51933856705911874</v>
      </c>
      <c r="AH8" s="6">
        <f t="shared" si="14"/>
        <v>-0.60560319097466286</v>
      </c>
      <c r="AI8" s="6">
        <f t="shared" si="14"/>
        <v>-0.17947065856260247</v>
      </c>
      <c r="AJ8" s="6"/>
    </row>
    <row r="9" spans="1:36">
      <c r="A9" s="6" t="s">
        <v>212</v>
      </c>
      <c r="B9" s="88">
        <v>232.7</v>
      </c>
      <c r="C9" s="5">
        <v>31530.677337743266</v>
      </c>
      <c r="D9" s="5">
        <v>14992.078783167983</v>
      </c>
      <c r="E9" s="5">
        <v>1003.8536225017849</v>
      </c>
      <c r="F9" s="5">
        <v>1851.829</v>
      </c>
      <c r="G9" s="5">
        <v>2827.855</v>
      </c>
      <c r="H9" s="5">
        <v>87.084999999999994</v>
      </c>
      <c r="I9" s="5">
        <f t="shared" si="0"/>
        <v>86.867481101436709</v>
      </c>
      <c r="J9" s="5">
        <f t="shared" si="1"/>
        <v>94.206938529860366</v>
      </c>
      <c r="K9" s="6">
        <v>1.0249999999999999</v>
      </c>
      <c r="L9" s="6">
        <v>27.007999999999999</v>
      </c>
      <c r="M9" s="6">
        <v>26.352</v>
      </c>
      <c r="N9" s="6">
        <f>(C9/C11-1)*100</f>
        <v>-11.57006346678191</v>
      </c>
      <c r="O9" s="6">
        <f>(D9/D11-1)*100</f>
        <v>-6.7157074220819402</v>
      </c>
      <c r="P9">
        <f>(E9/E11-1)*100</f>
        <v>45.511737832344103</v>
      </c>
      <c r="Q9" s="6">
        <f t="shared" si="7"/>
        <v>11.009356429642525</v>
      </c>
      <c r="R9" s="6">
        <f t="shared" si="8"/>
        <v>3.5229940574856081E-2</v>
      </c>
      <c r="S9" s="6">
        <f t="shared" si="9"/>
        <v>4.8441168290427108E-4</v>
      </c>
      <c r="T9" s="6">
        <f>C11*(100-R9)/100</f>
        <v>35643.55051528757</v>
      </c>
      <c r="U9" s="6">
        <f>E11*(100-S9)/100</f>
        <v>689.87476520565917</v>
      </c>
      <c r="V9">
        <f t="shared" si="10"/>
        <v>51.666697077493247</v>
      </c>
      <c r="W9" s="6">
        <f>V9/X11-1</f>
        <v>-3.4745697204163761E-4</v>
      </c>
      <c r="X9">
        <f t="shared" si="2"/>
        <v>31.409636455923835</v>
      </c>
      <c r="Y9">
        <f t="shared" si="3"/>
        <v>14.934526754812129</v>
      </c>
      <c r="Z9" s="6">
        <f t="shared" si="4"/>
        <v>1.8447201449399633</v>
      </c>
      <c r="AA9" s="6">
        <f>K9/E9</f>
        <v>1.0210652001688397E-3</v>
      </c>
      <c r="AB9" s="6">
        <f t="shared" si="5"/>
        <v>2.6904320903570755E-2</v>
      </c>
      <c r="AC9" s="6">
        <f>L9/K9</f>
        <v>26.349268292682929</v>
      </c>
      <c r="AD9" s="6">
        <f t="shared" ref="AD9:AI9" si="15">X9/X11-1</f>
        <v>-0.39228313914369295</v>
      </c>
      <c r="AE9">
        <f t="shared" si="15"/>
        <v>-0.35892255863648281</v>
      </c>
      <c r="AF9" s="6">
        <f t="shared" si="15"/>
        <v>-0.90978017914635478</v>
      </c>
      <c r="AG9" s="6">
        <f t="shared" si="15"/>
        <v>-0.3906483326357798</v>
      </c>
      <c r="AH9" s="6">
        <f t="shared" si="15"/>
        <v>-0.48523998179057082</v>
      </c>
      <c r="AI9" s="6">
        <f t="shared" si="15"/>
        <v>-0.15523326548682748</v>
      </c>
      <c r="AJ9" s="6"/>
    </row>
    <row r="10" spans="1:36">
      <c r="A10" s="6" t="s">
        <v>212</v>
      </c>
      <c r="B10" s="89">
        <v>237.25</v>
      </c>
      <c r="C10" s="5">
        <v>25513.001392309063</v>
      </c>
      <c r="D10" s="5">
        <v>10343.485149076649</v>
      </c>
      <c r="E10" s="5">
        <v>803.90759800261276</v>
      </c>
      <c r="F10" s="5">
        <v>1072.2080000000001</v>
      </c>
      <c r="G10" s="5">
        <v>3545.9270000000001</v>
      </c>
      <c r="H10" s="5">
        <v>104.72499999999999</v>
      </c>
      <c r="I10" s="5">
        <f t="shared" si="0"/>
        <v>84.379938978019894</v>
      </c>
      <c r="J10" s="5">
        <f t="shared" si="1"/>
        <v>95.590348845746348</v>
      </c>
      <c r="K10" s="6">
        <v>0.88200000000000001</v>
      </c>
      <c r="L10" s="6">
        <v>56.139000000000003</v>
      </c>
      <c r="M10" s="6">
        <v>25.225999999999999</v>
      </c>
      <c r="N10" s="6">
        <f>(C10/C11-1)*100</f>
        <v>-28.447046356560403</v>
      </c>
      <c r="O10" s="6">
        <f>(D10/D11-1)*100</f>
        <v>-35.640366564434089</v>
      </c>
      <c r="P10">
        <f>(E10/E11-1)*100</f>
        <v>16.528933123193124</v>
      </c>
      <c r="Q10" s="6">
        <f t="shared" si="7"/>
        <v>58.426830433498509</v>
      </c>
      <c r="R10" s="6">
        <f t="shared" si="8"/>
        <v>0.18696585738719523</v>
      </c>
      <c r="S10" s="6">
        <f t="shared" si="9"/>
        <v>2.5707805390739343E-3</v>
      </c>
      <c r="T10" s="6">
        <f>C11*(100-R10)/100</f>
        <v>35589.447386628657</v>
      </c>
      <c r="U10" s="6">
        <f>E11*(100-S10)/100</f>
        <v>689.86037180368805</v>
      </c>
      <c r="V10">
        <f t="shared" si="10"/>
        <v>51.589348861389972</v>
      </c>
      <c r="W10" s="6">
        <f>V10/X11-1</f>
        <v>-1.8439981736272371E-3</v>
      </c>
      <c r="X10">
        <f t="shared" si="2"/>
        <v>31.736236174031216</v>
      </c>
      <c r="Y10">
        <f t="shared" si="3"/>
        <v>12.866510000373241</v>
      </c>
      <c r="Z10" s="6">
        <f t="shared" si="4"/>
        <v>1.3337453242934958</v>
      </c>
      <c r="AA10" s="6">
        <f>K10/E10</f>
        <v>1.0971410174395856E-3</v>
      </c>
      <c r="AB10" s="6">
        <f t="shared" si="5"/>
        <v>6.9832652582812821E-2</v>
      </c>
      <c r="AC10" s="6">
        <f>L10/K10</f>
        <v>63.64965986394558</v>
      </c>
      <c r="AD10" s="6">
        <f t="shared" ref="AD10:AI10" si="16">X10/X11-1</f>
        <v>-0.38596405437098968</v>
      </c>
      <c r="AE10">
        <f t="shared" si="16"/>
        <v>-0.44769396139990747</v>
      </c>
      <c r="AF10" s="6">
        <f t="shared" si="16"/>
        <v>-0.93477045038391859</v>
      </c>
      <c r="AG10" s="6">
        <f t="shared" si="16"/>
        <v>-0.34524777830060183</v>
      </c>
      <c r="AH10" s="6">
        <f t="shared" si="16"/>
        <v>0.33610722396529846</v>
      </c>
      <c r="AI10" s="6">
        <f t="shared" si="16"/>
        <v>1.0406303020972647</v>
      </c>
      <c r="AJ10" s="6"/>
    </row>
    <row r="11" spans="1:36" s="2" customFormat="1">
      <c r="A11" s="2" t="s">
        <v>42</v>
      </c>
      <c r="B11" s="90">
        <v>242.25</v>
      </c>
      <c r="C11" s="4">
        <v>35656.112142406644</v>
      </c>
      <c r="D11" s="4">
        <v>16071.386048884351</v>
      </c>
      <c r="E11" s="4">
        <v>689.87810705580762</v>
      </c>
      <c r="F11" s="4">
        <v>14105.903</v>
      </c>
      <c r="G11" s="4">
        <v>4177.2380000000003</v>
      </c>
      <c r="H11" s="4">
        <v>1563.94</v>
      </c>
      <c r="I11" s="4"/>
      <c r="J11" s="4"/>
      <c r="K11" s="2">
        <v>1.1559999999999999</v>
      </c>
      <c r="L11" s="2">
        <v>36.057000000000002</v>
      </c>
      <c r="M11" s="2">
        <v>43.173000000000002</v>
      </c>
      <c r="X11" s="2">
        <f t="shared" si="2"/>
        <v>51.684655271314831</v>
      </c>
      <c r="Y11" s="2">
        <f t="shared" si="3"/>
        <v>23.295979223738808</v>
      </c>
      <c r="Z11" s="2">
        <f t="shared" si="4"/>
        <v>20.446949766531588</v>
      </c>
      <c r="AA11" s="2">
        <f>K11/E11</f>
        <v>1.6756583346780787E-3</v>
      </c>
      <c r="AB11" s="2">
        <f t="shared" si="5"/>
        <v>5.226575482135596E-2</v>
      </c>
      <c r="AC11" s="2">
        <f>L11/K11</f>
        <v>31.191176470588239</v>
      </c>
    </row>
    <row r="12" spans="1:36">
      <c r="B12" s="3"/>
      <c r="C12" s="3"/>
      <c r="D12" s="3"/>
      <c r="E12" s="3"/>
      <c r="F12" s="3"/>
      <c r="G12" s="3"/>
      <c r="H12" s="3"/>
      <c r="I12" s="3"/>
      <c r="J12" s="3"/>
      <c r="K12" s="3"/>
      <c r="L12" s="3"/>
      <c r="M12" s="3"/>
      <c r="N12" s="3"/>
      <c r="O12" s="3"/>
      <c r="P12" s="3"/>
      <c r="Q12" s="3"/>
      <c r="R12" s="3"/>
      <c r="S12" s="3"/>
      <c r="T12" s="3"/>
      <c r="U12" s="3"/>
      <c r="V12" s="39"/>
      <c r="W12" s="6"/>
      <c r="X12" s="3"/>
      <c r="Y12" s="39"/>
      <c r="Z12" s="39"/>
      <c r="AA12" s="39"/>
      <c r="AB12" s="39"/>
      <c r="AC12" s="39" t="s">
        <v>97</v>
      </c>
      <c r="AD12" s="6">
        <f>_xlfn.VAR.P(AD3:AD10)</f>
        <v>2.4818517333488943E-2</v>
      </c>
      <c r="AE12" s="3"/>
    </row>
    <row r="13" spans="1:36">
      <c r="B13" s="3"/>
      <c r="C13" s="3"/>
      <c r="D13" s="3"/>
      <c r="E13" s="3"/>
      <c r="F13" s="3"/>
      <c r="G13" s="3"/>
      <c r="H13" s="3"/>
      <c r="I13" s="3"/>
      <c r="J13" s="3"/>
      <c r="K13" s="3"/>
      <c r="L13" s="3"/>
      <c r="M13" s="3"/>
      <c r="N13" s="3"/>
      <c r="O13" s="3"/>
      <c r="P13" s="3"/>
      <c r="Q13" s="3"/>
      <c r="R13" s="3"/>
      <c r="S13" s="3"/>
      <c r="T13" s="3"/>
      <c r="U13" s="3"/>
      <c r="V13" s="39"/>
      <c r="W13" s="6"/>
      <c r="X13" s="3"/>
      <c r="Y13" s="39"/>
      <c r="Z13" s="39"/>
      <c r="AA13" s="39"/>
      <c r="AB13" s="39"/>
      <c r="AC13" s="39" t="s">
        <v>98</v>
      </c>
      <c r="AD13" s="6">
        <f>AVERAGE(AD3:AD10)</f>
        <v>-0.5659700514480267</v>
      </c>
      <c r="AE13" s="3"/>
    </row>
    <row r="14" spans="1:36">
      <c r="B14" s="3"/>
      <c r="C14" s="3"/>
      <c r="D14" s="3"/>
      <c r="E14" s="3"/>
      <c r="F14" s="3"/>
      <c r="G14" s="3"/>
      <c r="H14" s="3"/>
      <c r="I14" s="3"/>
      <c r="J14" s="3"/>
      <c r="K14" s="3"/>
      <c r="L14" s="3"/>
      <c r="M14" s="3"/>
      <c r="N14" s="3"/>
      <c r="O14" s="3"/>
      <c r="P14" s="3"/>
      <c r="R14" s="3"/>
      <c r="S14" s="3"/>
      <c r="T14" s="3"/>
      <c r="U14" s="3"/>
      <c r="V14" s="3"/>
      <c r="W14" s="3"/>
      <c r="X14" s="3"/>
      <c r="Y14" s="3"/>
      <c r="Z14" s="3"/>
      <c r="AA14" s="3"/>
      <c r="AB14" s="3"/>
      <c r="AC14" s="3"/>
      <c r="AD14" s="3"/>
      <c r="AE14" s="3"/>
    </row>
    <row r="15" spans="1:36">
      <c r="B15" s="3"/>
      <c r="F15" s="3"/>
      <c r="G15" s="3"/>
      <c r="H15" s="3"/>
      <c r="I15" s="3"/>
      <c r="J15" s="3"/>
      <c r="K15" s="3"/>
      <c r="L15" s="3"/>
      <c r="M15" s="3"/>
      <c r="N15" s="3"/>
      <c r="O15" s="3"/>
      <c r="P15" s="3"/>
      <c r="R15" s="3"/>
      <c r="S15" s="3"/>
      <c r="T15" s="3"/>
      <c r="U15" s="3"/>
      <c r="V15" s="3"/>
      <c r="W15" s="3"/>
      <c r="X15" s="3"/>
      <c r="Y15" s="3"/>
      <c r="Z15" s="3"/>
      <c r="AA15" s="3"/>
      <c r="AB15" s="3"/>
      <c r="AC15" s="3"/>
      <c r="AD15" s="3"/>
      <c r="AE15" s="3"/>
      <c r="AF15" s="3"/>
    </row>
    <row r="16" spans="1:36">
      <c r="B16" s="3"/>
      <c r="C16" s="3"/>
      <c r="D16" s="3"/>
      <c r="E16" s="3"/>
      <c r="F16" s="3"/>
      <c r="G16" s="3"/>
      <c r="H16" s="3"/>
      <c r="I16" s="3"/>
      <c r="J16" s="3"/>
      <c r="K16" s="3"/>
      <c r="L16" s="3"/>
      <c r="N16" s="3"/>
      <c r="O16" s="3"/>
      <c r="P16" s="3"/>
      <c r="R16" s="3"/>
      <c r="S16" s="3"/>
      <c r="T16" s="3"/>
      <c r="U16" s="3"/>
      <c r="V16" s="3"/>
      <c r="W16" s="3"/>
      <c r="X16" s="3"/>
      <c r="Y16" s="3"/>
      <c r="Z16" s="3"/>
      <c r="AA16" s="3"/>
      <c r="AB16" s="3"/>
      <c r="AC16" s="3"/>
      <c r="AD16" s="3"/>
      <c r="AE16" s="3"/>
      <c r="AF16" s="3"/>
    </row>
    <row r="17" spans="2:32">
      <c r="B17" s="3"/>
      <c r="C17" s="3"/>
      <c r="D17" s="3"/>
      <c r="E17" s="3"/>
      <c r="F17" s="3"/>
      <c r="G17" s="3"/>
      <c r="H17" s="3"/>
      <c r="I17" s="3"/>
      <c r="J17" s="3"/>
      <c r="K17" s="3"/>
      <c r="L17" s="3"/>
      <c r="N17" s="3"/>
      <c r="O17" s="3"/>
      <c r="P17" s="3"/>
      <c r="R17" s="3"/>
      <c r="S17" s="3"/>
      <c r="T17" s="3"/>
      <c r="U17" s="3"/>
      <c r="V17" s="3"/>
      <c r="W17" s="3"/>
      <c r="X17" s="3"/>
      <c r="Y17" s="3"/>
      <c r="Z17" s="3"/>
      <c r="AA17" s="3"/>
      <c r="AB17" s="3"/>
      <c r="AC17" s="3"/>
      <c r="AD17" s="3"/>
      <c r="AE17" s="3"/>
      <c r="AF17" s="3"/>
    </row>
    <row r="18" spans="2:32">
      <c r="B18" s="3"/>
      <c r="C18" s="3"/>
      <c r="D18" s="3"/>
      <c r="E18" s="3"/>
      <c r="F18" s="3"/>
      <c r="G18" s="3"/>
      <c r="H18" s="3"/>
      <c r="I18" s="3"/>
      <c r="J18" s="3"/>
      <c r="K18" s="3"/>
      <c r="L18" s="3"/>
      <c r="N18" s="3"/>
      <c r="O18" s="3"/>
      <c r="P18" s="3"/>
      <c r="R18" s="3"/>
      <c r="S18" s="3"/>
      <c r="T18" s="3"/>
      <c r="U18" s="3"/>
      <c r="V18" s="3"/>
      <c r="W18" s="3"/>
      <c r="X18" s="3"/>
      <c r="Y18" s="3"/>
      <c r="Z18" s="3"/>
      <c r="AA18" s="3"/>
      <c r="AB18" s="3"/>
      <c r="AC18" s="3"/>
      <c r="AD18" s="3"/>
      <c r="AE18" s="3"/>
    </row>
    <row r="19" spans="2:32">
      <c r="B19" s="3"/>
      <c r="C19" s="3"/>
      <c r="D19" s="3"/>
      <c r="E19" s="3"/>
      <c r="F19" s="3"/>
      <c r="G19" s="3"/>
      <c r="H19" s="3"/>
      <c r="I19" s="3"/>
      <c r="J19" s="3"/>
      <c r="K19" s="3"/>
      <c r="L19" s="3"/>
      <c r="N19" s="3"/>
      <c r="O19" s="3"/>
      <c r="P19" s="3"/>
      <c r="R19" s="3"/>
      <c r="S19" s="3"/>
      <c r="T19" s="3"/>
      <c r="U19" s="3"/>
      <c r="V19" s="3"/>
      <c r="W19" s="3"/>
      <c r="X19" s="3"/>
      <c r="Y19" s="3"/>
      <c r="Z19" s="3"/>
      <c r="AA19" s="3"/>
      <c r="AB19" s="3"/>
      <c r="AC19" s="3"/>
      <c r="AD19" s="3"/>
      <c r="AE19" s="3"/>
    </row>
    <row r="20" spans="2:32">
      <c r="B20" s="3"/>
      <c r="C20" s="3"/>
      <c r="D20" s="3"/>
      <c r="E20" s="3"/>
      <c r="F20" s="3"/>
      <c r="G20" s="3"/>
      <c r="H20" s="3"/>
      <c r="I20" s="3"/>
      <c r="J20" s="3"/>
      <c r="K20" s="3"/>
      <c r="L20" s="3"/>
      <c r="N20" s="3"/>
      <c r="O20" s="3"/>
      <c r="P20" s="3"/>
      <c r="R20" s="3"/>
      <c r="S20" s="3"/>
      <c r="T20" s="3"/>
      <c r="U20" s="3"/>
      <c r="V20" s="3"/>
      <c r="W20" s="3"/>
      <c r="X20" s="3"/>
      <c r="Y20" s="3"/>
      <c r="Z20" s="3"/>
      <c r="AA20" s="3"/>
      <c r="AB20" s="3"/>
      <c r="AC20" s="3"/>
      <c r="AD20" s="3"/>
      <c r="AE20" s="3"/>
    </row>
    <row r="21" spans="2:32">
      <c r="B21" s="3"/>
      <c r="C21" s="3"/>
      <c r="D21" s="3"/>
      <c r="E21" s="3"/>
      <c r="F21" s="3"/>
      <c r="G21" s="3"/>
      <c r="H21" s="3"/>
      <c r="I21" s="3"/>
      <c r="J21" s="3"/>
      <c r="K21" s="3"/>
      <c r="L21" s="3"/>
      <c r="N21" s="3"/>
      <c r="O21" s="3"/>
      <c r="P21" s="3"/>
      <c r="R21" s="3"/>
      <c r="S21" s="3"/>
      <c r="T21" s="3"/>
      <c r="U21" s="3"/>
      <c r="V21" s="3"/>
      <c r="W21" s="3"/>
      <c r="X21" s="3"/>
      <c r="Y21" s="3"/>
      <c r="Z21" s="3"/>
      <c r="AA21" s="3"/>
      <c r="AB21" s="3"/>
      <c r="AC21" s="3"/>
      <c r="AD21" s="3"/>
      <c r="AE21" s="3"/>
    </row>
    <row r="22" spans="2:32">
      <c r="B22" s="3"/>
      <c r="C22" s="3"/>
      <c r="D22" s="3"/>
      <c r="E22" s="3"/>
      <c r="F22" s="3"/>
      <c r="G22" s="3"/>
      <c r="H22" s="3"/>
      <c r="I22" s="3"/>
      <c r="J22" s="3"/>
      <c r="K22" s="3"/>
      <c r="L22" s="3"/>
      <c r="N22" s="3"/>
      <c r="O22" s="3"/>
      <c r="P22" s="3"/>
      <c r="R22" s="3"/>
      <c r="S22" s="3"/>
      <c r="T22" s="3"/>
      <c r="U22" s="3"/>
      <c r="V22" s="3"/>
      <c r="W22" s="3"/>
      <c r="X22" s="3"/>
      <c r="Y22" s="3"/>
      <c r="Z22" s="3"/>
      <c r="AA22" s="3"/>
      <c r="AB22" s="3"/>
      <c r="AC22" s="3"/>
      <c r="AD22" s="3"/>
      <c r="AE22" s="3"/>
    </row>
    <row r="23" spans="2:32">
      <c r="B23" s="3"/>
      <c r="C23" s="3"/>
      <c r="D23" s="3"/>
      <c r="E23" s="3"/>
      <c r="F23" s="3"/>
      <c r="G23" s="3"/>
      <c r="H23" s="3"/>
      <c r="I23" s="3"/>
      <c r="J23" s="3"/>
      <c r="K23" s="3"/>
      <c r="L23" s="3"/>
      <c r="N23" s="3"/>
      <c r="O23" s="3"/>
      <c r="P23" s="3"/>
      <c r="Q23" s="3"/>
      <c r="R23" s="3"/>
      <c r="S23" s="3"/>
      <c r="T23" s="3"/>
      <c r="U23" s="3"/>
      <c r="V23" s="3"/>
      <c r="W23" s="3"/>
      <c r="X23" s="3"/>
      <c r="Y23" s="3"/>
      <c r="Z23" s="3"/>
      <c r="AA23" s="3"/>
      <c r="AB23" s="3"/>
      <c r="AC23" s="3"/>
      <c r="AD23" s="3"/>
      <c r="AE23" s="3"/>
    </row>
    <row r="24" spans="2:32">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row>
    <row r="25" spans="2:32">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2:32">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row>
    <row r="27" spans="2:3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row>
    <row r="28" spans="2:3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row>
    <row r="29" spans="2:3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row>
    <row r="30" spans="2:3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row>
    <row r="31" spans="2:3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2:3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2:31">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2:31">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row>
    <row r="35" spans="2:31">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row>
    <row r="36" spans="2:31">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row>
    <row r="37" spans="2:31">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row>
    <row r="38" spans="2:31">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row>
    <row r="39" spans="2:31">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row>
    <row r="40" spans="2:31">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2:31">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2:31">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2:31">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2:31">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2:31">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2:31">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2:31">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spans="2:31">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spans="2:31">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2:31">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row>
    <row r="51" spans="2:31">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row>
    <row r="52" spans="2:31">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row>
    <row r="53" spans="2:31">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row>
    <row r="54" spans="2:31">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row>
    <row r="55" spans="2:31">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row>
    <row r="56" spans="2:31">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row>
    <row r="57" spans="2:31">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row>
    <row r="58" spans="2:31">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row>
    <row r="59" spans="2:31">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row>
    <row r="60" spans="2:31">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row>
    <row r="61" spans="2:31">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row>
    <row r="62" spans="2:31">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row>
    <row r="63" spans="2:31">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row>
    <row r="64" spans="2:31">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row>
    <row r="65" spans="2:31">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
  <sheetViews>
    <sheetView workbookViewId="0">
      <selection activeCell="H4" sqref="H4"/>
    </sheetView>
  </sheetViews>
  <sheetFormatPr defaultRowHeight="14.5"/>
  <cols>
    <col min="1" max="1" width="11.453125" style="6" customWidth="1"/>
    <col min="2" max="15" width="8.7265625" style="6"/>
    <col min="16" max="16" width="15.26953125" style="6" customWidth="1"/>
    <col min="17" max="17" width="16.54296875" style="6" customWidth="1"/>
    <col min="18" max="18" width="13.36328125" style="6" customWidth="1"/>
    <col min="19" max="19" width="18.81640625" style="6" customWidth="1"/>
    <col min="20" max="21" width="22.90625" style="6" customWidth="1"/>
    <col min="22" max="22" width="14.6328125" style="6" customWidth="1"/>
    <col min="23" max="23" width="14.1796875" style="6" customWidth="1"/>
    <col min="24" max="24" width="17.6328125" style="6" customWidth="1"/>
    <col min="25" max="25" width="17.81640625" style="6" customWidth="1"/>
    <col min="26" max="29" width="8.7265625" style="6"/>
    <col min="30" max="30" width="11.08984375" style="6" customWidth="1"/>
    <col min="31" max="31" width="12.6328125" style="6" customWidth="1"/>
    <col min="32" max="32" width="27.36328125" style="6" customWidth="1"/>
    <col min="33" max="33" width="11.6328125" style="6" customWidth="1"/>
    <col min="34" max="16384" width="8.7265625" style="6"/>
  </cols>
  <sheetData>
    <row r="1" spans="1:32">
      <c r="A1" s="107" t="s">
        <v>169</v>
      </c>
      <c r="B1" s="107"/>
      <c r="C1" s="107"/>
      <c r="D1" s="107"/>
      <c r="E1" s="107"/>
      <c r="F1" s="107"/>
      <c r="G1" s="107"/>
      <c r="H1" s="107"/>
      <c r="I1" s="107"/>
      <c r="J1" s="107"/>
      <c r="K1" s="107"/>
      <c r="L1" s="107"/>
      <c r="M1" s="107"/>
      <c r="N1" s="107"/>
      <c r="O1" s="107"/>
      <c r="P1" s="107"/>
      <c r="Q1" s="107"/>
      <c r="R1" s="107"/>
    </row>
    <row r="2" spans="1:32">
      <c r="A2" s="1" t="s">
        <v>196</v>
      </c>
      <c r="B2" s="1" t="s">
        <v>1</v>
      </c>
      <c r="C2" s="1" t="s">
        <v>2</v>
      </c>
      <c r="D2" s="1" t="s">
        <v>3</v>
      </c>
      <c r="E2" s="1" t="s">
        <v>48</v>
      </c>
      <c r="F2" s="1" t="s">
        <v>49</v>
      </c>
      <c r="G2" s="1" t="s">
        <v>50</v>
      </c>
      <c r="H2" s="1" t="s">
        <v>4</v>
      </c>
      <c r="I2" s="1" t="s">
        <v>5</v>
      </c>
      <c r="J2" s="1" t="s">
        <v>6</v>
      </c>
      <c r="K2" s="1" t="s">
        <v>45</v>
      </c>
      <c r="L2" s="1" t="s">
        <v>46</v>
      </c>
      <c r="M2" s="1" t="s">
        <v>47</v>
      </c>
      <c r="N2" s="1" t="s">
        <v>51</v>
      </c>
      <c r="O2" s="1" t="s">
        <v>52</v>
      </c>
      <c r="P2" s="1" t="s">
        <v>7</v>
      </c>
      <c r="Q2" s="1" t="s">
        <v>8</v>
      </c>
      <c r="R2" s="1" t="s">
        <v>9</v>
      </c>
      <c r="S2" s="1" t="s">
        <v>10</v>
      </c>
      <c r="T2" s="1" t="s">
        <v>11</v>
      </c>
      <c r="U2" s="1" t="s">
        <v>12</v>
      </c>
      <c r="V2" s="1" t="s">
        <v>13</v>
      </c>
      <c r="W2" s="1" t="s">
        <v>14</v>
      </c>
      <c r="X2" s="1" t="s">
        <v>15</v>
      </c>
      <c r="Y2" s="1" t="s">
        <v>460</v>
      </c>
      <c r="Z2" s="1" t="s">
        <v>16</v>
      </c>
      <c r="AA2" s="1" t="s">
        <v>17</v>
      </c>
      <c r="AB2" s="1" t="s">
        <v>107</v>
      </c>
      <c r="AC2" s="1" t="s">
        <v>459</v>
      </c>
      <c r="AD2" s="1" t="s">
        <v>461</v>
      </c>
      <c r="AE2" s="1" t="s">
        <v>462</v>
      </c>
      <c r="AF2" s="1"/>
    </row>
    <row r="3" spans="1:32">
      <c r="A3" s="6" t="s">
        <v>40</v>
      </c>
      <c r="B3" s="6">
        <v>14.46</v>
      </c>
      <c r="C3" s="6">
        <v>1.22</v>
      </c>
      <c r="D3" s="6">
        <v>0.31</v>
      </c>
      <c r="E3" s="6">
        <v>2.57</v>
      </c>
      <c r="F3" s="6">
        <v>2.09</v>
      </c>
      <c r="G3" s="6">
        <v>4.38</v>
      </c>
      <c r="H3" s="6">
        <f>B3*26.98/101.96</f>
        <v>3.8263122793252262</v>
      </c>
      <c r="I3" s="6">
        <f>C3*24.305/40.3044</f>
        <v>0.73570379412669573</v>
      </c>
      <c r="J3" s="6">
        <f>D3*47.867/79.866</f>
        <v>0.185795833020309</v>
      </c>
      <c r="K3" s="6">
        <f>E3*40.078/56.0774</f>
        <v>1.8367552703941339</v>
      </c>
      <c r="L3" s="6">
        <f>F3*39.0983/94.2</f>
        <v>0.86746759023354558</v>
      </c>
      <c r="M3" s="6">
        <f>G3*22.989769/61.9789</f>
        <v>1.6246688505281635</v>
      </c>
      <c r="N3" s="6">
        <f>100*(H3/(H3+K3+L3+M3))</f>
        <v>46.918658120525016</v>
      </c>
      <c r="O3" s="6">
        <f>100*(H3/(H3+K3+M3))</f>
        <v>52.503439602937178</v>
      </c>
      <c r="P3" s="6">
        <f>(H3/H6-1)*100</f>
        <v>-15.438596491228063</v>
      </c>
      <c r="Q3" s="6">
        <f>(I3/I6-1)*100</f>
        <v>12.962962962962932</v>
      </c>
      <c r="R3" s="6">
        <f>(J3/J6-1)*100</f>
        <v>24</v>
      </c>
      <c r="S3" s="6">
        <f>Q3/-0.13</f>
        <v>-99.71509971509947</v>
      </c>
      <c r="T3" s="6">
        <f>S3*0.0018</f>
        <v>-0.17948717948717904</v>
      </c>
      <c r="U3" s="6">
        <f>S3*0.00015</f>
        <v>-1.495726495726492E-2</v>
      </c>
      <c r="V3" s="6">
        <f>H6*(100-T3)/100</f>
        <v>4.5330137157859802</v>
      </c>
      <c r="W3" s="6">
        <f>J6*(100-U3)/100</f>
        <v>0.14985776048010757</v>
      </c>
      <c r="X3" s="6">
        <f>V3/W3</f>
        <v>30.248775247029677</v>
      </c>
      <c r="Y3" s="6">
        <f>X3/Z6-1</f>
        <v>1.6450530903497906E-3</v>
      </c>
      <c r="Z3" s="6">
        <f>H3/J3</f>
        <v>20.594177044363416</v>
      </c>
      <c r="AA3" s="6">
        <f>I3/J3</f>
        <v>3.9597432416381335</v>
      </c>
      <c r="AB3" s="6">
        <f>K3/J3</f>
        <v>9.8858797882370251</v>
      </c>
      <c r="AC3" s="6">
        <f>Z3/Z6-1</f>
        <v>-0.3180531975099038</v>
      </c>
      <c r="AD3" s="6">
        <f>AA3/AA6-1</f>
        <v>-8.9008363201911744E-2</v>
      </c>
      <c r="AE3" s="6">
        <f>AB3/AB6-1</f>
        <v>4.1814516129032251</v>
      </c>
    </row>
    <row r="4" spans="1:32">
      <c r="A4" s="6" t="s">
        <v>41</v>
      </c>
      <c r="B4" s="6">
        <v>15.06</v>
      </c>
      <c r="C4" s="6">
        <v>1.18</v>
      </c>
      <c r="D4" s="6">
        <v>0.27</v>
      </c>
      <c r="E4" s="6">
        <v>2.4500000000000002</v>
      </c>
      <c r="F4" s="6">
        <v>4.22</v>
      </c>
      <c r="G4" s="6">
        <v>1.47</v>
      </c>
      <c r="H4" s="6">
        <f>B4*26.98/101.96</f>
        <v>3.985080423695567</v>
      </c>
      <c r="I4" s="6">
        <f>C4*24.305/40.3044</f>
        <v>0.71158235825368932</v>
      </c>
      <c r="J4" s="6">
        <f>D4*47.867/79.866</f>
        <v>0.16182217714672076</v>
      </c>
      <c r="K4" s="6">
        <f>E4*40.078/56.0774</f>
        <v>1.7509923783912953</v>
      </c>
      <c r="L4" s="6">
        <f>F4*39.0983/94.2</f>
        <v>1.7515374309978766</v>
      </c>
      <c r="M4" s="6">
        <f>G4*22.989769/61.9789</f>
        <v>0.54526557312246582</v>
      </c>
      <c r="N4" s="6">
        <f>100*(H4/(H4+K4+L4+M4))</f>
        <v>49.60963570003404</v>
      </c>
      <c r="O4" s="6">
        <f>100*(H4/(H4+K4+M4))</f>
        <v>63.443173821419265</v>
      </c>
      <c r="P4" s="6">
        <f>(H4/H6-1)*100</f>
        <v>-11.929824561403512</v>
      </c>
      <c r="Q4" s="6">
        <f>(I4/I6-1)*100</f>
        <v>9.2592592592592347</v>
      </c>
      <c r="R4" s="6">
        <f>(J4/J6-1)*100</f>
        <v>8.0000000000000071</v>
      </c>
      <c r="S4" s="6">
        <f>Q4/-0.13</f>
        <v>-71.225071225071034</v>
      </c>
      <c r="T4" s="6">
        <f>S4*0.0018</f>
        <v>-0.12820512820512786</v>
      </c>
      <c r="U4" s="6">
        <f>S4*0.00015</f>
        <v>-1.0683760683760654E-2</v>
      </c>
      <c r="V4" s="6">
        <f>H6*(100-T4)/100</f>
        <v>4.5306932582913362</v>
      </c>
      <c r="W4" s="6">
        <f>J6*(100-U4)/100</f>
        <v>0.14985135726005588</v>
      </c>
      <c r="X4" s="6">
        <f>V4/W4</f>
        <v>30.234582730062666</v>
      </c>
      <c r="Y4" s="6">
        <f>X4/Z6-1</f>
        <v>1.175088131609936E-3</v>
      </c>
      <c r="Z4" s="6">
        <f>H4/J4</f>
        <v>24.626293465835516</v>
      </c>
      <c r="AA4" s="6">
        <f>I4/J4</f>
        <v>4.3973104972411328</v>
      </c>
      <c r="AB4" s="6">
        <f>K4/J4</f>
        <v>10.820472257048596</v>
      </c>
      <c r="AC4" s="6">
        <f>Z4/Z6-1</f>
        <v>-0.18453541260558826</v>
      </c>
      <c r="AD4" s="6">
        <f>AA4/AA6-1</f>
        <v>1.1659807956103885E-2</v>
      </c>
      <c r="AE4" s="6">
        <f>AB4/AB6-1</f>
        <v>4.6712962962962958</v>
      </c>
    </row>
    <row r="5" spans="1:32">
      <c r="A5" s="6" t="s">
        <v>41</v>
      </c>
      <c r="B5" s="6">
        <v>14.17</v>
      </c>
      <c r="C5" s="6">
        <v>0.88</v>
      </c>
      <c r="D5" s="6">
        <v>0.21</v>
      </c>
      <c r="E5" s="6">
        <v>2.88</v>
      </c>
      <c r="F5" s="6">
        <v>1.84</v>
      </c>
      <c r="G5" s="6">
        <v>4.58</v>
      </c>
      <c r="H5" s="6">
        <f>B5*26.98/101.96</f>
        <v>3.7495743428795607</v>
      </c>
      <c r="I5" s="6">
        <f>C5*24.305/40.3044</f>
        <v>0.53067158920614121</v>
      </c>
      <c r="J5" s="6">
        <f>D5*47.867/79.866</f>
        <v>0.12586169333633834</v>
      </c>
      <c r="K5" s="6">
        <f>E5*40.078/56.0774</f>
        <v>2.0583094080681348</v>
      </c>
      <c r="L5" s="6">
        <f>F5*39.0983/94.2</f>
        <v>0.76370352441613598</v>
      </c>
      <c r="M5" s="6">
        <f>G5*22.989769/61.9789</f>
        <v>1.6988546427897233</v>
      </c>
      <c r="N5" s="6">
        <f>100*(H5/(H5+K5+L5+M5))</f>
        <v>45.337049458618104</v>
      </c>
      <c r="O5" s="6">
        <f>100*(H5/(H5+K5+M5))</f>
        <v>49.949447365951706</v>
      </c>
      <c r="P5" s="6">
        <f>(H5/H6-1)*100</f>
        <v>-17.134502923976612</v>
      </c>
      <c r="Q5" s="6">
        <f>(I5/I6-1)*100</f>
        <v>-18.518518518518533</v>
      </c>
      <c r="R5" s="6">
        <f>(J5/J6-1)*100</f>
        <v>-16.000000000000004</v>
      </c>
      <c r="S5" s="6">
        <f>Q5/-0.13</f>
        <v>142.45014245014255</v>
      </c>
      <c r="T5" s="6">
        <f>S5*0.0018</f>
        <v>0.25641025641025661</v>
      </c>
      <c r="U5" s="6">
        <f>S5*0.00015</f>
        <v>2.1367521367521382E-2</v>
      </c>
      <c r="V5" s="6">
        <f>H6*(100-T5)/100</f>
        <v>4.5132898270815103</v>
      </c>
      <c r="W5" s="6">
        <f>J6*(100-U5)/100</f>
        <v>0.14980333310966809</v>
      </c>
      <c r="X5" s="6">
        <f>V5/W5</f>
        <v>30.128100179035531</v>
      </c>
      <c r="Y5" s="6">
        <f>X5/Z6-1</f>
        <v>-2.3509296858303941E-3</v>
      </c>
      <c r="Z5" s="6">
        <f>H5/J5</f>
        <v>29.791227525118611</v>
      </c>
      <c r="AA5" s="6">
        <f>I5/J5</f>
        <v>4.2163074017130482</v>
      </c>
      <c r="AB5" s="6">
        <f>K5/J5</f>
        <v>16.35373999432651</v>
      </c>
      <c r="AC5" s="6">
        <f>Z5/Z6-1</f>
        <v>-1.3505987190197688E-2</v>
      </c>
      <c r="AD5" s="6">
        <f>AA5/AA6-1</f>
        <v>-2.9982363315696703E-2</v>
      </c>
      <c r="AE5" s="6">
        <f>AB5/AB6-1</f>
        <v>7.5714285714285712</v>
      </c>
    </row>
    <row r="6" spans="1:32" s="2" customFormat="1">
      <c r="A6" s="2" t="s">
        <v>39</v>
      </c>
      <c r="B6" s="2">
        <v>17.100000000000001</v>
      </c>
      <c r="C6" s="2">
        <v>1.08</v>
      </c>
      <c r="D6" s="2">
        <v>0.25</v>
      </c>
      <c r="E6" s="2">
        <v>0.4</v>
      </c>
      <c r="F6" s="2">
        <v>5.14</v>
      </c>
      <c r="G6" s="2">
        <v>0.89</v>
      </c>
      <c r="H6" s="2">
        <f>B6*26.98/101.96</f>
        <v>4.5248921145547278</v>
      </c>
      <c r="I6" s="2">
        <f>C6*24.305/40.3044</f>
        <v>0.65127876857117339</v>
      </c>
      <c r="J6" s="2">
        <f>D6*47.867/79.866</f>
        <v>0.14983534920992661</v>
      </c>
      <c r="K6" s="2">
        <f>E6*40.078/56.0774</f>
        <v>0.28587630667612984</v>
      </c>
      <c r="L6" s="2">
        <f>F6*39.0983/94.2</f>
        <v>2.1333891932059448</v>
      </c>
      <c r="M6" s="2">
        <f>G6*22.989769/61.9789</f>
        <v>0.33012677556394188</v>
      </c>
      <c r="Z6" s="2">
        <f>H6/J6</f>
        <v>30.199096130614237</v>
      </c>
      <c r="AA6" s="2">
        <f>I6/J6</f>
        <v>4.3466296304932701</v>
      </c>
      <c r="AB6" s="2">
        <f>K6/J6</f>
        <v>1.907936332671426</v>
      </c>
    </row>
    <row r="7" spans="1:32">
      <c r="X7" s="39"/>
      <c r="AA7" s="39"/>
      <c r="AB7" s="39" t="s">
        <v>97</v>
      </c>
      <c r="AC7" s="6">
        <f>_xlfn.VAR.P(AC3:AC5)</f>
        <v>1.5536340728576563E-2</v>
      </c>
    </row>
    <row r="8" spans="1:32">
      <c r="X8" s="39"/>
      <c r="AA8" s="39"/>
      <c r="AB8" s="39" t="s">
        <v>98</v>
      </c>
      <c r="AC8" s="6">
        <f>AVERAGE(AC3:AC5)</f>
        <v>-0.17203153243522992</v>
      </c>
    </row>
  </sheetData>
  <mergeCells count="1">
    <mergeCell ref="A1:R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70"/>
  <sheetViews>
    <sheetView zoomScale="60" zoomScaleNormal="60" workbookViewId="0">
      <selection activeCell="L3" sqref="L3"/>
    </sheetView>
  </sheetViews>
  <sheetFormatPr defaultRowHeight="14.5"/>
  <cols>
    <col min="1" max="2" width="11.36328125" style="6" customWidth="1"/>
    <col min="3" max="3" width="11.7265625" style="6" customWidth="1"/>
    <col min="4" max="4" width="11.6328125" style="6" customWidth="1"/>
    <col min="5" max="5" width="10.54296875" style="6" customWidth="1"/>
    <col min="6" max="6" width="10.7265625" style="6" customWidth="1"/>
    <col min="7" max="7" width="11.08984375" style="6" customWidth="1"/>
    <col min="8" max="8" width="10.36328125" style="6" customWidth="1"/>
    <col min="9" max="9" width="12.7265625" style="6" customWidth="1"/>
    <col min="10" max="24" width="8.7265625" style="6"/>
    <col min="25" max="25" width="13.26953125" style="6" customWidth="1"/>
    <col min="26" max="27" width="12.54296875" style="6" customWidth="1"/>
    <col min="28" max="28" width="17.90625" style="6" customWidth="1"/>
    <col min="29" max="30" width="20" style="6" customWidth="1"/>
    <col min="31" max="32" width="11.90625" style="6" customWidth="1"/>
    <col min="33" max="33" width="13.81640625" style="6" customWidth="1"/>
    <col min="34" max="34" width="16" style="6" customWidth="1"/>
    <col min="35" max="42" width="8.7265625" style="6"/>
    <col min="43" max="43" width="11" style="6" customWidth="1"/>
    <col min="44" max="44" width="15.7265625" style="6" customWidth="1"/>
    <col min="45" max="45" width="9.26953125" style="6" customWidth="1"/>
    <col min="46" max="16384" width="8.7265625" style="6"/>
  </cols>
  <sheetData>
    <row r="1" spans="1:49">
      <c r="A1" s="81" t="s">
        <v>170</v>
      </c>
      <c r="B1" s="81"/>
      <c r="C1" s="81"/>
      <c r="D1" s="81"/>
      <c r="E1" s="81"/>
      <c r="F1" s="81"/>
      <c r="G1" s="81"/>
      <c r="H1" s="81"/>
      <c r="I1" s="81"/>
      <c r="J1" s="81"/>
      <c r="K1" s="81"/>
      <c r="L1" s="81"/>
      <c r="M1" s="81"/>
      <c r="N1" s="81"/>
      <c r="O1" s="81"/>
      <c r="P1" s="81"/>
      <c r="Q1" s="81"/>
      <c r="R1" s="81"/>
      <c r="S1" s="81"/>
      <c r="T1" s="92"/>
      <c r="U1" s="81"/>
      <c r="V1" s="81"/>
    </row>
    <row r="2" spans="1:49">
      <c r="A2" s="1" t="s">
        <v>197</v>
      </c>
      <c r="B2" s="1" t="s">
        <v>196</v>
      </c>
      <c r="C2" s="1" t="s">
        <v>20</v>
      </c>
      <c r="D2" s="1" t="s">
        <v>25</v>
      </c>
      <c r="E2" s="1" t="s">
        <v>27</v>
      </c>
      <c r="F2" s="1" t="s">
        <v>26</v>
      </c>
      <c r="G2" s="1" t="s">
        <v>111</v>
      </c>
      <c r="H2" s="1" t="s">
        <v>112</v>
      </c>
      <c r="I2" s="1" t="s">
        <v>113</v>
      </c>
      <c r="J2" s="1" t="s">
        <v>114</v>
      </c>
      <c r="K2" s="1" t="s">
        <v>115</v>
      </c>
      <c r="L2" s="1" t="s">
        <v>116</v>
      </c>
      <c r="M2" s="1" t="s">
        <v>117</v>
      </c>
      <c r="N2" s="1" t="s">
        <v>118</v>
      </c>
      <c r="O2" s="1" t="s">
        <v>119</v>
      </c>
      <c r="P2" s="1" t="s">
        <v>51</v>
      </c>
      <c r="Q2" s="1" t="s">
        <v>52</v>
      </c>
      <c r="R2" s="1" t="s">
        <v>110</v>
      </c>
      <c r="S2" s="1" t="s">
        <v>109</v>
      </c>
      <c r="T2" s="1" t="s">
        <v>378</v>
      </c>
      <c r="U2" s="1" t="s">
        <v>108</v>
      </c>
      <c r="V2" s="1" t="s">
        <v>120</v>
      </c>
      <c r="W2" s="1" t="s">
        <v>121</v>
      </c>
      <c r="X2" s="1" t="s">
        <v>122</v>
      </c>
      <c r="Y2" s="1" t="s">
        <v>7</v>
      </c>
      <c r="Z2" s="1" t="s">
        <v>8</v>
      </c>
      <c r="AA2" s="1" t="s">
        <v>9</v>
      </c>
      <c r="AB2" s="1" t="s">
        <v>10</v>
      </c>
      <c r="AC2" s="1" t="s">
        <v>11</v>
      </c>
      <c r="AD2" s="1" t="s">
        <v>12</v>
      </c>
      <c r="AE2" s="1" t="s">
        <v>13</v>
      </c>
      <c r="AF2" s="1" t="s">
        <v>14</v>
      </c>
      <c r="AG2" s="1" t="s">
        <v>15</v>
      </c>
      <c r="AH2" s="1" t="s">
        <v>460</v>
      </c>
      <c r="AI2" s="1" t="s">
        <v>16</v>
      </c>
      <c r="AJ2" s="1" t="s">
        <v>17</v>
      </c>
      <c r="AK2" s="1" t="s">
        <v>107</v>
      </c>
      <c r="AL2" s="1" t="s">
        <v>134</v>
      </c>
      <c r="AM2" s="1" t="s">
        <v>136</v>
      </c>
      <c r="AN2" s="1" t="s">
        <v>135</v>
      </c>
      <c r="AO2" s="1" t="s">
        <v>106</v>
      </c>
      <c r="AP2" s="1" t="s">
        <v>459</v>
      </c>
      <c r="AQ2" s="1" t="s">
        <v>461</v>
      </c>
      <c r="AR2" s="1" t="s">
        <v>462</v>
      </c>
      <c r="AS2" s="1" t="s">
        <v>465</v>
      </c>
      <c r="AT2" s="1" t="s">
        <v>464</v>
      </c>
      <c r="AU2" s="1" t="s">
        <v>463</v>
      </c>
      <c r="AV2" s="1" t="s">
        <v>466</v>
      </c>
      <c r="AW2" s="1"/>
    </row>
    <row r="3" spans="1:49">
      <c r="A3" s="6" t="s">
        <v>198</v>
      </c>
      <c r="B3" s="6" t="s">
        <v>213</v>
      </c>
      <c r="C3" s="21">
        <v>0.02</v>
      </c>
      <c r="D3" s="21">
        <v>37.770000000000003</v>
      </c>
      <c r="E3" s="21">
        <v>7.0000000000000007E-2</v>
      </c>
      <c r="F3" s="21">
        <v>3.32</v>
      </c>
      <c r="G3" s="21">
        <v>0.03</v>
      </c>
      <c r="H3" s="21">
        <v>9.82</v>
      </c>
      <c r="I3" s="21">
        <v>0.46</v>
      </c>
      <c r="J3" s="5">
        <f>D3*26.98/101.96</f>
        <v>9.9944546881129863</v>
      </c>
      <c r="K3" s="5">
        <f t="shared" ref="K3:K16" si="0">E3*24.305/40.3044</f>
        <v>4.2212512777761238E-2</v>
      </c>
      <c r="L3" s="5">
        <f t="shared" ref="L3:L16" si="1">F3*47.867/79.866</f>
        <v>1.9898134375078254</v>
      </c>
      <c r="M3" s="5">
        <f t="shared" ref="M3:M16" si="2">G3*40.078/56.0774</f>
        <v>2.1440723000709733E-2</v>
      </c>
      <c r="N3" s="5">
        <f t="shared" ref="N3:N16" si="3">H3*39.0983/94.2</f>
        <v>4.0758525053078554</v>
      </c>
      <c r="O3" s="5">
        <f t="shared" ref="O3:O16" si="4">I3*22.989769/61.9789</f>
        <v>0.17062732220158794</v>
      </c>
      <c r="P3" s="5">
        <f>100*(J3/(J3+M3+N3+O3))</f>
        <v>70.075667768490362</v>
      </c>
      <c r="Q3" s="5">
        <f>100*(J3/(J3+M3+O3))</f>
        <v>98.114488621577081</v>
      </c>
      <c r="R3" s="5">
        <v>885</v>
      </c>
      <c r="S3" s="5">
        <v>18</v>
      </c>
      <c r="T3" s="5">
        <v>242</v>
      </c>
      <c r="U3" s="5">
        <v>485</v>
      </c>
      <c r="V3" s="5">
        <f>R3/10000</f>
        <v>8.8499999999999995E-2</v>
      </c>
      <c r="W3" s="5">
        <f>S3/10000</f>
        <v>1.8E-3</v>
      </c>
      <c r="X3" s="5">
        <f>U3/10000</f>
        <v>4.8500000000000001E-2</v>
      </c>
      <c r="Y3" s="6">
        <f>(J3/J16-1)*100</f>
        <v>153.20670391061455</v>
      </c>
      <c r="Z3" s="6">
        <f>(K3/K16-1)*100</f>
        <v>-98.251457119067439</v>
      </c>
      <c r="AA3" s="6">
        <f>(L3/L16-1)*100</f>
        <v>138.84892086330933</v>
      </c>
      <c r="AB3" s="6">
        <f>Z3/-0.61</f>
        <v>161.06796249027448</v>
      </c>
      <c r="AC3" s="6">
        <f>AB3*0.0032</f>
        <v>0.51541747996887832</v>
      </c>
      <c r="AD3" s="6">
        <f>AB3*0.000044</f>
        <v>7.0869903495720766E-3</v>
      </c>
      <c r="AE3" s="6">
        <f>J16*(100-AC3)/100</f>
        <v>3.9268081642628538</v>
      </c>
      <c r="AF3" s="6">
        <f>L16*(100-AD3)/100</f>
        <v>0.8330255009861246</v>
      </c>
      <c r="AG3" s="6">
        <f>AE3/AF3</f>
        <v>4.7139111103013658</v>
      </c>
      <c r="AH3" s="6">
        <f>AG3/AI16-1</f>
        <v>-5.0836651750535422E-3</v>
      </c>
      <c r="AI3" s="6">
        <f>J3/L3</f>
        <v>5.0228099276637241</v>
      </c>
      <c r="AJ3" s="6">
        <f>K3/L3</f>
        <v>2.1214306819955439E-2</v>
      </c>
      <c r="AK3" s="6">
        <f>M3/L3</f>
        <v>1.0775242842647359E-2</v>
      </c>
      <c r="AL3" s="6">
        <f>V3/L3</f>
        <v>4.4476531483696922E-2</v>
      </c>
      <c r="AM3" s="6">
        <f>W3/L3</f>
        <v>9.0460742000739505E-4</v>
      </c>
      <c r="AN3" s="6">
        <f>X3/L3</f>
        <v>2.4374144372421479E-2</v>
      </c>
      <c r="AO3" s="6">
        <f>X3/W3</f>
        <v>26.944444444444446</v>
      </c>
      <c r="AP3" s="6">
        <f t="shared" ref="AP3:AV3" si="5">AI3/AI16-1</f>
        <v>6.0112404926970564E-2</v>
      </c>
      <c r="AQ3" s="6">
        <f t="shared" si="5"/>
        <v>-0.99267929335995109</v>
      </c>
      <c r="AR3" s="6">
        <f t="shared" si="5"/>
        <v>-0.99754842401486232</v>
      </c>
      <c r="AS3" s="6">
        <f t="shared" si="5"/>
        <v>8.3412597759458862E-2</v>
      </c>
      <c r="AT3" s="6">
        <f t="shared" si="5"/>
        <v>0.1137159475339784</v>
      </c>
      <c r="AU3" s="6">
        <f t="shared" si="5"/>
        <v>0.13439792690314345</v>
      </c>
      <c r="AV3" s="6">
        <f t="shared" si="5"/>
        <v>1.8570246223877707E-2</v>
      </c>
    </row>
    <row r="4" spans="1:49">
      <c r="A4" s="6" t="s">
        <v>199</v>
      </c>
      <c r="B4" s="6" t="s">
        <v>213</v>
      </c>
      <c r="C4" s="21">
        <v>7.0000000000000007E-2</v>
      </c>
      <c r="D4" s="21">
        <v>37.22</v>
      </c>
      <c r="E4" s="21">
        <v>0.03</v>
      </c>
      <c r="F4" s="21">
        <v>3.08</v>
      </c>
      <c r="G4" s="21">
        <v>0.02</v>
      </c>
      <c r="H4" s="21">
        <v>9.7200000000000006</v>
      </c>
      <c r="I4" s="21">
        <v>0.42</v>
      </c>
      <c r="J4" s="5">
        <f t="shared" ref="J4:J16" si="6">D4*26.98/101.96</f>
        <v>9.8489172224401731</v>
      </c>
      <c r="K4" s="5">
        <f t="shared" si="0"/>
        <v>1.8091076904754814E-2</v>
      </c>
      <c r="L4" s="5">
        <f t="shared" si="1"/>
        <v>1.8459715022662961</v>
      </c>
      <c r="M4" s="5">
        <f t="shared" si="2"/>
        <v>1.4293815333806491E-2</v>
      </c>
      <c r="N4" s="5">
        <f t="shared" si="3"/>
        <v>4.0343468789808918</v>
      </c>
      <c r="O4" s="5">
        <f t="shared" si="4"/>
        <v>0.15579016374927593</v>
      </c>
      <c r="P4" s="5">
        <f t="shared" ref="P4:P14" si="7">100*(J4/(J4+M4+N4+O4))</f>
        <v>70.082354510974696</v>
      </c>
      <c r="Q4" s="5">
        <f t="shared" ref="Q4:Q15" si="8">100*(J4/(J4+M4+O4))</f>
        <v>98.302385879969535</v>
      </c>
      <c r="R4" s="5">
        <v>829</v>
      </c>
      <c r="S4" s="5">
        <v>17</v>
      </c>
      <c r="T4" s="5">
        <v>217</v>
      </c>
      <c r="U4" s="5">
        <v>478</v>
      </c>
      <c r="V4" s="5">
        <f t="shared" ref="V4:V16" si="9">R4/10000</f>
        <v>8.2900000000000001E-2</v>
      </c>
      <c r="W4" s="5">
        <f t="shared" ref="W4:W16" si="10">S4/10000</f>
        <v>1.6999999999999999E-3</v>
      </c>
      <c r="X4" s="5">
        <f t="shared" ref="X4:X16" si="11">U4/10000</f>
        <v>4.7800000000000002E-2</v>
      </c>
      <c r="Y4" s="6">
        <f>(J4/J16-1)*100</f>
        <v>149.51955307262571</v>
      </c>
      <c r="Z4" s="6">
        <f>(K4/K16-1)*100</f>
        <v>-99.250624479600333</v>
      </c>
      <c r="AA4" s="6">
        <f>(L4/L16-1)*100</f>
        <v>121.58273381294964</v>
      </c>
      <c r="AB4" s="6">
        <f t="shared" ref="AB4:AB15" si="12">Z4/-0.61</f>
        <v>162.70594176983661</v>
      </c>
      <c r="AC4" s="6">
        <f t="shared" ref="AC4:AC15" si="13">AB4*0.0032</f>
        <v>0.52065901366347722</v>
      </c>
      <c r="AD4" s="6">
        <f t="shared" ref="AD4:AD15" si="14">AB4*0.000044</f>
        <v>7.1590614378728105E-3</v>
      </c>
      <c r="AE4" s="6">
        <f>J16*(100-AC4)/100</f>
        <v>3.9266012729357374</v>
      </c>
      <c r="AF4" s="6">
        <f>L16*(100-AD4)/100</f>
        <v>0.83302490057302891</v>
      </c>
      <c r="AG4" s="6">
        <f t="shared" ref="AG4:AG15" si="15">AE4/AF4</f>
        <v>4.7136661463957088</v>
      </c>
      <c r="AH4" s="6">
        <f>AG4/AI16-1</f>
        <v>-5.1353671663465494E-3</v>
      </c>
      <c r="AI4" s="6">
        <f t="shared" ref="AI4:AI16" si="16">J4/L4</f>
        <v>5.3353571332757159</v>
      </c>
      <c r="AJ4" s="6">
        <f t="shared" ref="AJ4:AJ16" si="17">K4/L4</f>
        <v>9.8003012953040876E-3</v>
      </c>
      <c r="AK4" s="6">
        <f t="shared" ref="AK4:AK16" si="18">M4/L4</f>
        <v>7.7432481033742921E-3</v>
      </c>
      <c r="AL4" s="6">
        <f t="shared" ref="AL4:AL16" si="19">V4/L4</f>
        <v>4.4908602271608096E-2</v>
      </c>
      <c r="AM4" s="6">
        <f t="shared" ref="AM4:AM16" si="20">W4/L4</f>
        <v>9.2092429266265089E-4</v>
      </c>
      <c r="AN4" s="6">
        <f t="shared" ref="AN4:AN16" si="21">X4/L4</f>
        <v>2.589422422898513E-2</v>
      </c>
      <c r="AO4" s="6">
        <f t="shared" ref="AO4:AO16" si="22">X4/W4</f>
        <v>28.117647058823533</v>
      </c>
      <c r="AP4" s="6">
        <f t="shared" ref="AP4:AV4" si="23">AI4/AI16-1</f>
        <v>0.12607850250308328</v>
      </c>
      <c r="AQ4" s="6">
        <f t="shared" si="23"/>
        <v>-0.99661807800858593</v>
      </c>
      <c r="AR4" s="6">
        <f t="shared" si="23"/>
        <v>-0.99823826141327765</v>
      </c>
      <c r="AS4" s="6">
        <f t="shared" si="23"/>
        <v>9.3937495253284542E-2</v>
      </c>
      <c r="AT4" s="6">
        <f t="shared" si="23"/>
        <v>0.13380461902629381</v>
      </c>
      <c r="AU4" s="6">
        <f t="shared" si="23"/>
        <v>0.20514401799318005</v>
      </c>
      <c r="AV4" s="6">
        <f t="shared" si="23"/>
        <v>6.29203636761968E-2</v>
      </c>
    </row>
    <row r="5" spans="1:49">
      <c r="A5" s="6" t="s">
        <v>200</v>
      </c>
      <c r="B5" s="6" t="s">
        <v>213</v>
      </c>
      <c r="C5" s="21">
        <v>0.17</v>
      </c>
      <c r="D5" s="21">
        <v>37.76</v>
      </c>
      <c r="E5" s="21">
        <v>0.06</v>
      </c>
      <c r="F5" s="21">
        <v>3.32</v>
      </c>
      <c r="G5" s="21">
        <v>0.2</v>
      </c>
      <c r="H5" s="21">
        <v>9.8800000000000008</v>
      </c>
      <c r="I5" s="21">
        <v>0.49</v>
      </c>
      <c r="J5" s="5">
        <f t="shared" si="6"/>
        <v>9.9918085523734792</v>
      </c>
      <c r="K5" s="5">
        <f t="shared" si="0"/>
        <v>3.6182153809509628E-2</v>
      </c>
      <c r="L5" s="5">
        <f t="shared" si="1"/>
        <v>1.9898134375078254</v>
      </c>
      <c r="M5" s="5">
        <f t="shared" si="2"/>
        <v>0.14293815333806492</v>
      </c>
      <c r="N5" s="5">
        <f t="shared" si="3"/>
        <v>4.1007558811040346</v>
      </c>
      <c r="O5" s="5">
        <f t="shared" si="4"/>
        <v>0.18175519104082194</v>
      </c>
      <c r="P5" s="5">
        <f t="shared" si="7"/>
        <v>69.304500941364807</v>
      </c>
      <c r="Q5" s="5">
        <f t="shared" si="8"/>
        <v>96.852679836359073</v>
      </c>
      <c r="R5" s="5">
        <v>870</v>
      </c>
      <c r="S5" s="5">
        <v>18</v>
      </c>
      <c r="T5" s="5">
        <v>245</v>
      </c>
      <c r="U5" s="5">
        <v>488</v>
      </c>
      <c r="V5" s="5">
        <f t="shared" si="9"/>
        <v>8.6999999999999994E-2</v>
      </c>
      <c r="W5" s="5">
        <f t="shared" si="10"/>
        <v>1.8E-3</v>
      </c>
      <c r="X5" s="5">
        <f t="shared" si="11"/>
        <v>4.8800000000000003E-2</v>
      </c>
      <c r="Y5" s="6">
        <f>(J5/J16-1)*100</f>
        <v>153.13966480446925</v>
      </c>
      <c r="Z5" s="6">
        <f>(K5/K16-1)*100</f>
        <v>-98.501248959200666</v>
      </c>
      <c r="AA5" s="6">
        <f>(L5/L16-1)*100</f>
        <v>138.84892086330933</v>
      </c>
      <c r="AB5" s="6">
        <f t="shared" si="12"/>
        <v>161.47745731016502</v>
      </c>
      <c r="AC5" s="6">
        <f t="shared" si="13"/>
        <v>0.51672786339252808</v>
      </c>
      <c r="AD5" s="6">
        <f t="shared" si="14"/>
        <v>7.1050081216472612E-3</v>
      </c>
      <c r="AE5" s="6">
        <f>J16*(100-AC5)/100</f>
        <v>3.9267564414310749</v>
      </c>
      <c r="AF5" s="6">
        <f>L16*(100-AD5)/100</f>
        <v>0.83302535088285068</v>
      </c>
      <c r="AG5" s="6">
        <f t="shared" si="15"/>
        <v>4.7138498693580564</v>
      </c>
      <c r="AH5" s="6">
        <f>AG5/AI16-1</f>
        <v>-5.0965906658896332E-3</v>
      </c>
      <c r="AI5" s="6">
        <f t="shared" si="16"/>
        <v>5.0214800865391105</v>
      </c>
      <c r="AJ5" s="6">
        <f t="shared" si="17"/>
        <v>1.8183691559961804E-2</v>
      </c>
      <c r="AK5" s="6">
        <f t="shared" si="18"/>
        <v>7.1834952284315745E-2</v>
      </c>
      <c r="AL5" s="6">
        <f t="shared" si="19"/>
        <v>4.3722691967024094E-2</v>
      </c>
      <c r="AM5" s="6">
        <f t="shared" si="20"/>
        <v>9.0460742000739505E-4</v>
      </c>
      <c r="AN5" s="6">
        <f t="shared" si="21"/>
        <v>2.4524912275756046E-2</v>
      </c>
      <c r="AO5" s="6">
        <f t="shared" si="22"/>
        <v>27.111111111111114</v>
      </c>
      <c r="AP5" s="6">
        <f t="shared" ref="AP5:AV5" si="24">AI5/AI16-1</f>
        <v>5.9831729151241797E-2</v>
      </c>
      <c r="AQ5" s="6">
        <f t="shared" si="24"/>
        <v>-0.99372510859424379</v>
      </c>
      <c r="AR5" s="6">
        <f t="shared" si="24"/>
        <v>-0.98365616009908208</v>
      </c>
      <c r="AS5" s="6">
        <f t="shared" si="24"/>
        <v>6.5049672373705514E-2</v>
      </c>
      <c r="AT5" s="6">
        <f t="shared" si="24"/>
        <v>0.1137159475339784</v>
      </c>
      <c r="AU5" s="6">
        <f t="shared" si="24"/>
        <v>0.14141482129635885</v>
      </c>
      <c r="AV5" s="6">
        <f t="shared" si="24"/>
        <v>2.4870680736602591E-2</v>
      </c>
    </row>
    <row r="6" spans="1:49">
      <c r="A6" s="6" t="s">
        <v>201</v>
      </c>
      <c r="B6" s="6" t="s">
        <v>213</v>
      </c>
      <c r="C6" s="21">
        <v>0.31</v>
      </c>
      <c r="D6" s="21">
        <v>37.57</v>
      </c>
      <c r="E6" s="21">
        <v>0.06</v>
      </c>
      <c r="F6" s="21">
        <v>3.2</v>
      </c>
      <c r="G6" s="21">
        <v>0.46</v>
      </c>
      <c r="H6" s="21">
        <v>9.83</v>
      </c>
      <c r="I6" s="21">
        <v>0.48</v>
      </c>
      <c r="J6" s="5">
        <f t="shared" si="6"/>
        <v>9.9415319733228724</v>
      </c>
      <c r="K6" s="5">
        <f t="shared" si="0"/>
        <v>3.6182153809509628E-2</v>
      </c>
      <c r="L6" s="5">
        <f t="shared" si="1"/>
        <v>1.9178924698870607</v>
      </c>
      <c r="M6" s="5">
        <f t="shared" si="2"/>
        <v>0.32875775267754925</v>
      </c>
      <c r="N6" s="5">
        <f t="shared" si="3"/>
        <v>4.0800030679405523</v>
      </c>
      <c r="O6" s="5">
        <f t="shared" si="4"/>
        <v>0.17804590142774393</v>
      </c>
      <c r="P6" s="5">
        <f t="shared" si="7"/>
        <v>68.428553200594038</v>
      </c>
      <c r="Q6" s="5">
        <f t="shared" si="8"/>
        <v>95.149431716426946</v>
      </c>
      <c r="R6" s="5">
        <v>837</v>
      </c>
      <c r="S6" s="5">
        <v>18</v>
      </c>
      <c r="T6" s="5">
        <v>239</v>
      </c>
      <c r="U6" s="5">
        <v>448</v>
      </c>
      <c r="V6" s="5">
        <f t="shared" si="9"/>
        <v>8.3699999999999997E-2</v>
      </c>
      <c r="W6" s="5">
        <f t="shared" si="10"/>
        <v>1.8E-3</v>
      </c>
      <c r="X6" s="5">
        <f t="shared" si="11"/>
        <v>4.48E-2</v>
      </c>
      <c r="Y6" s="6">
        <f>(J6/J16-1)*100</f>
        <v>151.86592178770951</v>
      </c>
      <c r="Z6" s="6">
        <f>(K6/K16-1)*100</f>
        <v>-98.501248959200666</v>
      </c>
      <c r="AA6" s="6">
        <f>(L6/L16-1)*100</f>
        <v>130.21582733812949</v>
      </c>
      <c r="AB6" s="6">
        <f t="shared" si="12"/>
        <v>161.47745731016502</v>
      </c>
      <c r="AC6" s="6">
        <f t="shared" si="13"/>
        <v>0.51672786339252808</v>
      </c>
      <c r="AD6" s="6">
        <f t="shared" si="14"/>
        <v>7.1050081216472612E-3</v>
      </c>
      <c r="AE6" s="6">
        <f>J16*(100-AC6)/100</f>
        <v>3.9267564414310749</v>
      </c>
      <c r="AF6" s="6">
        <f>L16*(100-AD6)/100</f>
        <v>0.83302535088285068</v>
      </c>
      <c r="AG6" s="6">
        <f t="shared" si="15"/>
        <v>4.7138498693580564</v>
      </c>
      <c r="AH6" s="6">
        <f>AG6/AI16-1</f>
        <v>-5.0965906658896332E-3</v>
      </c>
      <c r="AI6" s="6">
        <f t="shared" si="16"/>
        <v>5.1835710966153909</v>
      </c>
      <c r="AJ6" s="6">
        <f t="shared" si="17"/>
        <v>1.886557999346037E-2</v>
      </c>
      <c r="AK6" s="6">
        <f t="shared" si="18"/>
        <v>0.17141615488844839</v>
      </c>
      <c r="AL6" s="6">
        <f t="shared" si="19"/>
        <v>4.3641654218981765E-2</v>
      </c>
      <c r="AM6" s="6">
        <f t="shared" si="20"/>
        <v>9.3853019825767235E-4</v>
      </c>
      <c r="AN6" s="6">
        <f t="shared" si="21"/>
        <v>2.3358973823302067E-2</v>
      </c>
      <c r="AO6" s="6">
        <f t="shared" si="22"/>
        <v>24.888888888888889</v>
      </c>
      <c r="AP6" s="6">
        <f t="shared" ref="AP6:AV6" si="25">AI6/AI16-1</f>
        <v>9.4042597765363167E-2</v>
      </c>
      <c r="AQ6" s="6">
        <f t="shared" si="25"/>
        <v>-0.99348980016652788</v>
      </c>
      <c r="AR6" s="6">
        <f t="shared" si="25"/>
        <v>-0.96099951203643463</v>
      </c>
      <c r="AS6" s="6">
        <f t="shared" si="25"/>
        <v>6.3075657894736903E-2</v>
      </c>
      <c r="AT6" s="6">
        <f t="shared" si="25"/>
        <v>0.15548029556650245</v>
      </c>
      <c r="AU6" s="6">
        <f t="shared" si="25"/>
        <v>8.7150837988826835E-2</v>
      </c>
      <c r="AV6" s="6">
        <f t="shared" si="25"/>
        <v>-5.9135112766397602E-2</v>
      </c>
    </row>
    <row r="7" spans="1:49">
      <c r="A7" s="6" t="s">
        <v>202</v>
      </c>
      <c r="B7" s="6" t="s">
        <v>213</v>
      </c>
      <c r="C7" s="21">
        <v>0.4</v>
      </c>
      <c r="D7" s="21">
        <v>37.6</v>
      </c>
      <c r="E7" s="21">
        <v>0.04</v>
      </c>
      <c r="F7" s="21">
        <v>3.09</v>
      </c>
      <c r="G7" s="21">
        <v>0.01</v>
      </c>
      <c r="H7" s="21">
        <v>9.7799999999999994</v>
      </c>
      <c r="I7" s="21">
        <v>0.67</v>
      </c>
      <c r="J7" s="5">
        <f t="shared" si="6"/>
        <v>9.9494703805413902</v>
      </c>
      <c r="K7" s="5">
        <f t="shared" si="0"/>
        <v>2.4121435873006421E-2</v>
      </c>
      <c r="L7" s="5">
        <f t="shared" si="1"/>
        <v>1.8519649162346927</v>
      </c>
      <c r="M7" s="5">
        <f t="shared" si="2"/>
        <v>7.1469076669032454E-3</v>
      </c>
      <c r="N7" s="5">
        <f t="shared" si="3"/>
        <v>4.0592502547770701</v>
      </c>
      <c r="O7" s="5">
        <f t="shared" si="4"/>
        <v>0.24852240407622592</v>
      </c>
      <c r="P7" s="5">
        <f t="shared" si="7"/>
        <v>69.750409358312183</v>
      </c>
      <c r="Q7" s="5">
        <f t="shared" si="8"/>
        <v>97.494700519029394</v>
      </c>
      <c r="R7" s="5">
        <v>817</v>
      </c>
      <c r="S7" s="5">
        <v>17</v>
      </c>
      <c r="T7" s="5">
        <v>245</v>
      </c>
      <c r="U7" s="5">
        <v>461</v>
      </c>
      <c r="V7" s="5">
        <f t="shared" si="9"/>
        <v>8.1699999999999995E-2</v>
      </c>
      <c r="W7" s="5">
        <f t="shared" si="10"/>
        <v>1.6999999999999999E-3</v>
      </c>
      <c r="X7" s="5">
        <f t="shared" si="11"/>
        <v>4.6100000000000002E-2</v>
      </c>
      <c r="Y7" s="6">
        <f>(J7/J16-1)*100</f>
        <v>152.0670391061453</v>
      </c>
      <c r="Z7" s="6">
        <f>(K7/K16-1)*100</f>
        <v>-99.000832639467106</v>
      </c>
      <c r="AA7" s="6">
        <f>(L7/L16-1)*100</f>
        <v>122.30215827338125</v>
      </c>
      <c r="AB7" s="6">
        <f t="shared" si="12"/>
        <v>162.29644694994607</v>
      </c>
      <c r="AC7" s="6">
        <f t="shared" si="13"/>
        <v>0.51934863023982747</v>
      </c>
      <c r="AD7" s="6">
        <f t="shared" si="14"/>
        <v>7.1410436657976268E-3</v>
      </c>
      <c r="AE7" s="6">
        <f>J16*(100-AC7)/100</f>
        <v>3.9266529957675163</v>
      </c>
      <c r="AF7" s="6">
        <f>L16*(100-AD7)/100</f>
        <v>0.83302505067630295</v>
      </c>
      <c r="AG7" s="6">
        <f t="shared" si="15"/>
        <v>4.7137273874052266</v>
      </c>
      <c r="AH7" s="6">
        <f>AG7/AI16-1</f>
        <v>-5.1224416615364143E-3</v>
      </c>
      <c r="AI7" s="6">
        <f t="shared" si="16"/>
        <v>5.3723859957185764</v>
      </c>
      <c r="AJ7" s="6">
        <f t="shared" si="17"/>
        <v>1.3024780146509859E-2</v>
      </c>
      <c r="AK7" s="6">
        <f t="shared" si="18"/>
        <v>3.859094524011784E-3</v>
      </c>
      <c r="AL7" s="6">
        <f t="shared" si="19"/>
        <v>4.4115306550249173E-2</v>
      </c>
      <c r="AM7" s="6">
        <f t="shared" si="20"/>
        <v>9.1794395514594351E-4</v>
      </c>
      <c r="AN7" s="6">
        <f t="shared" si="21"/>
        <v>2.4892480195428238E-2</v>
      </c>
      <c r="AO7" s="6">
        <f t="shared" si="22"/>
        <v>27.117647058823533</v>
      </c>
      <c r="AP7" s="6">
        <f t="shared" ref="AP7:AV7" si="26">AI7/AI16-1</f>
        <v>0.13389380050984445</v>
      </c>
      <c r="AQ7" s="6">
        <f t="shared" si="26"/>
        <v>-0.99550536365326625</v>
      </c>
      <c r="AR7" s="6">
        <f t="shared" si="26"/>
        <v>-0.99912198141632613</v>
      </c>
      <c r="AS7" s="6">
        <f t="shared" si="26"/>
        <v>7.4613448399856397E-2</v>
      </c>
      <c r="AT7" s="6">
        <f t="shared" si="26"/>
        <v>0.13013534841455843</v>
      </c>
      <c r="AU7" s="6">
        <f t="shared" si="26"/>
        <v>0.15852181302091828</v>
      </c>
      <c r="AV7" s="6">
        <f t="shared" si="26"/>
        <v>2.511775659984683E-2</v>
      </c>
    </row>
    <row r="8" spans="1:49">
      <c r="A8" s="6" t="s">
        <v>203</v>
      </c>
      <c r="B8" s="6" t="s">
        <v>213</v>
      </c>
      <c r="C8" s="21">
        <v>0.53</v>
      </c>
      <c r="D8" s="21">
        <v>37.700000000000003</v>
      </c>
      <c r="E8" s="21">
        <v>0.03</v>
      </c>
      <c r="F8" s="21">
        <v>3.24</v>
      </c>
      <c r="G8" s="21">
        <v>0.04</v>
      </c>
      <c r="H8" s="21">
        <v>9.49</v>
      </c>
      <c r="I8" s="21">
        <v>0.76</v>
      </c>
      <c r="J8" s="5">
        <f t="shared" si="6"/>
        <v>9.9759317379364472</v>
      </c>
      <c r="K8" s="5">
        <f t="shared" si="0"/>
        <v>1.8091076904754814E-2</v>
      </c>
      <c r="L8" s="5">
        <f t="shared" si="1"/>
        <v>1.9418661257606491</v>
      </c>
      <c r="M8" s="5">
        <f t="shared" si="2"/>
        <v>2.8587630667612982E-2</v>
      </c>
      <c r="N8" s="5">
        <f t="shared" si="3"/>
        <v>3.9388839384288747</v>
      </c>
      <c r="O8" s="5">
        <f t="shared" si="4"/>
        <v>0.28190601059392789</v>
      </c>
      <c r="P8" s="5">
        <f t="shared" si="7"/>
        <v>70.128047940406276</v>
      </c>
      <c r="Q8" s="5">
        <f t="shared" si="8"/>
        <v>96.981520500897773</v>
      </c>
      <c r="R8" s="5">
        <v>872</v>
      </c>
      <c r="S8" s="5">
        <v>20</v>
      </c>
      <c r="T8" s="5">
        <v>221</v>
      </c>
      <c r="U8" s="5">
        <v>477</v>
      </c>
      <c r="V8" s="5">
        <f t="shared" si="9"/>
        <v>8.72E-2</v>
      </c>
      <c r="W8" s="5">
        <f t="shared" si="10"/>
        <v>2E-3</v>
      </c>
      <c r="X8" s="5">
        <f t="shared" si="11"/>
        <v>4.7699999999999999E-2</v>
      </c>
      <c r="Y8" s="6">
        <f>(J8/J16-1)*100</f>
        <v>152.73743016759781</v>
      </c>
      <c r="Z8" s="6">
        <f>(K8/K16-1)*100</f>
        <v>-99.250624479600333</v>
      </c>
      <c r="AA8" s="6">
        <f>(L8/L16-1)*100</f>
        <v>133.09352517985613</v>
      </c>
      <c r="AB8" s="6">
        <f t="shared" si="12"/>
        <v>162.70594176983661</v>
      </c>
      <c r="AC8" s="6">
        <f t="shared" si="13"/>
        <v>0.52065901366347722</v>
      </c>
      <c r="AD8" s="6">
        <f t="shared" si="14"/>
        <v>7.1590614378728105E-3</v>
      </c>
      <c r="AE8" s="6">
        <f>J16*(100-AC8)/100</f>
        <v>3.9266012729357374</v>
      </c>
      <c r="AF8" s="6">
        <f>L16*(100-AD8)/100</f>
        <v>0.83302490057302891</v>
      </c>
      <c r="AG8" s="6">
        <f t="shared" si="15"/>
        <v>4.7136661463957088</v>
      </c>
      <c r="AH8" s="6">
        <f>AG8/AI16-1</f>
        <v>-5.1353671663465494E-3</v>
      </c>
      <c r="AI8" s="6">
        <f t="shared" si="16"/>
        <v>5.1372911889220845</v>
      </c>
      <c r="AJ8" s="6">
        <f t="shared" si="17"/>
        <v>9.3163357992396886E-3</v>
      </c>
      <c r="AK8" s="6">
        <f t="shared" si="18"/>
        <v>1.4721730961970877E-2</v>
      </c>
      <c r="AL8" s="6">
        <f t="shared" si="19"/>
        <v>4.4905258319928136E-2</v>
      </c>
      <c r="AM8" s="6">
        <f t="shared" si="20"/>
        <v>1.0299371174295445E-3</v>
      </c>
      <c r="AN8" s="6">
        <f t="shared" si="21"/>
        <v>2.4564000250694634E-2</v>
      </c>
      <c r="AO8" s="6">
        <f t="shared" si="22"/>
        <v>23.849999999999998</v>
      </c>
      <c r="AP8" s="6">
        <f t="shared" ref="AP8:AV8" si="27">AI8/AI16-1</f>
        <v>8.4274777570866988E-2</v>
      </c>
      <c r="AQ8" s="6">
        <f t="shared" si="27"/>
        <v>-0.99678508650198905</v>
      </c>
      <c r="AR8" s="6">
        <f t="shared" si="27"/>
        <v>-0.996650521699318</v>
      </c>
      <c r="AS8" s="6">
        <f t="shared" si="27"/>
        <v>9.3856039275142633E-2</v>
      </c>
      <c r="AT8" s="6">
        <f t="shared" si="27"/>
        <v>0.26801678525816475</v>
      </c>
      <c r="AU8" s="6">
        <f t="shared" si="27"/>
        <v>0.14323401613904418</v>
      </c>
      <c r="AV8" s="6">
        <f t="shared" si="27"/>
        <v>-9.8407821229050341E-2</v>
      </c>
    </row>
    <row r="9" spans="1:49">
      <c r="A9" s="6" t="s">
        <v>204</v>
      </c>
      <c r="B9" s="6" t="s">
        <v>213</v>
      </c>
      <c r="C9" s="21">
        <v>1.1000000000000001</v>
      </c>
      <c r="D9" s="21">
        <v>37.869999999999997</v>
      </c>
      <c r="E9" s="21">
        <v>0.18</v>
      </c>
      <c r="F9" s="21">
        <v>3.45</v>
      </c>
      <c r="G9" s="21">
        <v>0.02</v>
      </c>
      <c r="H9" s="21">
        <v>10.55</v>
      </c>
      <c r="I9" s="21">
        <v>0.44</v>
      </c>
      <c r="J9" s="5">
        <f t="shared" si="6"/>
        <v>10.020916045508041</v>
      </c>
      <c r="K9" s="5">
        <f t="shared" si="0"/>
        <v>0.10854646142852888</v>
      </c>
      <c r="L9" s="5">
        <f t="shared" si="1"/>
        <v>2.0677278190969877</v>
      </c>
      <c r="M9" s="5">
        <f t="shared" si="2"/>
        <v>1.4293815333806491E-2</v>
      </c>
      <c r="N9" s="5">
        <f t="shared" si="3"/>
        <v>4.3788435774946919</v>
      </c>
      <c r="O9" s="5">
        <f t="shared" si="4"/>
        <v>0.16320874297543195</v>
      </c>
      <c r="P9" s="5">
        <f t="shared" si="7"/>
        <v>68.743471310784557</v>
      </c>
      <c r="Q9" s="5">
        <f t="shared" si="8"/>
        <v>98.259508996396775</v>
      </c>
      <c r="R9" s="5">
        <v>921</v>
      </c>
      <c r="S9" s="5"/>
      <c r="T9" s="5">
        <v>227</v>
      </c>
      <c r="U9" s="5">
        <v>479</v>
      </c>
      <c r="V9" s="5">
        <f t="shared" si="9"/>
        <v>9.2100000000000001E-2</v>
      </c>
      <c r="W9" s="5"/>
      <c r="X9" s="5">
        <f t="shared" si="11"/>
        <v>4.7899999999999998E-2</v>
      </c>
      <c r="Y9" s="6">
        <f>(J9/J16-1)*100</f>
        <v>153.877094972067</v>
      </c>
      <c r="Z9" s="6">
        <f>(K9/K16-1)*100</f>
        <v>-95.503746877601998</v>
      </c>
      <c r="AA9" s="6">
        <f>(L9/L16-1)*100</f>
        <v>148.20143884892087</v>
      </c>
      <c r="AB9" s="6">
        <f t="shared" si="12"/>
        <v>156.56351947147868</v>
      </c>
      <c r="AC9" s="6">
        <f t="shared" si="13"/>
        <v>0.50100326230873182</v>
      </c>
      <c r="AD9" s="6">
        <f t="shared" si="14"/>
        <v>6.8887948567450622E-3</v>
      </c>
      <c r="AE9" s="6">
        <f>J16*(100-AC9)/100</f>
        <v>3.9273771154124248</v>
      </c>
      <c r="AF9" s="6">
        <f>L16*(100-AD9)/100</f>
        <v>0.8330271521221374</v>
      </c>
      <c r="AG9" s="6">
        <f t="shared" si="15"/>
        <v>4.7145847592211467</v>
      </c>
      <c r="AH9" s="6">
        <f>AG9/AI16-1</f>
        <v>-4.9414850832900648E-3</v>
      </c>
      <c r="AI9" s="6">
        <f t="shared" si="16"/>
        <v>4.8463419377335395</v>
      </c>
      <c r="AJ9" s="6">
        <f t="shared" si="17"/>
        <v>5.2495526938324495E-2</v>
      </c>
      <c r="AK9" s="6">
        <f t="shared" si="18"/>
        <v>6.9128127995341506E-3</v>
      </c>
      <c r="AL9" s="6">
        <f t="shared" si="19"/>
        <v>4.4541645737600832E-2</v>
      </c>
      <c r="AM9" s="6" t="s">
        <v>53</v>
      </c>
      <c r="AN9" s="6">
        <f t="shared" si="21"/>
        <v>2.3165524764723992E-2</v>
      </c>
      <c r="AO9" s="6" t="s">
        <v>53</v>
      </c>
      <c r="AP9" s="6">
        <f>AI9/AI16-1</f>
        <v>2.2867136264269616E-2</v>
      </c>
      <c r="AQ9" s="6">
        <f>AJ9/AJ16-1</f>
        <v>-0.98188466133294716</v>
      </c>
      <c r="AR9" s="6">
        <f>AK9/AK16-1</f>
        <v>-0.99842720149359288</v>
      </c>
      <c r="AS9" s="6">
        <f>AL9/AL16-1</f>
        <v>8.4998728705822479E-2</v>
      </c>
      <c r="AT9" s="6" t="s">
        <v>53</v>
      </c>
      <c r="AU9" s="6">
        <f>AN9/AN16-1</f>
        <v>7.8147518419561024E-2</v>
      </c>
      <c r="AV9" s="6" t="s">
        <v>53</v>
      </c>
    </row>
    <row r="10" spans="1:49">
      <c r="A10" s="6" t="s">
        <v>205</v>
      </c>
      <c r="B10" s="6" t="s">
        <v>213</v>
      </c>
      <c r="C10" s="22">
        <v>1.9</v>
      </c>
      <c r="D10" s="22">
        <v>37.03</v>
      </c>
      <c r="E10" s="22">
        <v>0.03</v>
      </c>
      <c r="F10" s="22">
        <v>3.16</v>
      </c>
      <c r="G10" s="22">
        <v>0.44</v>
      </c>
      <c r="H10" s="22">
        <v>9.6999999999999993</v>
      </c>
      <c r="I10" s="22">
        <v>0.57999999999999996</v>
      </c>
      <c r="J10" s="5">
        <f t="shared" si="6"/>
        <v>9.7986406433895663</v>
      </c>
      <c r="K10" s="5">
        <f t="shared" si="0"/>
        <v>1.8091076904754814E-2</v>
      </c>
      <c r="L10" s="5">
        <f t="shared" si="1"/>
        <v>1.8939188140134724</v>
      </c>
      <c r="M10" s="5">
        <f t="shared" si="2"/>
        <v>0.31446393734374284</v>
      </c>
      <c r="N10" s="5">
        <f t="shared" si="3"/>
        <v>4.0260457537154988</v>
      </c>
      <c r="O10" s="5">
        <f t="shared" si="4"/>
        <v>0.21513879755852391</v>
      </c>
      <c r="P10" s="5">
        <f t="shared" si="7"/>
        <v>68.262806700336441</v>
      </c>
      <c r="Q10" s="5">
        <f t="shared" si="8"/>
        <v>94.872286452743765</v>
      </c>
      <c r="R10" s="5">
        <v>865</v>
      </c>
      <c r="S10" s="5">
        <v>18</v>
      </c>
      <c r="T10" s="5">
        <v>237</v>
      </c>
      <c r="U10" s="5">
        <v>479</v>
      </c>
      <c r="V10" s="5">
        <f t="shared" si="9"/>
        <v>8.6499999999999994E-2</v>
      </c>
      <c r="W10" s="5">
        <f t="shared" si="10"/>
        <v>1.8E-3</v>
      </c>
      <c r="X10" s="5">
        <f t="shared" si="11"/>
        <v>4.7899999999999998E-2</v>
      </c>
      <c r="Y10" s="6">
        <f>(J10/J16-1)*100</f>
        <v>148.24581005586595</v>
      </c>
      <c r="Z10" s="6">
        <f>(K10/K16-1)*100</f>
        <v>-99.250624479600333</v>
      </c>
      <c r="AA10" s="6">
        <f>(L10/L16-1)*100</f>
        <v>127.33812949640284</v>
      </c>
      <c r="AB10" s="6">
        <f t="shared" si="12"/>
        <v>162.70594176983661</v>
      </c>
      <c r="AC10" s="6">
        <f t="shared" si="13"/>
        <v>0.52065901366347722</v>
      </c>
      <c r="AD10" s="6">
        <f t="shared" si="14"/>
        <v>7.1590614378728105E-3</v>
      </c>
      <c r="AE10" s="6">
        <f>J16*(100-AC10)/100</f>
        <v>3.9266012729357374</v>
      </c>
      <c r="AF10" s="6">
        <f>L16*(100-AD10)/100</f>
        <v>0.83302490057302891</v>
      </c>
      <c r="AG10" s="6">
        <f t="shared" si="15"/>
        <v>4.7136661463957088</v>
      </c>
      <c r="AH10" s="6">
        <f>AG10/AI16-1</f>
        <v>-5.1353671663465494E-3</v>
      </c>
      <c r="AI10" s="6">
        <f t="shared" si="16"/>
        <v>5.1737384785913338</v>
      </c>
      <c r="AJ10" s="6">
        <f t="shared" si="17"/>
        <v>9.5521924017520857E-3</v>
      </c>
      <c r="AK10" s="6">
        <f t="shared" si="18"/>
        <v>0.16603876312805133</v>
      </c>
      <c r="AL10" s="6">
        <f t="shared" si="19"/>
        <v>4.5672496286519634E-2</v>
      </c>
      <c r="AM10" s="6">
        <f t="shared" si="20"/>
        <v>9.5041032734954163E-4</v>
      </c>
      <c r="AN10" s="6">
        <f t="shared" si="21"/>
        <v>2.5291474822246134E-2</v>
      </c>
      <c r="AO10" s="6">
        <f t="shared" si="22"/>
        <v>26.611111111111111</v>
      </c>
      <c r="AP10" s="6">
        <f t="shared" ref="AP10:AV10" si="28">AI10/AI16-1</f>
        <v>9.1967329043207924E-2</v>
      </c>
      <c r="AQ10" s="6">
        <f t="shared" si="28"/>
        <v>-0.99670369628684952</v>
      </c>
      <c r="AR10" s="6">
        <f t="shared" si="28"/>
        <v>-0.96222297258344791</v>
      </c>
      <c r="AS10" s="6">
        <f t="shared" si="28"/>
        <v>0.11254534014360784</v>
      </c>
      <c r="AT10" s="6">
        <f t="shared" si="28"/>
        <v>0.17010662842177471</v>
      </c>
      <c r="AU10" s="6">
        <f t="shared" si="28"/>
        <v>0.17709143624920443</v>
      </c>
      <c r="AV10" s="6">
        <f t="shared" si="28"/>
        <v>5.9693771984274946E-3</v>
      </c>
    </row>
    <row r="11" spans="1:49">
      <c r="A11" s="6" t="s">
        <v>206</v>
      </c>
      <c r="B11" s="6" t="s">
        <v>213</v>
      </c>
      <c r="C11" s="22">
        <v>2.34</v>
      </c>
      <c r="D11" s="22">
        <v>38.47</v>
      </c>
      <c r="E11" s="22">
        <v>0.05</v>
      </c>
      <c r="F11" s="22">
        <v>3.38</v>
      </c>
      <c r="G11" s="22">
        <v>7.0000000000000007E-2</v>
      </c>
      <c r="H11" s="22">
        <v>10.16</v>
      </c>
      <c r="I11" s="22">
        <v>0.45</v>
      </c>
      <c r="J11" s="5">
        <f t="shared" si="6"/>
        <v>10.179684189878383</v>
      </c>
      <c r="K11" s="5">
        <f t="shared" si="0"/>
        <v>3.0151794841258031E-2</v>
      </c>
      <c r="L11" s="5">
        <f t="shared" si="1"/>
        <v>2.025773921318208</v>
      </c>
      <c r="M11" s="5">
        <f t="shared" si="2"/>
        <v>5.0028353668322721E-2</v>
      </c>
      <c r="N11" s="5">
        <f t="shared" si="3"/>
        <v>4.216971634819533</v>
      </c>
      <c r="O11" s="5">
        <f t="shared" si="4"/>
        <v>0.16691803258850996</v>
      </c>
      <c r="P11" s="5">
        <f t="shared" si="7"/>
        <v>69.658965961502759</v>
      </c>
      <c r="Q11" s="5">
        <f t="shared" si="8"/>
        <v>97.913301000087287</v>
      </c>
      <c r="R11" s="5">
        <v>902</v>
      </c>
      <c r="S11" s="5">
        <v>17</v>
      </c>
      <c r="T11" s="5">
        <v>226</v>
      </c>
      <c r="U11" s="5">
        <v>485</v>
      </c>
      <c r="V11" s="5">
        <f t="shared" si="9"/>
        <v>9.0200000000000002E-2</v>
      </c>
      <c r="W11" s="5">
        <f t="shared" si="10"/>
        <v>1.6999999999999999E-3</v>
      </c>
      <c r="X11" s="5">
        <f t="shared" si="11"/>
        <v>4.8500000000000001E-2</v>
      </c>
      <c r="Y11" s="6">
        <f>(J11/J16-1)*100</f>
        <v>157.89944134078212</v>
      </c>
      <c r="Z11" s="6">
        <f>(K11/K16-1)*100</f>
        <v>-98.751040799333893</v>
      </c>
      <c r="AA11" s="6">
        <f>(L11/L16-1)*100</f>
        <v>143.16546762589928</v>
      </c>
      <c r="AB11" s="6">
        <f t="shared" si="12"/>
        <v>161.88695213005556</v>
      </c>
      <c r="AC11" s="6">
        <f t="shared" si="13"/>
        <v>0.51803824681617783</v>
      </c>
      <c r="AD11" s="6">
        <f t="shared" si="14"/>
        <v>7.1230258937224449E-3</v>
      </c>
      <c r="AE11" s="6">
        <f>J16*(100-AC11)/100</f>
        <v>3.926704718599296</v>
      </c>
      <c r="AF11" s="6">
        <f>L16*(100-AD11)/100</f>
        <v>0.83302520077957676</v>
      </c>
      <c r="AG11" s="6">
        <f t="shared" si="15"/>
        <v>4.7137886283926775</v>
      </c>
      <c r="AH11" s="6">
        <f>AG11/AI16-1</f>
        <v>-5.1095161613837758E-3</v>
      </c>
      <c r="AI11" s="6">
        <f t="shared" si="16"/>
        <v>5.0250840346756354</v>
      </c>
      <c r="AJ11" s="6">
        <f t="shared" si="17"/>
        <v>1.4884086779850394E-2</v>
      </c>
      <c r="AK11" s="6">
        <f t="shared" si="18"/>
        <v>2.4695921465791384E-2</v>
      </c>
      <c r="AL11" s="6">
        <f t="shared" si="19"/>
        <v>4.45261927062943E-2</v>
      </c>
      <c r="AM11" s="6">
        <f t="shared" si="20"/>
        <v>8.3918545011862867E-4</v>
      </c>
      <c r="AN11" s="6">
        <f t="shared" si="21"/>
        <v>2.3941467253384408E-2</v>
      </c>
      <c r="AO11" s="6">
        <f t="shared" si="22"/>
        <v>28.529411764705884</v>
      </c>
      <c r="AP11" s="6">
        <f t="shared" ref="AP11:AV11" si="29">AI11/AI16-1</f>
        <v>6.0592377111500229E-2</v>
      </c>
      <c r="AQ11" s="6">
        <f t="shared" si="29"/>
        <v>-0.99486374766589969</v>
      </c>
      <c r="AR11" s="6">
        <f t="shared" si="29"/>
        <v>-0.99438120060211044</v>
      </c>
      <c r="AS11" s="6">
        <f t="shared" si="29"/>
        <v>8.4622305270078524E-2</v>
      </c>
      <c r="AT11" s="6">
        <f t="shared" si="29"/>
        <v>3.3171072958871228E-2</v>
      </c>
      <c r="AU11" s="6">
        <f t="shared" si="29"/>
        <v>0.1142606855971704</v>
      </c>
      <c r="AV11" s="6">
        <f t="shared" si="29"/>
        <v>7.848614306057633E-2</v>
      </c>
    </row>
    <row r="12" spans="1:49">
      <c r="A12" s="6" t="s">
        <v>207</v>
      </c>
      <c r="B12" s="6" t="s">
        <v>213</v>
      </c>
      <c r="C12" s="22">
        <v>2.9</v>
      </c>
      <c r="D12" s="22">
        <v>37.51</v>
      </c>
      <c r="E12" s="22">
        <v>0.12</v>
      </c>
      <c r="F12" s="22">
        <v>3.44</v>
      </c>
      <c r="G12" s="22">
        <v>0.47</v>
      </c>
      <c r="H12" s="22">
        <v>10.08</v>
      </c>
      <c r="I12" s="22">
        <v>0.46</v>
      </c>
      <c r="J12" s="5">
        <f t="shared" si="6"/>
        <v>9.9256551588858368</v>
      </c>
      <c r="K12" s="5">
        <f t="shared" si="0"/>
        <v>7.2364307619019255E-2</v>
      </c>
      <c r="L12" s="5">
        <f t="shared" si="1"/>
        <v>2.0617344051285902</v>
      </c>
      <c r="M12" s="5">
        <f t="shared" si="2"/>
        <v>0.33590466034445254</v>
      </c>
      <c r="N12" s="5">
        <f t="shared" si="3"/>
        <v>4.1837671337579625</v>
      </c>
      <c r="O12" s="5">
        <f t="shared" si="4"/>
        <v>0.17062732220158794</v>
      </c>
      <c r="P12" s="5">
        <f t="shared" si="7"/>
        <v>67.909730504113227</v>
      </c>
      <c r="Q12" s="5">
        <f t="shared" si="8"/>
        <v>95.144527454513096</v>
      </c>
      <c r="R12" s="5">
        <v>912</v>
      </c>
      <c r="S12" s="5">
        <v>19</v>
      </c>
      <c r="T12" s="5">
        <v>236</v>
      </c>
      <c r="U12" s="5">
        <v>472</v>
      </c>
      <c r="V12" s="5">
        <f t="shared" si="9"/>
        <v>9.1200000000000003E-2</v>
      </c>
      <c r="W12" s="5">
        <f t="shared" si="10"/>
        <v>1.9E-3</v>
      </c>
      <c r="X12" s="5">
        <f t="shared" si="11"/>
        <v>4.7199999999999999E-2</v>
      </c>
      <c r="Y12" s="6">
        <f>(J12/J16-1)*100</f>
        <v>151.46368715083796</v>
      </c>
      <c r="Z12" s="6">
        <f>(K12/K16-1)*100</f>
        <v>-97.002497918401332</v>
      </c>
      <c r="AA12" s="6">
        <f>(L12/L16-1)*100</f>
        <v>147.48201438848918</v>
      </c>
      <c r="AB12" s="6">
        <f t="shared" si="12"/>
        <v>159.02048839082187</v>
      </c>
      <c r="AC12" s="6">
        <f t="shared" si="13"/>
        <v>0.50886556285063</v>
      </c>
      <c r="AD12" s="6">
        <f t="shared" si="14"/>
        <v>6.9969014891961617E-3</v>
      </c>
      <c r="AE12" s="6">
        <f>J16*(100-AC12)/100</f>
        <v>3.9270667784217501</v>
      </c>
      <c r="AF12" s="6">
        <f>L16*(100-AD12)/100</f>
        <v>0.83302625150249399</v>
      </c>
      <c r="AG12" s="6">
        <f t="shared" si="15"/>
        <v>4.7142173146868629</v>
      </c>
      <c r="AH12" s="6">
        <f>AG12/AI16-1</f>
        <v>-5.0190377907440853E-3</v>
      </c>
      <c r="AI12" s="6">
        <f t="shared" si="16"/>
        <v>4.8142258935950455</v>
      </c>
      <c r="AJ12" s="6">
        <f t="shared" si="17"/>
        <v>3.5098753476205342E-2</v>
      </c>
      <c r="AK12" s="6">
        <f t="shared" si="18"/>
        <v>0.16292334236111378</v>
      </c>
      <c r="AL12" s="6">
        <f t="shared" si="19"/>
        <v>4.4234601592299597E-2</v>
      </c>
      <c r="AM12" s="6">
        <f t="shared" si="20"/>
        <v>9.21554199839575E-4</v>
      </c>
      <c r="AN12" s="6">
        <f t="shared" si="21"/>
        <v>2.2893346438119966E-2</v>
      </c>
      <c r="AO12" s="6">
        <f t="shared" si="22"/>
        <v>24.842105263157894</v>
      </c>
      <c r="AP12" s="6">
        <f t="shared" ref="AP12:AV12" si="30">AI12/AI16-1</f>
        <v>1.6088735871118587E-2</v>
      </c>
      <c r="AQ12" s="6">
        <f t="shared" si="30"/>
        <v>-0.98788800030981938</v>
      </c>
      <c r="AR12" s="6">
        <f t="shared" si="30"/>
        <v>-0.96293179101541815</v>
      </c>
      <c r="AS12" s="6">
        <f t="shared" si="30"/>
        <v>7.7519379844961378E-2</v>
      </c>
      <c r="AT12" s="6">
        <f t="shared" si="30"/>
        <v>0.13458013518157874</v>
      </c>
      <c r="AU12" s="6">
        <f t="shared" si="30"/>
        <v>6.548005716512928E-2</v>
      </c>
      <c r="AV12" s="6">
        <f t="shared" si="30"/>
        <v>-6.0903655787513444E-2</v>
      </c>
    </row>
    <row r="13" spans="1:49">
      <c r="A13" s="6" t="s">
        <v>208</v>
      </c>
      <c r="B13" s="6" t="s">
        <v>213</v>
      </c>
      <c r="C13" s="22">
        <v>4.5999999999999996</v>
      </c>
      <c r="D13" s="22">
        <v>36.1</v>
      </c>
      <c r="E13" s="22">
        <v>0.26</v>
      </c>
      <c r="F13" s="22">
        <v>3.15</v>
      </c>
      <c r="G13" s="22">
        <v>0.64</v>
      </c>
      <c r="H13" s="22">
        <v>10.1</v>
      </c>
      <c r="I13" s="22">
        <v>0.31</v>
      </c>
      <c r="J13" s="5">
        <f t="shared" si="6"/>
        <v>9.552550019615536</v>
      </c>
      <c r="K13" s="5">
        <f t="shared" si="0"/>
        <v>0.15678933317454175</v>
      </c>
      <c r="L13" s="5">
        <f t="shared" si="1"/>
        <v>1.8879254000450754</v>
      </c>
      <c r="M13" s="5">
        <f t="shared" si="2"/>
        <v>0.4574020906818077</v>
      </c>
      <c r="N13" s="5">
        <f t="shared" si="3"/>
        <v>4.1920682590233547</v>
      </c>
      <c r="O13" s="5">
        <f t="shared" si="4"/>
        <v>0.11498797800541796</v>
      </c>
      <c r="P13" s="5">
        <f t="shared" si="7"/>
        <v>66.721690648448899</v>
      </c>
      <c r="Q13" s="5">
        <f t="shared" si="8"/>
        <v>94.346731302158503</v>
      </c>
      <c r="R13" s="5"/>
      <c r="S13" s="5">
        <v>17</v>
      </c>
      <c r="T13" s="5">
        <v>238</v>
      </c>
      <c r="U13" s="5" t="s">
        <v>53</v>
      </c>
      <c r="V13" s="5"/>
      <c r="W13" s="5">
        <f t="shared" si="10"/>
        <v>1.6999999999999999E-3</v>
      </c>
      <c r="X13" s="5" t="s">
        <v>53</v>
      </c>
      <c r="Y13" s="6">
        <f>(J13/J16-1)*100</f>
        <v>142.01117318435755</v>
      </c>
      <c r="Z13" s="6">
        <f>(K13/K16-1)*100</f>
        <v>-93.50541215653621</v>
      </c>
      <c r="AA13" s="6">
        <f>(L13/L16-1)*100</f>
        <v>126.61870503597119</v>
      </c>
      <c r="AB13" s="6">
        <f t="shared" si="12"/>
        <v>153.28756091235445</v>
      </c>
      <c r="AC13" s="6">
        <f t="shared" si="13"/>
        <v>0.49052019491953425</v>
      </c>
      <c r="AD13" s="6">
        <f t="shared" si="14"/>
        <v>6.7446526801435954E-3</v>
      </c>
      <c r="AE13" s="6">
        <f>J16*(100-AC13)/100</f>
        <v>3.9277908980666574</v>
      </c>
      <c r="AF13" s="6">
        <f>L16*(100-AD13)/100</f>
        <v>0.83302835294832878</v>
      </c>
      <c r="AG13" s="6">
        <f t="shared" si="15"/>
        <v>4.7150746840309417</v>
      </c>
      <c r="AH13" s="6">
        <f>AG13/AI16-1</f>
        <v>-4.8380817342036364E-3</v>
      </c>
      <c r="AI13" s="6">
        <f t="shared" si="16"/>
        <v>5.059813284670815</v>
      </c>
      <c r="AJ13" s="6">
        <f t="shared" si="17"/>
        <v>8.3048479124650951E-2</v>
      </c>
      <c r="AK13" s="6">
        <f t="shared" si="18"/>
        <v>0.24227762954557788</v>
      </c>
      <c r="AL13" s="6" t="s">
        <v>53</v>
      </c>
      <c r="AM13" s="6">
        <f t="shared" si="20"/>
        <v>9.0045930838125884E-4</v>
      </c>
      <c r="AN13" s="6" t="s">
        <v>53</v>
      </c>
      <c r="AO13" s="6" t="s">
        <v>53</v>
      </c>
      <c r="AP13" s="6">
        <f>AI13/AI16-1</f>
        <v>6.7922319765895134E-2</v>
      </c>
      <c r="AQ13" s="6">
        <f>AJ13/AJ16-1</f>
        <v>-0.97134134253201698</v>
      </c>
      <c r="AR13" s="6">
        <f>AK13/AK16-1</f>
        <v>-0.94487715710877718</v>
      </c>
      <c r="AS13" s="6" t="s">
        <v>53</v>
      </c>
      <c r="AT13" s="6">
        <f>AM13/AM16-1</f>
        <v>0.1086089608257097</v>
      </c>
      <c r="AU13" s="6" t="s">
        <v>53</v>
      </c>
      <c r="AV13" s="6" t="s">
        <v>53</v>
      </c>
    </row>
    <row r="14" spans="1:49">
      <c r="A14" s="6" t="s">
        <v>209</v>
      </c>
      <c r="B14" s="6" t="s">
        <v>213</v>
      </c>
      <c r="C14" s="22">
        <v>5.9</v>
      </c>
      <c r="D14" s="22">
        <v>27.23</v>
      </c>
      <c r="E14" s="22">
        <v>0.35</v>
      </c>
      <c r="F14" s="22">
        <v>2.35</v>
      </c>
      <c r="G14" s="22">
        <v>0.96</v>
      </c>
      <c r="H14" s="22">
        <v>8</v>
      </c>
      <c r="I14" s="22">
        <v>0.2</v>
      </c>
      <c r="J14" s="5">
        <f t="shared" si="6"/>
        <v>7.2054276186739896</v>
      </c>
      <c r="K14" s="5">
        <f t="shared" si="0"/>
        <v>0.21106256388880615</v>
      </c>
      <c r="L14" s="5">
        <f t="shared" si="1"/>
        <v>1.4084522825733103</v>
      </c>
      <c r="M14" s="5">
        <f t="shared" si="2"/>
        <v>0.68610313602271145</v>
      </c>
      <c r="N14" s="5">
        <f t="shared" si="3"/>
        <v>3.3204501061571126</v>
      </c>
      <c r="O14" s="5">
        <f t="shared" si="4"/>
        <v>7.4185792261559982E-2</v>
      </c>
      <c r="P14" s="5">
        <f t="shared" si="7"/>
        <v>63.843002147102283</v>
      </c>
      <c r="Q14" s="5">
        <f t="shared" si="8"/>
        <v>90.455486034403393</v>
      </c>
      <c r="R14" s="5">
        <v>629</v>
      </c>
      <c r="S14" s="5">
        <v>13</v>
      </c>
      <c r="T14" s="5">
        <v>198</v>
      </c>
      <c r="U14" s="5">
        <v>344</v>
      </c>
      <c r="V14" s="5">
        <f t="shared" si="9"/>
        <v>6.2899999999999998E-2</v>
      </c>
      <c r="W14" s="5">
        <f t="shared" si="10"/>
        <v>1.2999999999999999E-3</v>
      </c>
      <c r="X14" s="5">
        <f t="shared" si="11"/>
        <v>3.44E-2</v>
      </c>
      <c r="Y14" s="6">
        <f>(J14/J16-1)*100</f>
        <v>82.547486033519533</v>
      </c>
      <c r="Z14" s="6">
        <f>(K14/K16-1)*100</f>
        <v>-91.257285595337223</v>
      </c>
      <c r="AA14" s="6">
        <f>(L14/L16-1)*100</f>
        <v>69.06474820143886</v>
      </c>
      <c r="AB14" s="6">
        <f t="shared" si="12"/>
        <v>149.60210753333971</v>
      </c>
      <c r="AC14" s="6">
        <f t="shared" si="13"/>
        <v>0.47872674410668709</v>
      </c>
      <c r="AD14" s="6">
        <f t="shared" si="14"/>
        <v>6.5824927314669466E-3</v>
      </c>
      <c r="AE14" s="6">
        <f>J16*(100-AC14)/100</f>
        <v>3.9282564035526701</v>
      </c>
      <c r="AF14" s="6">
        <f>L16*(100-AD14)/100</f>
        <v>0.83302970387779385</v>
      </c>
      <c r="AG14" s="6">
        <f t="shared" si="15"/>
        <v>4.7156258477536221</v>
      </c>
      <c r="AH14" s="6">
        <f>AG14/AI16-1</f>
        <v>-4.7217533228215425E-3</v>
      </c>
      <c r="AI14" s="6">
        <f t="shared" si="16"/>
        <v>5.1158478763010171</v>
      </c>
      <c r="AJ14" s="6">
        <f t="shared" si="17"/>
        <v>0.14985425243032349</v>
      </c>
      <c r="AK14" s="6">
        <f t="shared" si="18"/>
        <v>0.48713268068206605</v>
      </c>
      <c r="AL14" s="6">
        <f t="shared" si="19"/>
        <v>4.465894995397264E-2</v>
      </c>
      <c r="AM14" s="6">
        <f t="shared" si="20"/>
        <v>9.2299896566239159E-4</v>
      </c>
      <c r="AN14" s="6">
        <f t="shared" si="21"/>
        <v>2.4423972629835596E-2</v>
      </c>
      <c r="AO14" s="6">
        <f t="shared" si="22"/>
        <v>26.461538461538463</v>
      </c>
      <c r="AP14" s="6">
        <f t="shared" ref="AP14:AV14" si="31">AI14/AI16-1</f>
        <v>7.9748959942945286E-2</v>
      </c>
      <c r="AQ14" s="6">
        <f t="shared" si="31"/>
        <v>-0.94828777437242018</v>
      </c>
      <c r="AR14" s="6">
        <f t="shared" si="31"/>
        <v>-0.88916790099530729</v>
      </c>
      <c r="AS14" s="6">
        <f t="shared" si="31"/>
        <v>8.7856165235784545E-2</v>
      </c>
      <c r="AT14" s="6">
        <f t="shared" si="31"/>
        <v>0.1363588722356146</v>
      </c>
      <c r="AU14" s="6">
        <f t="shared" si="31"/>
        <v>0.13671698561749679</v>
      </c>
      <c r="AV14" s="6">
        <f t="shared" si="31"/>
        <v>3.1514109726415995E-4</v>
      </c>
    </row>
    <row r="15" spans="1:49">
      <c r="A15" s="6" t="s">
        <v>210</v>
      </c>
      <c r="B15" s="6" t="s">
        <v>212</v>
      </c>
      <c r="C15" s="22">
        <v>6.6</v>
      </c>
      <c r="D15" s="22">
        <v>13.82</v>
      </c>
      <c r="E15" s="22">
        <v>1.93</v>
      </c>
      <c r="F15" s="22">
        <v>1.17</v>
      </c>
      <c r="G15" s="22">
        <v>0.3</v>
      </c>
      <c r="H15" s="22">
        <v>0.57999999999999996</v>
      </c>
      <c r="I15" s="22">
        <v>0.17</v>
      </c>
      <c r="J15" s="5">
        <f t="shared" si="6"/>
        <v>3.6569595919968618</v>
      </c>
      <c r="K15" s="5">
        <f t="shared" si="0"/>
        <v>1.1638592808725596</v>
      </c>
      <c r="L15" s="5">
        <f t="shared" si="1"/>
        <v>0.70122943430245654</v>
      </c>
      <c r="M15" s="5">
        <f t="shared" si="2"/>
        <v>0.21440723000709735</v>
      </c>
      <c r="N15" s="5">
        <f t="shared" si="3"/>
        <v>0.24073263269639064</v>
      </c>
      <c r="O15" s="5">
        <f t="shared" si="4"/>
        <v>6.3057923422325982E-2</v>
      </c>
      <c r="P15" s="5">
        <f>100*(J15/(J15+M15+N15+O15))</f>
        <v>87.588544833277226</v>
      </c>
      <c r="Q15" s="5">
        <f t="shared" si="8"/>
        <v>92.947758023533865</v>
      </c>
      <c r="R15" s="5">
        <v>269</v>
      </c>
      <c r="S15" s="5">
        <v>6</v>
      </c>
      <c r="T15" s="5">
        <v>13</v>
      </c>
      <c r="U15" s="5">
        <v>170</v>
      </c>
      <c r="V15" s="5">
        <f t="shared" si="9"/>
        <v>2.69E-2</v>
      </c>
      <c r="W15" s="5">
        <f t="shared" si="10"/>
        <v>5.9999999999999995E-4</v>
      </c>
      <c r="X15" s="5">
        <f t="shared" si="11"/>
        <v>1.7000000000000001E-2</v>
      </c>
      <c r="Y15" s="6">
        <f>(J15/J16-1)*100</f>
        <v>-7.3519553072625694</v>
      </c>
      <c r="Z15" s="6">
        <f>(K15/K16-1)*100</f>
        <v>-51.790174854288097</v>
      </c>
      <c r="AA15" s="6">
        <f>(L15/L16-1)*100</f>
        <v>-15.827338129496404</v>
      </c>
      <c r="AB15" s="6">
        <f t="shared" si="12"/>
        <v>84.901925990636229</v>
      </c>
      <c r="AC15" s="6">
        <f t="shared" si="13"/>
        <v>0.27168616317003597</v>
      </c>
      <c r="AD15" s="6">
        <f t="shared" si="14"/>
        <v>3.7356847435879941E-3</v>
      </c>
      <c r="AE15" s="6">
        <f>J16*(100-AC15)/100</f>
        <v>3.9364286109737758</v>
      </c>
      <c r="AF15" s="6">
        <f>L16*(100-AD15)/100</f>
        <v>0.83305342019506989</v>
      </c>
      <c r="AG15" s="6">
        <f t="shared" si="15"/>
        <v>4.7253015419491486</v>
      </c>
      <c r="AH15" s="6">
        <f>AG15/AI16-1</f>
        <v>-2.6796048858552801E-3</v>
      </c>
      <c r="AI15" s="6">
        <f t="shared" si="16"/>
        <v>5.2150685825597138</v>
      </c>
      <c r="AJ15" s="6">
        <f t="shared" si="17"/>
        <v>1.6597410546953169</v>
      </c>
      <c r="AK15" s="6">
        <f t="shared" si="18"/>
        <v>0.30575902767170288</v>
      </c>
      <c r="AL15" s="6">
        <f t="shared" si="19"/>
        <v>3.8361196327645036E-2</v>
      </c>
      <c r="AM15" s="6">
        <f t="shared" si="20"/>
        <v>8.5564006678762151E-4</v>
      </c>
      <c r="AN15" s="6">
        <f t="shared" si="21"/>
        <v>2.424313522564928E-2</v>
      </c>
      <c r="AO15" s="6">
        <f t="shared" si="22"/>
        <v>28.333333333333339</v>
      </c>
      <c r="AP15" s="6">
        <f t="shared" ref="AP15:AV15" si="32">AI15/AI16-1</f>
        <v>0.1006904454949149</v>
      </c>
      <c r="AQ15" s="6">
        <f t="shared" si="32"/>
        <v>-0.42725079527743981</v>
      </c>
      <c r="AR15" s="6">
        <f t="shared" si="32"/>
        <v>-0.93043391221660576</v>
      </c>
      <c r="AS15" s="6">
        <f t="shared" si="32"/>
        <v>-6.5552056780126766E-2</v>
      </c>
      <c r="AT15" s="6">
        <f t="shared" si="32"/>
        <v>5.342932929139832E-2</v>
      </c>
      <c r="AU15" s="6">
        <f t="shared" si="32"/>
        <v>0.12830062550732957</v>
      </c>
      <c r="AV15" s="6">
        <f t="shared" si="32"/>
        <v>7.1073867163252924E-2</v>
      </c>
    </row>
    <row r="16" spans="1:49" s="2" customFormat="1">
      <c r="A16" s="2" t="s">
        <v>211</v>
      </c>
      <c r="B16" s="2" t="s">
        <v>42</v>
      </c>
      <c r="C16" s="23">
        <v>7.6</v>
      </c>
      <c r="D16" s="23">
        <f>AVERAGE(15.41,14.67,14.67)</f>
        <v>14.916666666666666</v>
      </c>
      <c r="E16" s="23">
        <f>AVERAGE(4.43,3.99,3.59)</f>
        <v>4.003333333333333</v>
      </c>
      <c r="F16" s="23">
        <f>AVERAGE(1.4,1.39,1.38)</f>
        <v>1.39</v>
      </c>
      <c r="G16" s="23">
        <f>AVERAGE(1.11,6.07,8.19)</f>
        <v>5.123333333333334</v>
      </c>
      <c r="H16" s="23">
        <f>AVERAGE(0.95,1.95,2.35)</f>
        <v>1.75</v>
      </c>
      <c r="I16" s="23">
        <f>AVERAGE(2.17,0.9,0.96)</f>
        <v>1.343333333333333</v>
      </c>
      <c r="J16" s="4">
        <f t="shared" si="6"/>
        <v>3.9471524780959855</v>
      </c>
      <c r="K16" s="4">
        <f t="shared" si="0"/>
        <v>2.4141537069567258</v>
      </c>
      <c r="L16" s="4">
        <f t="shared" si="1"/>
        <v>0.83308454160719203</v>
      </c>
      <c r="M16" s="4">
        <f t="shared" si="2"/>
        <v>3.6615990280100963</v>
      </c>
      <c r="N16" s="4">
        <f t="shared" si="3"/>
        <v>0.72634846072186843</v>
      </c>
      <c r="O16" s="4">
        <f t="shared" si="4"/>
        <v>0.49828123802347773</v>
      </c>
      <c r="P16" s="4"/>
      <c r="Q16" s="4"/>
      <c r="R16" s="4">
        <v>342</v>
      </c>
      <c r="S16" s="4">
        <f>AVERAGE(7,7,6.3)</f>
        <v>6.7666666666666666</v>
      </c>
      <c r="T16" s="4">
        <v>28</v>
      </c>
      <c r="U16" s="4">
        <v>179</v>
      </c>
      <c r="V16" s="4">
        <f t="shared" si="9"/>
        <v>3.4200000000000001E-2</v>
      </c>
      <c r="W16" s="4">
        <f t="shared" si="10"/>
        <v>6.7666666666666667E-4</v>
      </c>
      <c r="X16" s="4">
        <f t="shared" si="11"/>
        <v>1.7899999999999999E-2</v>
      </c>
      <c r="AI16" s="2">
        <f t="shared" si="16"/>
        <v>4.7379975032079145</v>
      </c>
      <c r="AJ16" s="2">
        <f t="shared" si="17"/>
        <v>2.8978496015534332</v>
      </c>
      <c r="AK16" s="2">
        <f t="shared" si="18"/>
        <v>4.3952310301498523</v>
      </c>
      <c r="AL16" s="2">
        <f t="shared" si="19"/>
        <v>4.1052256154004658E-2</v>
      </c>
      <c r="AM16" s="2">
        <f t="shared" si="20"/>
        <v>8.12242495054868E-4</v>
      </c>
      <c r="AN16" s="2">
        <f t="shared" si="21"/>
        <v>2.1486414770663258E-2</v>
      </c>
      <c r="AO16" s="2">
        <f t="shared" si="22"/>
        <v>26.453201970443349</v>
      </c>
    </row>
    <row r="17" spans="3:45">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9"/>
      <c r="AI17" s="3"/>
      <c r="AJ17" s="39"/>
      <c r="AK17" s="39"/>
      <c r="AL17" s="39"/>
      <c r="AM17" s="39"/>
      <c r="AN17" s="39"/>
      <c r="AO17" s="39" t="s">
        <v>97</v>
      </c>
      <c r="AP17" s="6">
        <f>_xlfn.VAR.P(AP3:AP15)</f>
        <v>1.1040964014084073E-3</v>
      </c>
      <c r="AQ17" s="3"/>
    </row>
    <row r="18" spans="3:45">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67" t="s">
        <v>98</v>
      </c>
      <c r="AP18" s="3">
        <f>AVERAGE(AP3:AP15)</f>
        <v>7.6777778147786302E-2</v>
      </c>
      <c r="AQ18" s="3"/>
    </row>
    <row r="19" spans="3:45">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row>
    <row r="20" spans="3:45">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row>
    <row r="21" spans="3:45">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row>
    <row r="22" spans="3:45">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row>
    <row r="23" spans="3:45">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row>
    <row r="24" spans="3:45">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row>
    <row r="25" spans="3:45">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row>
    <row r="26" spans="3:45">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row>
    <row r="27" spans="3:45">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row>
    <row r="28" spans="3:45">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row>
    <row r="29" spans="3:45">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row>
    <row r="30" spans="3:45">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row>
    <row r="31" spans="3:45">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row>
    <row r="32" spans="3:45">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row>
    <row r="33" spans="3:4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row>
    <row r="34" spans="3:4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row>
    <row r="35" spans="3:4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row>
    <row r="36" spans="3:4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row>
    <row r="37" spans="3:4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row>
    <row r="38" spans="3:4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row>
    <row r="39" spans="3:4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row>
    <row r="40" spans="3:4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row>
    <row r="41" spans="3:4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row>
    <row r="42" spans="3:4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row>
    <row r="43" spans="3:4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row>
    <row r="44" spans="3:4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row>
    <row r="45" spans="3:4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row>
    <row r="46" spans="3:4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row>
    <row r="47" spans="3:4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row>
    <row r="48" spans="3:4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row>
    <row r="49" spans="3:4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row>
    <row r="50" spans="3:4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row>
    <row r="51" spans="3:4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row>
    <row r="52" spans="3:4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row>
    <row r="53" spans="3:4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row>
    <row r="54" spans="3:4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row>
    <row r="55" spans="3:4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row>
    <row r="56" spans="3:4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row>
    <row r="57" spans="3:4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row>
    <row r="58" spans="3:4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row>
    <row r="59" spans="3:4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row>
    <row r="60" spans="3:4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row>
    <row r="61" spans="3:4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row>
    <row r="62" spans="3:4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row>
    <row r="63" spans="3:4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row>
    <row r="64" spans="3:4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row>
    <row r="65" spans="3:4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row>
    <row r="66" spans="3:4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row>
    <row r="67" spans="3:4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row>
    <row r="68" spans="3:4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row>
    <row r="69" spans="3:4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row>
    <row r="70" spans="3:4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row>
  </sheetData>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43</vt:i4>
      </vt:variant>
    </vt:vector>
  </HeadingPairs>
  <TitlesOfParts>
    <vt:vector size="43" baseType="lpstr">
      <vt:lpstr>G47986</vt:lpstr>
      <vt:lpstr>Box and whisker</vt:lpstr>
      <vt:lpstr>Experimental losses</vt:lpstr>
      <vt:lpstr>ANOVA</vt:lpstr>
      <vt:lpstr>Paleolatitudes</vt:lpstr>
      <vt:lpstr>Basal Pongola</vt:lpstr>
      <vt:lpstr>Denny Dalton</vt:lpstr>
      <vt:lpstr>Lake Voronye</vt:lpstr>
      <vt:lpstr>Mt. Roe #2</vt:lpstr>
      <vt:lpstr>Black Reef</vt:lpstr>
      <vt:lpstr>Saganaga</vt:lpstr>
      <vt:lpstr>Lauzon Bay XRF</vt:lpstr>
      <vt:lpstr>Lauzon Bay ICP-MS</vt:lpstr>
      <vt:lpstr>Pronto</vt:lpstr>
      <vt:lpstr>Denison (S-62)</vt:lpstr>
      <vt:lpstr>Quirke (DH-268)</vt:lpstr>
      <vt:lpstr>Cooper Lake</vt:lpstr>
      <vt:lpstr>Ville Marie</vt:lpstr>
      <vt:lpstr>Hekpoort</vt:lpstr>
      <vt:lpstr>Beaverlodge Lake</vt:lpstr>
      <vt:lpstr>Flin Flon</vt:lpstr>
      <vt:lpstr>Baraboo</vt:lpstr>
      <vt:lpstr>Avontuur</vt:lpstr>
      <vt:lpstr>Drakenstein</vt:lpstr>
      <vt:lpstr>Temperance River</vt:lpstr>
      <vt:lpstr>Sigula (F124)</vt:lpstr>
      <vt:lpstr>Roded</vt:lpstr>
      <vt:lpstr>Timna</vt:lpstr>
      <vt:lpstr>Verde River</vt:lpstr>
      <vt:lpstr>Elk Point</vt:lpstr>
      <vt:lpstr>St. Francois Mtns</vt:lpstr>
      <vt:lpstr>Dunn Point</vt:lpstr>
      <vt:lpstr>Boulder Creek</vt:lpstr>
      <vt:lpstr>Ischigualasto</vt:lpstr>
      <vt:lpstr>Bidar</vt:lpstr>
      <vt:lpstr>Picture Gorge</vt:lpstr>
      <vt:lpstr>Lower Rice Creek</vt:lpstr>
      <vt:lpstr>Lawyer Canyon</vt:lpstr>
      <vt:lpstr>Upper Shumaker</vt:lpstr>
      <vt:lpstr>Hawaii 10 kyr</vt:lpstr>
      <vt:lpstr>Hawaii 170 kyr</vt:lpstr>
      <vt:lpstr>Hawaii 350 kyr</vt:lpstr>
      <vt:lpstr>Total Hawaii</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Beaty</dc:creator>
  <cp:lastModifiedBy>Jennifer Olivarez</cp:lastModifiedBy>
  <dcterms:created xsi:type="dcterms:W3CDTF">2019-12-22T23:16:38Z</dcterms:created>
  <dcterms:modified xsi:type="dcterms:W3CDTF">2020-11-10T17:06:49Z</dcterms:modified>
</cp:coreProperties>
</file>