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July-2022\G49801-pLecumberri-Sanchez\1-Supp-Mat\"/>
    </mc:Choice>
  </mc:AlternateContent>
  <xr:revisionPtr revIDLastSave="0" documentId="13_ncr:1_{58E762DB-F111-4604-85CC-ACB1D07535D8}" xr6:coauthVersionLast="47" xr6:coauthVersionMax="47" xr10:uidLastSave="{00000000-0000-0000-0000-000000000000}"/>
  <bookViews>
    <workbookView xWindow="-120" yWindow="-120" windowWidth="20730" windowHeight="10215" xr2:uid="{3CD4760F-7DF7-9A45-8180-96AB5B84333E}"/>
  </bookViews>
  <sheets>
    <sheet name="Figure 4 data" sheetId="1" r:id="rId1"/>
    <sheet name="References" sheetId="2" r:id="rId2"/>
    <sheet name="G4980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17" i="1" l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O183" i="1"/>
  <c r="K183" i="1"/>
  <c r="P182" i="1"/>
  <c r="O182" i="1"/>
  <c r="K182" i="1"/>
  <c r="P181" i="1"/>
  <c r="O181" i="1"/>
  <c r="K181" i="1"/>
  <c r="P180" i="1"/>
  <c r="O180" i="1"/>
  <c r="K180" i="1"/>
  <c r="K178" i="1"/>
  <c r="K176" i="1"/>
  <c r="K175" i="1"/>
  <c r="K174" i="1"/>
  <c r="K173" i="1"/>
  <c r="K172" i="1"/>
  <c r="K171" i="1"/>
  <c r="P170" i="1"/>
  <c r="O170" i="1"/>
  <c r="K170" i="1"/>
  <c r="P169" i="1"/>
  <c r="O169" i="1"/>
  <c r="K169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P147" i="1"/>
  <c r="O147" i="1"/>
  <c r="K147" i="1"/>
  <c r="P146" i="1"/>
  <c r="O146" i="1"/>
  <c r="K146" i="1"/>
  <c r="P145" i="1"/>
  <c r="O145" i="1"/>
  <c r="K145" i="1"/>
  <c r="K143" i="1"/>
  <c r="K142" i="1"/>
  <c r="K141" i="1"/>
  <c r="K140" i="1"/>
  <c r="K139" i="1"/>
  <c r="K138" i="1"/>
  <c r="O137" i="1"/>
  <c r="K137" i="1"/>
  <c r="P136" i="1"/>
  <c r="O136" i="1"/>
  <c r="K136" i="1"/>
  <c r="O135" i="1"/>
  <c r="K135" i="1"/>
  <c r="K133" i="1"/>
  <c r="K132" i="1"/>
  <c r="K131" i="1"/>
  <c r="O130" i="1"/>
  <c r="K130" i="1"/>
  <c r="O129" i="1"/>
  <c r="K129" i="1"/>
  <c r="K127" i="1"/>
  <c r="K126" i="1"/>
  <c r="K125" i="1"/>
  <c r="K124" i="1"/>
  <c r="K123" i="1"/>
  <c r="K122" i="1"/>
  <c r="O121" i="1"/>
  <c r="K121" i="1"/>
  <c r="P120" i="1"/>
  <c r="O120" i="1"/>
  <c r="K120" i="1"/>
  <c r="P119" i="1"/>
  <c r="O119" i="1"/>
  <c r="K119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O105" i="1"/>
  <c r="K105" i="1"/>
  <c r="O104" i="1"/>
  <c r="K104" i="1"/>
  <c r="K102" i="1"/>
  <c r="K101" i="1"/>
  <c r="K99" i="1"/>
  <c r="K97" i="1"/>
  <c r="K96" i="1"/>
  <c r="K95" i="1"/>
  <c r="K94" i="1"/>
  <c r="K93" i="1"/>
  <c r="K92" i="1"/>
  <c r="K91" i="1"/>
  <c r="K90" i="1"/>
  <c r="K89" i="1"/>
  <c r="P88" i="1"/>
  <c r="O88" i="1"/>
  <c r="K88" i="1"/>
  <c r="P87" i="1"/>
  <c r="O87" i="1"/>
  <c r="K87" i="1"/>
  <c r="K85" i="1"/>
  <c r="K84" i="1"/>
  <c r="K83" i="1"/>
  <c r="K82" i="1"/>
  <c r="K81" i="1"/>
  <c r="P80" i="1"/>
  <c r="O80" i="1"/>
  <c r="K80" i="1"/>
  <c r="P79" i="1"/>
  <c r="O79" i="1"/>
  <c r="K79" i="1"/>
  <c r="P78" i="1"/>
  <c r="O78" i="1"/>
  <c r="K78" i="1"/>
  <c r="K76" i="1"/>
  <c r="K74" i="1"/>
  <c r="K73" i="1"/>
  <c r="K71" i="1"/>
  <c r="K70" i="1"/>
  <c r="K69" i="1"/>
  <c r="K68" i="1"/>
  <c r="K67" i="1"/>
  <c r="K66" i="1"/>
  <c r="K65" i="1"/>
  <c r="K64" i="1"/>
  <c r="K63" i="1"/>
  <c r="K62" i="1"/>
  <c r="K61" i="1"/>
  <c r="P60" i="1"/>
  <c r="O60" i="1"/>
  <c r="K60" i="1"/>
  <c r="O59" i="1"/>
  <c r="K59" i="1"/>
  <c r="P58" i="1"/>
  <c r="O58" i="1"/>
  <c r="K58" i="1"/>
  <c r="K56" i="1"/>
  <c r="O54" i="1"/>
  <c r="K54" i="1"/>
  <c r="O53" i="1"/>
  <c r="K53" i="1"/>
  <c r="O52" i="1"/>
  <c r="K52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3" i="1"/>
  <c r="J33" i="1"/>
  <c r="K32" i="1"/>
  <c r="J32" i="1"/>
  <c r="K31" i="1"/>
  <c r="J31" i="1"/>
  <c r="K29" i="1"/>
  <c r="K28" i="1"/>
  <c r="K27" i="1"/>
  <c r="K26" i="1"/>
  <c r="K25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</calcChain>
</file>

<file path=xl/sharedStrings.xml><?xml version="1.0" encoding="utf-8"?>
<sst xmlns="http://schemas.openxmlformats.org/spreadsheetml/2006/main" count="1051" uniqueCount="313">
  <si>
    <t>LITERATURE DATA</t>
  </si>
  <si>
    <t>Data source</t>
  </si>
  <si>
    <t>State/Province, Country</t>
  </si>
  <si>
    <t>Unit/ Pluton</t>
  </si>
  <si>
    <t>Sample name</t>
  </si>
  <si>
    <t>Latitude</t>
  </si>
  <si>
    <t>Longitude</t>
  </si>
  <si>
    <t>Zircon Saturation Temperature (ZST) in °C</t>
  </si>
  <si>
    <t>FeO</t>
  </si>
  <si>
    <t>Redox state (classification from Blevin, 2004)</t>
  </si>
  <si>
    <t>Averaged data (based on redox state) for same pluton</t>
  </si>
  <si>
    <t>Rasmussen (2013)</t>
  </si>
  <si>
    <t>NWT, Canada</t>
  </si>
  <si>
    <t>O'Grady batholith</t>
  </si>
  <si>
    <t>KR-05-97b</t>
  </si>
  <si>
    <t>Moderately oxidized</t>
  </si>
  <si>
    <t>Hole-in-the-Wall batholith</t>
  </si>
  <si>
    <t>KR-05-198</t>
  </si>
  <si>
    <t>Moderately reduced</t>
  </si>
  <si>
    <t>Pelly River pluton</t>
  </si>
  <si>
    <t>KR-05-76</t>
  </si>
  <si>
    <t>Very strongly oxidized</t>
  </si>
  <si>
    <t>Mount Christie pluton</t>
  </si>
  <si>
    <t>KR-05-62</t>
  </si>
  <si>
    <t>Central Nahanni pluton</t>
  </si>
  <si>
    <t>KR-05-130</t>
  </si>
  <si>
    <t>North Nahanni pluton</t>
  </si>
  <si>
    <t>KR-05-136</t>
  </si>
  <si>
    <t>Mount Wilson pluton</t>
  </si>
  <si>
    <t>KR-05-68</t>
  </si>
  <si>
    <t>Strongly reduced</t>
  </si>
  <si>
    <t>Jorgensen pluton</t>
  </si>
  <si>
    <t>KR-05-08</t>
  </si>
  <si>
    <t>Park pluton</t>
  </si>
  <si>
    <t>KR-05-43</t>
  </si>
  <si>
    <t>Coal River batholith</t>
  </si>
  <si>
    <t>KR-05-196</t>
  </si>
  <si>
    <t>Roy pluton</t>
  </si>
  <si>
    <t>KR-05-22</t>
  </si>
  <si>
    <t>Fish pluton</t>
  </si>
  <si>
    <t>KR-05-26</t>
  </si>
  <si>
    <t>Faille pluton</t>
  </si>
  <si>
    <t>0.3M-216</t>
  </si>
  <si>
    <t>Mount Sir James McBrien pluton</t>
  </si>
  <si>
    <t>0.3M-217</t>
  </si>
  <si>
    <t>KR-05-164</t>
  </si>
  <si>
    <t>Cac pluton</t>
  </si>
  <si>
    <t>KR-05-110</t>
  </si>
  <si>
    <t>Lened pluton</t>
  </si>
  <si>
    <t>KR-05-175</t>
  </si>
  <si>
    <t>Mine Stock (Cantung pluton)</t>
  </si>
  <si>
    <t>03M-207</t>
  </si>
  <si>
    <t>Circular Stock pluton</t>
  </si>
  <si>
    <t>KR-05-143</t>
  </si>
  <si>
    <t>Little Hyland pluton</t>
  </si>
  <si>
    <t>KR-05-208</t>
  </si>
  <si>
    <t>Rifle Range pluton</t>
  </si>
  <si>
    <t>KR-05-148</t>
  </si>
  <si>
    <t>Yukon, Canada</t>
  </si>
  <si>
    <t>Ivo pluton</t>
  </si>
  <si>
    <t>KR-05-32</t>
  </si>
  <si>
    <t>Marion pluton</t>
  </si>
  <si>
    <t>KR-05-191</t>
  </si>
  <si>
    <t>Powers pluton</t>
  </si>
  <si>
    <t>KR-05-10</t>
  </si>
  <si>
    <t>KR-05-194</t>
  </si>
  <si>
    <t xml:space="preserve">Nahanni Range pluton </t>
  </si>
  <si>
    <t>KR-05-210</t>
  </si>
  <si>
    <t>Dublin Gulch (main phase)</t>
  </si>
  <si>
    <t>Main phase</t>
  </si>
  <si>
    <t>Dublin Gulch (Quartz Syenite)</t>
  </si>
  <si>
    <t>Quartz syenite</t>
  </si>
  <si>
    <t>Mactung</t>
  </si>
  <si>
    <t>CA, USA</t>
  </si>
  <si>
    <t>Inconsolable granodiorite</t>
  </si>
  <si>
    <t>Tinemaha granodiorite</t>
  </si>
  <si>
    <t>Strongly oxidized</t>
  </si>
  <si>
    <t>Granodiorite of McMurray Meadows</t>
  </si>
  <si>
    <t>Wheeler Crest quartz monzonite</t>
  </si>
  <si>
    <t>Round Valley Peak granodiorite</t>
  </si>
  <si>
    <t>Lamarck granodiorite</t>
  </si>
  <si>
    <t>Tungsten Hills quartz monzonite 1</t>
  </si>
  <si>
    <t>Tungsten Hills quartz monzonite 2</t>
  </si>
  <si>
    <t>Cathedral Peak quartz monzonite 1</t>
  </si>
  <si>
    <t>4 (b)</t>
  </si>
  <si>
    <t>Cathedral Peak quartz monzonite 2</t>
  </si>
  <si>
    <t>12 (b)</t>
  </si>
  <si>
    <t>Cathedral Peak quartz monzonite 3</t>
  </si>
  <si>
    <t>23 (a)</t>
  </si>
  <si>
    <t>Cathedral Peak alaskite 1</t>
  </si>
  <si>
    <t>37 (b)</t>
  </si>
  <si>
    <t>Cathedral Peak alaskite 2</t>
  </si>
  <si>
    <t>46 (b)</t>
  </si>
  <si>
    <t>Unit name for averaged data</t>
  </si>
  <si>
    <t>Redox state</t>
  </si>
  <si>
    <t xml:space="preserve">Sample % </t>
  </si>
  <si>
    <t>Average ZST (°C)</t>
  </si>
  <si>
    <t>G. Haxel (unpublished)</t>
  </si>
  <si>
    <t>AZ, USA</t>
  </si>
  <si>
    <t>Artesa Hills</t>
  </si>
  <si>
    <t>SP152</t>
  </si>
  <si>
    <t>Artesa Hills 1</t>
  </si>
  <si>
    <t>SP76</t>
  </si>
  <si>
    <t>Artesa Hills 2</t>
  </si>
  <si>
    <t>SP78</t>
  </si>
  <si>
    <t>Artesa Hills 3</t>
  </si>
  <si>
    <t>Comobabi</t>
  </si>
  <si>
    <t>CB64</t>
  </si>
  <si>
    <t>Pan-Tak pluton</t>
  </si>
  <si>
    <t>CM131B</t>
  </si>
  <si>
    <t>Pan-Tak 1</t>
  </si>
  <si>
    <t>CM131A</t>
  </si>
  <si>
    <t>Pan-Tak 2</t>
  </si>
  <si>
    <t>BG81</t>
  </si>
  <si>
    <t>Pan-Tak 3</t>
  </si>
  <si>
    <t>CM602</t>
  </si>
  <si>
    <t>PR362A</t>
  </si>
  <si>
    <t>BG82</t>
  </si>
  <si>
    <t>CM152</t>
  </si>
  <si>
    <t>BG90</t>
  </si>
  <si>
    <t>PUP14</t>
  </si>
  <si>
    <t>CM117</t>
  </si>
  <si>
    <t>BG85</t>
  </si>
  <si>
    <t>CM601</t>
  </si>
  <si>
    <t>BG84</t>
  </si>
  <si>
    <t>CM134</t>
  </si>
  <si>
    <t>Kupk Hills</t>
  </si>
  <si>
    <t>WP104</t>
  </si>
  <si>
    <t>Kupk Hills 1</t>
  </si>
  <si>
    <t>GH119</t>
  </si>
  <si>
    <t>Kupk Hills 2</t>
  </si>
  <si>
    <t>Morena</t>
  </si>
  <si>
    <t>SP690</t>
  </si>
  <si>
    <t>Senita Basin pluton</t>
  </si>
  <si>
    <t>OP109</t>
  </si>
  <si>
    <t>Senita Basin 1</t>
  </si>
  <si>
    <t>OP157</t>
  </si>
  <si>
    <t>Senita Basin 2</t>
  </si>
  <si>
    <t>OP140</t>
  </si>
  <si>
    <t>Senita Basin 3</t>
  </si>
  <si>
    <t>OP167B</t>
  </si>
  <si>
    <t>OP168</t>
  </si>
  <si>
    <t>OP188</t>
  </si>
  <si>
    <t>OP156</t>
  </si>
  <si>
    <t>OP177</t>
  </si>
  <si>
    <t>Sierra Blanca</t>
  </si>
  <si>
    <t>PR34</t>
  </si>
  <si>
    <t>Sierra Blanca 1</t>
  </si>
  <si>
    <t>PR364</t>
  </si>
  <si>
    <t>Sierra Blanca 2</t>
  </si>
  <si>
    <t>QT125</t>
  </si>
  <si>
    <t>PUP6A-B</t>
  </si>
  <si>
    <t>QT217</t>
  </si>
  <si>
    <t>QT216</t>
  </si>
  <si>
    <t>QT233</t>
  </si>
  <si>
    <t>PUP6</t>
  </si>
  <si>
    <t>PR33</t>
  </si>
  <si>
    <t>QT107A</t>
  </si>
  <si>
    <t>QT124A</t>
  </si>
  <si>
    <t>Texas Canyon pluton</t>
  </si>
  <si>
    <t>TC586</t>
  </si>
  <si>
    <t>Texas Canyon</t>
  </si>
  <si>
    <t>Dushey Canyon</t>
  </si>
  <si>
    <t>HQG186</t>
  </si>
  <si>
    <t>Dushey Canyon 1</t>
  </si>
  <si>
    <t>HQG286</t>
  </si>
  <si>
    <t>Dushey Canyon 2</t>
  </si>
  <si>
    <t>Wilderness pluton</t>
  </si>
  <si>
    <t>Spencer sill</t>
  </si>
  <si>
    <t>Wilderness 1</t>
  </si>
  <si>
    <t>Wildernes Sill</t>
  </si>
  <si>
    <t>Wilderness 2</t>
  </si>
  <si>
    <t>inclsuion zone</t>
  </si>
  <si>
    <t>Catnip sill</t>
  </si>
  <si>
    <t>Seven_Falls</t>
  </si>
  <si>
    <t>Lower Foliated Bio Granite</t>
  </si>
  <si>
    <t>Upper 2-mica granite</t>
  </si>
  <si>
    <t>Lemmon Rock leucogranite</t>
  </si>
  <si>
    <t>Garnet schlieren</t>
  </si>
  <si>
    <t>White Tank</t>
  </si>
  <si>
    <t>WT286</t>
  </si>
  <si>
    <t>White Tank 1</t>
  </si>
  <si>
    <t>WT3C86</t>
  </si>
  <si>
    <t>White Tank 2</t>
  </si>
  <si>
    <t>TW586</t>
  </si>
  <si>
    <t>White Tank 3</t>
  </si>
  <si>
    <t>WT686</t>
  </si>
  <si>
    <t>WT786</t>
  </si>
  <si>
    <t>WT8A86</t>
  </si>
  <si>
    <t>WT8B86</t>
  </si>
  <si>
    <t>WT186</t>
  </si>
  <si>
    <t>WT1186</t>
  </si>
  <si>
    <t>NV, USA</t>
  </si>
  <si>
    <t>Tungstonia pluton</t>
  </si>
  <si>
    <t>Tungstonia 1</t>
  </si>
  <si>
    <t>9AB</t>
  </si>
  <si>
    <t>Tungstonia 2</t>
  </si>
  <si>
    <t>9B</t>
  </si>
  <si>
    <t>244-MW-60</t>
  </si>
  <si>
    <t>Pole Canyon pluton</t>
  </si>
  <si>
    <t>Pole Canyon 1</t>
  </si>
  <si>
    <t>Pole Canyon 2</t>
  </si>
  <si>
    <t>Pole Canyon 3</t>
  </si>
  <si>
    <t>Chemehuevi</t>
  </si>
  <si>
    <t>H80Ch-307</t>
  </si>
  <si>
    <t>Chemehuevi 1</t>
  </si>
  <si>
    <t>H80Ch-305</t>
  </si>
  <si>
    <t>Chemehuevi 2</t>
  </si>
  <si>
    <t>BJ80CH-194</t>
  </si>
  <si>
    <t>Chemehuevi 3</t>
  </si>
  <si>
    <t>BJ81Ch-72 (1)</t>
  </si>
  <si>
    <t>BJ81Ch-72</t>
  </si>
  <si>
    <t>BJ82Ch-103</t>
  </si>
  <si>
    <t>BJ81Ch-306</t>
  </si>
  <si>
    <t>BJ82Ch-81</t>
  </si>
  <si>
    <t>BJ80Ch-241^1</t>
  </si>
  <si>
    <t>BJ81Ch-64</t>
  </si>
  <si>
    <t>BJ81Ch-113 (1)</t>
  </si>
  <si>
    <t>BJ81Ch-113 (2)</t>
  </si>
  <si>
    <t>H80Ch-308^1</t>
  </si>
  <si>
    <t>BJ80Ch-200^1</t>
  </si>
  <si>
    <t>H81Mh-61</t>
  </si>
  <si>
    <t>H80Mh-310^1</t>
  </si>
  <si>
    <t>P80Ch-55^1</t>
  </si>
  <si>
    <t>BJ81Ch-46</t>
  </si>
  <si>
    <t>BJ81Ch-61</t>
  </si>
  <si>
    <t>BJ81Ch-5</t>
  </si>
  <si>
    <t>BJ81Ch-22</t>
  </si>
  <si>
    <t>BJ84Ch-9</t>
  </si>
  <si>
    <t>MJ82Ch-1</t>
  </si>
  <si>
    <t>Whale Mtn.</t>
  </si>
  <si>
    <t>BJ81Ch-103</t>
  </si>
  <si>
    <t>Whale Mtn. 1</t>
  </si>
  <si>
    <t>Whale Mtn. 2</t>
  </si>
  <si>
    <t>BJ81Ch-2</t>
  </si>
  <si>
    <t>H80Mh-311</t>
  </si>
  <si>
    <t>BJ81Ch-106</t>
  </si>
  <si>
    <t>BJ81Ch-3</t>
  </si>
  <si>
    <t>BJ81Ch-308</t>
  </si>
  <si>
    <t>BJ80Ch-198^1</t>
  </si>
  <si>
    <t>SON, Mexico</t>
  </si>
  <si>
    <t>Mezquital</t>
  </si>
  <si>
    <t>2H126</t>
  </si>
  <si>
    <t>Presumido Peak pluton</t>
  </si>
  <si>
    <t>2H12</t>
  </si>
  <si>
    <t>Presumido Peak 1</t>
  </si>
  <si>
    <t>SP239B</t>
  </si>
  <si>
    <t>Presumido Peak 2</t>
  </si>
  <si>
    <t>SP651</t>
  </si>
  <si>
    <t>Presumido Peak 3</t>
  </si>
  <si>
    <t>2H21</t>
  </si>
  <si>
    <t>Presumido Peak 4</t>
  </si>
  <si>
    <t>PUP41</t>
  </si>
  <si>
    <t>GH2-27</t>
  </si>
  <si>
    <t>2H14</t>
  </si>
  <si>
    <t>GH2-26</t>
  </si>
  <si>
    <t>2H7</t>
  </si>
  <si>
    <t>CM178</t>
  </si>
  <si>
    <t>SP220</t>
  </si>
  <si>
    <t>SP240</t>
  </si>
  <si>
    <t>CM170</t>
  </si>
  <si>
    <t>CM161</t>
  </si>
  <si>
    <t>SP136A</t>
  </si>
  <si>
    <t>CM169</t>
  </si>
  <si>
    <t>GH2-28</t>
  </si>
  <si>
    <t>SP221</t>
  </si>
  <si>
    <t>SP217</t>
  </si>
  <si>
    <t>2H28</t>
  </si>
  <si>
    <t>2H2</t>
  </si>
  <si>
    <t>SP238</t>
  </si>
  <si>
    <t>SP239C</t>
  </si>
  <si>
    <t>2H25</t>
  </si>
  <si>
    <t>SP128A</t>
  </si>
  <si>
    <t>SP640</t>
  </si>
  <si>
    <t>SP130A</t>
  </si>
  <si>
    <t>SP661D</t>
  </si>
  <si>
    <t>GH2-29</t>
  </si>
  <si>
    <t>2H29</t>
  </si>
  <si>
    <t>SP656</t>
  </si>
  <si>
    <t>SP655</t>
  </si>
  <si>
    <t>SP241B</t>
  </si>
  <si>
    <t>SP135</t>
  </si>
  <si>
    <t>SP634</t>
  </si>
  <si>
    <t>CM155</t>
  </si>
  <si>
    <t>SP128C</t>
  </si>
  <si>
    <t>SP95</t>
  </si>
  <si>
    <r>
      <t>Fe</t>
    </r>
    <r>
      <rPr>
        <b/>
        <vertAlign val="subscript"/>
        <sz val="12"/>
        <color theme="1"/>
        <rFont val="Calibri (Body)"/>
      </rPr>
      <t>2</t>
    </r>
    <r>
      <rPr>
        <b/>
        <sz val="12"/>
        <color theme="1"/>
        <rFont val="Calibri"/>
        <family val="2"/>
        <scheme val="minor"/>
      </rPr>
      <t>O</t>
    </r>
    <r>
      <rPr>
        <b/>
        <vertAlign val="subscript"/>
        <sz val="12"/>
        <color theme="1"/>
        <rFont val="Calibri (Body)"/>
      </rPr>
      <t>3</t>
    </r>
  </si>
  <si>
    <t>FeO(t)</t>
  </si>
  <si>
    <r>
      <t>Log</t>
    </r>
    <r>
      <rPr>
        <b/>
        <vertAlign val="subscript"/>
        <sz val="12"/>
        <rFont val="Calibri (Body)"/>
      </rPr>
      <t>10</t>
    </r>
    <r>
      <rPr>
        <b/>
        <sz val="12"/>
        <rFont val="Calibri"/>
        <family val="2"/>
        <scheme val="minor"/>
      </rPr>
      <t>(Fe</t>
    </r>
    <r>
      <rPr>
        <b/>
        <vertAlign val="subscript"/>
        <sz val="12"/>
        <rFont val="Calibri (Body)"/>
      </rPr>
      <t>2</t>
    </r>
    <r>
      <rPr>
        <b/>
        <sz val="12"/>
        <rFont val="Calibri"/>
        <family val="2"/>
        <scheme val="minor"/>
      </rPr>
      <t>O</t>
    </r>
    <r>
      <rPr>
        <b/>
        <vertAlign val="subscript"/>
        <sz val="12"/>
        <rFont val="Calibri (Body)"/>
      </rPr>
      <t>3</t>
    </r>
    <r>
      <rPr>
        <b/>
        <sz val="12"/>
        <rFont val="Calibri"/>
        <family val="2"/>
        <scheme val="minor"/>
      </rPr>
      <t>/FeO)</t>
    </r>
  </si>
  <si>
    <t xml:space="preserve">From here, compilation source: Chapman et al. (2021) </t>
  </si>
  <si>
    <t>Hart et al. (2004)</t>
  </si>
  <si>
    <t>Bateman et al. (1965)</t>
  </si>
  <si>
    <t>Shaw and Guilbert (1990)</t>
  </si>
  <si>
    <t>Force (1997)</t>
  </si>
  <si>
    <t>Keith and Reynolds (1980)</t>
  </si>
  <si>
    <t>Best et al. (1974)</t>
  </si>
  <si>
    <t>Lee et al. (1981)</t>
  </si>
  <si>
    <t>Lee and Van Loenen (1971)</t>
  </si>
  <si>
    <t>John and Wooden (1990)</t>
  </si>
  <si>
    <r>
      <rPr>
        <b/>
        <sz val="16"/>
        <color rgb="FFC00000"/>
        <rFont val="Calibri"/>
        <family val="2"/>
        <scheme val="minor"/>
      </rPr>
      <t>RED = DATA FROM THE LITERATURE</t>
    </r>
    <r>
      <rPr>
        <b/>
        <sz val="16"/>
        <rFont val="Calibri"/>
        <family val="2"/>
        <scheme val="minor"/>
      </rPr>
      <t xml:space="preserve">; </t>
    </r>
    <r>
      <rPr>
        <b/>
        <sz val="16"/>
        <color theme="9" tint="-0.499984740745262"/>
        <rFont val="Calibri"/>
        <family val="2"/>
        <scheme val="minor"/>
      </rPr>
      <t xml:space="preserve">GREEN=CALCULATED/INFERRED IN THIS STUDY </t>
    </r>
  </si>
  <si>
    <t>References</t>
  </si>
  <si>
    <t>Rasmussen, K.L. (2013) The timing, composition, and petrogenesis of syn- to post-accretionary magmatism in the northern Cordilleran miogeocline, eastern Yukon and southwestern Northwest Territories. Ph.D. Thesis, University of British Columbia, Vancouver, British Columbia, Canada, 788 pp.</t>
  </si>
  <si>
    <t>Force, E. R. (1997). Geology and mineral resources of the Santa Catalina Mountains, southeastern Arizona: A cross-sectional approach.</t>
  </si>
  <si>
    <r>
      <t xml:space="preserve">Hart, C. J., Mair, J. L., Goldfarb, R. J., &amp; Groves, D. I. (2004). Source and redox controls on metallogenic variations in intrusion-related ore systems, Tombstone-Tungsten Belt, Yukon Territory, Canada. </t>
    </r>
    <r>
      <rPr>
        <i/>
        <sz val="12"/>
        <color rgb="FF222222"/>
        <rFont val="Calibri"/>
        <family val="2"/>
        <scheme val="minor"/>
      </rPr>
      <t>Earth and Environmental Science Transactions of The Royal Society of Edinburgh</t>
    </r>
    <r>
      <rPr>
        <sz val="12"/>
        <color rgb="FF222222"/>
        <rFont val="Calibri"/>
        <family val="2"/>
        <scheme val="minor"/>
      </rPr>
      <t xml:space="preserve">, </t>
    </r>
    <r>
      <rPr>
        <i/>
        <sz val="12"/>
        <color rgb="FF222222"/>
        <rFont val="Calibri"/>
        <family val="2"/>
        <scheme val="minor"/>
      </rPr>
      <t>95</t>
    </r>
    <r>
      <rPr>
        <sz val="12"/>
        <color rgb="FF222222"/>
        <rFont val="Calibri"/>
        <family val="2"/>
        <scheme val="minor"/>
      </rPr>
      <t>(1-2), 339-356.</t>
    </r>
  </si>
  <si>
    <r>
      <t xml:space="preserve">Bateman, P. C., Pakiser, L. C., &amp; Kane, M. F. (1965). </t>
    </r>
    <r>
      <rPr>
        <i/>
        <sz val="12"/>
        <color rgb="FF222222"/>
        <rFont val="Calibri"/>
        <family val="2"/>
        <scheme val="minor"/>
      </rPr>
      <t>Geology and tungsten mineralization of the Bishop district, California, with a section on gravity study of Owens Valley and a section on seismic profile</t>
    </r>
    <r>
      <rPr>
        <sz val="12"/>
        <color rgb="FF222222"/>
        <rFont val="Calibri"/>
        <family val="2"/>
        <scheme val="minor"/>
      </rPr>
      <t xml:space="preserve"> (No. 470). US Govt. Print. Off.,.</t>
    </r>
  </si>
  <si>
    <r>
      <t xml:space="preserve">Chapman, J. B., Runyon, S. E., Shields, J., Lawler, B. L., Pridmore, C. J., Scoggin, S. H., ... &amp; Haxel, G. B. (2021). The North American Cordilleran Anatectic Belt. </t>
    </r>
    <r>
      <rPr>
        <i/>
        <sz val="12"/>
        <color rgb="FF222222"/>
        <rFont val="Calibri"/>
        <family val="2"/>
        <scheme val="minor"/>
      </rPr>
      <t>Earth-Science Reviews</t>
    </r>
    <r>
      <rPr>
        <sz val="12"/>
        <color rgb="FF222222"/>
        <rFont val="Calibri"/>
        <family val="2"/>
        <scheme val="minor"/>
      </rPr>
      <t>, 103576.</t>
    </r>
  </si>
  <si>
    <r>
      <t>Best, M. G., &amp; Brimhall, W. H. (1974). Late Cenozoic alkalic basaltic magmas in the western Colorado Plateaus and the Basin and Range transition zone, USA, and their bearing on mantle dynamics. </t>
    </r>
    <r>
      <rPr>
        <i/>
        <sz val="12"/>
        <color rgb="FF222222"/>
        <rFont val="Calibri"/>
        <family val="2"/>
        <scheme val="minor"/>
      </rPr>
      <t>Geological Society of America Bulletin</t>
    </r>
    <r>
      <rPr>
        <sz val="12"/>
        <color rgb="FF222222"/>
        <rFont val="Calibri"/>
        <family val="2"/>
        <scheme val="minor"/>
      </rPr>
      <t>, </t>
    </r>
    <r>
      <rPr>
        <i/>
        <sz val="12"/>
        <color rgb="FF222222"/>
        <rFont val="Calibri"/>
        <family val="2"/>
        <scheme val="minor"/>
      </rPr>
      <t>85</t>
    </r>
    <r>
      <rPr>
        <sz val="12"/>
        <color rgb="FF222222"/>
        <rFont val="Calibri"/>
        <family val="2"/>
        <scheme val="minor"/>
      </rPr>
      <t>(11), 1677-1690.</t>
    </r>
  </si>
  <si>
    <r>
      <t>John, B. E., &amp; Wooden, J. (1990). Petrology and geochemistry of the metaluminous to peraluminous Chemehuevi Mountains Plutonic Suite, southeastern California. </t>
    </r>
    <r>
      <rPr>
        <i/>
        <sz val="12"/>
        <color rgb="FF222222"/>
        <rFont val="Calibri"/>
        <family val="2"/>
        <scheme val="minor"/>
      </rPr>
      <t>The Nature and Origin of Cordilleran Magmatism. Geological Society of America, Memoir</t>
    </r>
    <r>
      <rPr>
        <sz val="12"/>
        <color rgb="FF222222"/>
        <rFont val="Calibri"/>
        <family val="2"/>
        <scheme val="minor"/>
      </rPr>
      <t>, </t>
    </r>
    <r>
      <rPr>
        <i/>
        <sz val="12"/>
        <color rgb="FF222222"/>
        <rFont val="Calibri"/>
        <family val="2"/>
        <scheme val="minor"/>
      </rPr>
      <t>174</t>
    </r>
    <r>
      <rPr>
        <sz val="12"/>
        <color rgb="FF222222"/>
        <rFont val="Calibri"/>
        <family val="2"/>
        <scheme val="minor"/>
      </rPr>
      <t>, 71-98.</t>
    </r>
  </si>
  <si>
    <r>
      <t>Keith, S. B., &amp; Reynolds, S. J. (1980). Geochemistry of Cordilleran metamorphic core complexes. </t>
    </r>
    <r>
      <rPr>
        <i/>
        <sz val="12"/>
        <color rgb="FF222222"/>
        <rFont val="Calibri"/>
        <family val="2"/>
        <scheme val="minor"/>
      </rPr>
      <t>Cordilleran metamorphic core complexes and their uranium favorability: US Department of Energy Open-File Report GJBX-256 (80)</t>
    </r>
    <r>
      <rPr>
        <sz val="12"/>
        <color rgb="FF222222"/>
        <rFont val="Calibri"/>
        <family val="2"/>
        <scheme val="minor"/>
      </rPr>
      <t>, </t>
    </r>
    <r>
      <rPr>
        <i/>
        <sz val="12"/>
        <color rgb="FF222222"/>
        <rFont val="Calibri"/>
        <family val="2"/>
        <scheme val="minor"/>
      </rPr>
      <t>321</t>
    </r>
    <r>
      <rPr>
        <sz val="12"/>
        <color rgb="FF222222"/>
        <rFont val="Calibri"/>
        <family val="2"/>
        <scheme val="minor"/>
      </rPr>
      <t>.</t>
    </r>
  </si>
  <si>
    <r>
      <t>Lee, D. E., &amp; Van Loenen, R. E. (1971). </t>
    </r>
    <r>
      <rPr>
        <i/>
        <sz val="12"/>
        <color rgb="FF222222"/>
        <rFont val="Calibri"/>
        <family val="2"/>
        <scheme val="minor"/>
      </rPr>
      <t>Hybrid granitoid rocks of the southern Snake Range, Nevada</t>
    </r>
    <r>
      <rPr>
        <sz val="12"/>
        <color rgb="FF222222"/>
        <rFont val="Calibri"/>
        <family val="2"/>
        <scheme val="minor"/>
      </rPr>
      <t> (pp. 1-46). US Government Printing Office.</t>
    </r>
  </si>
  <si>
    <r>
      <t>Lee, D. E., Kistler, R. W., Friedman, I., &amp; Van Loenen, R. E. (1981). Two‐mica granites of northeastern Nevada. </t>
    </r>
    <r>
      <rPr>
        <i/>
        <sz val="12"/>
        <color rgb="FF222222"/>
        <rFont val="Calibri"/>
        <family val="2"/>
        <scheme val="minor"/>
      </rPr>
      <t>Journal of Geophysical Research: Solid Earth</t>
    </r>
    <r>
      <rPr>
        <sz val="12"/>
        <color rgb="FF222222"/>
        <rFont val="Calibri"/>
        <family val="2"/>
        <scheme val="minor"/>
      </rPr>
      <t>, </t>
    </r>
    <r>
      <rPr>
        <i/>
        <sz val="12"/>
        <color rgb="FF222222"/>
        <rFont val="Calibri"/>
        <family val="2"/>
        <scheme val="minor"/>
      </rPr>
      <t>86</t>
    </r>
    <r>
      <rPr>
        <sz val="12"/>
        <color rgb="FF222222"/>
        <rFont val="Calibri"/>
        <family val="2"/>
        <scheme val="minor"/>
      </rPr>
      <t>(B11), 10607-10616.</t>
    </r>
  </si>
  <si>
    <r>
      <t>Shaw, A. L., Guilbert, J. M., Stein, H. J., &amp; Hannah, J. L. (1990). Geochemistry and metallogeny of Arizona peraluminous granitoids with reference to Appalachian and European occurrences. </t>
    </r>
    <r>
      <rPr>
        <i/>
        <sz val="12"/>
        <color rgb="FF222222"/>
        <rFont val="Calibri"/>
        <family val="2"/>
        <scheme val="minor"/>
      </rPr>
      <t>Ore-bearing granite systems: petrogenesis and mineralizing processes, Geol Soc Am Spec Paper</t>
    </r>
    <r>
      <rPr>
        <sz val="12"/>
        <color rgb="FF222222"/>
        <rFont val="Calibri"/>
        <family val="2"/>
        <scheme val="minor"/>
      </rPr>
      <t>, </t>
    </r>
    <r>
      <rPr>
        <i/>
        <sz val="12"/>
        <color rgb="FF222222"/>
        <rFont val="Calibri"/>
        <family val="2"/>
        <scheme val="minor"/>
      </rPr>
      <t>246</t>
    </r>
    <r>
      <rPr>
        <sz val="12"/>
        <color rgb="FF222222"/>
        <rFont val="Calibri"/>
        <family val="2"/>
        <scheme val="minor"/>
      </rPr>
      <t>, 317-356.</t>
    </r>
  </si>
  <si>
    <t>Elongo, V., et al., 2022, Ancient roots of tungsten in western North America: Geology, v. 50, https://doi.org/10.1130/G49801.1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</si>
</sst>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16"/>
      <color theme="9" tint="-0.499984740745262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vertAlign val="subscript"/>
      <sz val="12"/>
      <color theme="1"/>
      <name val="Calibri (Body)"/>
    </font>
    <font>
      <b/>
      <vertAlign val="subscript"/>
      <sz val="12"/>
      <name val="Calibri (Body)"/>
    </font>
    <font>
      <sz val="8"/>
      <name val="Calibri"/>
      <family val="2"/>
      <scheme val="minor"/>
    </font>
    <font>
      <sz val="12"/>
      <color rgb="FF222222"/>
      <name val="Calibri"/>
      <family val="2"/>
      <scheme val="minor"/>
    </font>
    <font>
      <i/>
      <sz val="12"/>
      <color rgb="FF222222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64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9" xfId="0" applyBorder="1" applyAlignment="1">
      <alignment horizontal="left"/>
    </xf>
    <xf numFmtId="0" fontId="7" fillId="0" borderId="0" xfId="0" applyFont="1" applyAlignment="1">
      <alignment horizontal="center"/>
    </xf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15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6" fillId="0" borderId="0" xfId="0" applyFont="1"/>
    <xf numFmtId="2" fontId="9" fillId="0" borderId="0" xfId="0" applyNumberFormat="1" applyFont="1" applyAlignment="1">
      <alignment horizontal="left"/>
    </xf>
    <xf numFmtId="1" fontId="9" fillId="0" borderId="0" xfId="0" applyNumberFormat="1" applyFont="1" applyAlignment="1">
      <alignment horizontal="left"/>
    </xf>
    <xf numFmtId="2" fontId="12" fillId="0" borderId="0" xfId="0" applyNumberFormat="1" applyFont="1" applyAlignment="1">
      <alignment horizontal="left"/>
    </xf>
    <xf numFmtId="0" fontId="0" fillId="3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13" fillId="0" borderId="0" xfId="0" applyFont="1" applyAlignment="1">
      <alignment horizontal="left"/>
    </xf>
    <xf numFmtId="0" fontId="0" fillId="5" borderId="0" xfId="0" applyFill="1" applyAlignment="1">
      <alignment horizontal="left"/>
    </xf>
    <xf numFmtId="0" fontId="0" fillId="6" borderId="0" xfId="0" applyFill="1" applyAlignment="1">
      <alignment horizontal="left"/>
    </xf>
    <xf numFmtId="2" fontId="0" fillId="0" borderId="0" xfId="0" applyNumberFormat="1" applyAlignment="1">
      <alignment horizontal="left"/>
    </xf>
    <xf numFmtId="2" fontId="7" fillId="0" borderId="0" xfId="0" applyNumberFormat="1" applyFont="1" applyAlignment="1">
      <alignment horizontal="left"/>
    </xf>
    <xf numFmtId="0" fontId="0" fillId="0" borderId="2" xfId="0" applyBorder="1" applyAlignment="1">
      <alignment horizontal="left"/>
    </xf>
    <xf numFmtId="2" fontId="12" fillId="0" borderId="2" xfId="0" applyNumberFormat="1" applyFont="1" applyBorder="1" applyAlignment="1">
      <alignment horizontal="left"/>
    </xf>
    <xf numFmtId="1" fontId="9" fillId="0" borderId="2" xfId="0" applyNumberFormat="1" applyFont="1" applyBorder="1" applyAlignment="1">
      <alignment horizontal="left"/>
    </xf>
    <xf numFmtId="2" fontId="9" fillId="0" borderId="2" xfId="0" applyNumberFormat="1" applyFont="1" applyBorder="1" applyAlignment="1">
      <alignment horizontal="left"/>
    </xf>
    <xf numFmtId="0" fontId="0" fillId="0" borderId="7" xfId="0" applyBorder="1" applyAlignment="1">
      <alignment horizontal="left"/>
    </xf>
    <xf numFmtId="2" fontId="12" fillId="0" borderId="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left"/>
    </xf>
    <xf numFmtId="2" fontId="9" fillId="0" borderId="7" xfId="0" applyNumberFormat="1" applyFont="1" applyBorder="1" applyAlignment="1">
      <alignment horizontal="left"/>
    </xf>
    <xf numFmtId="0" fontId="0" fillId="0" borderId="10" xfId="0" applyBorder="1" applyAlignment="1">
      <alignment horizontal="left"/>
    </xf>
    <xf numFmtId="2" fontId="12" fillId="0" borderId="10" xfId="0" applyNumberFormat="1" applyFont="1" applyBorder="1" applyAlignment="1">
      <alignment horizontal="left"/>
    </xf>
    <xf numFmtId="1" fontId="9" fillId="0" borderId="10" xfId="0" applyNumberFormat="1" applyFont="1" applyBorder="1" applyAlignment="1">
      <alignment horizontal="left"/>
    </xf>
    <xf numFmtId="2" fontId="9" fillId="0" borderId="10" xfId="0" applyNumberFormat="1" applyFont="1" applyBorder="1" applyAlignment="1">
      <alignment horizontal="left"/>
    </xf>
    <xf numFmtId="2" fontId="9" fillId="0" borderId="2" xfId="0" applyNumberFormat="1" applyFont="1" applyBorder="1" applyAlignment="1">
      <alignment horizontal="left" vertical="center"/>
    </xf>
    <xf numFmtId="2" fontId="9" fillId="0" borderId="0" xfId="0" applyNumberFormat="1" applyFont="1" applyAlignment="1">
      <alignment horizontal="left" vertical="center"/>
    </xf>
    <xf numFmtId="2" fontId="9" fillId="0" borderId="7" xfId="0" applyNumberFormat="1" applyFont="1" applyBorder="1" applyAlignment="1">
      <alignment horizontal="left" vertical="center"/>
    </xf>
    <xf numFmtId="2" fontId="7" fillId="0" borderId="2" xfId="0" applyNumberFormat="1" applyFont="1" applyBorder="1" applyAlignment="1">
      <alignment horizontal="left"/>
    </xf>
    <xf numFmtId="2" fontId="7" fillId="0" borderId="7" xfId="0" applyNumberFormat="1" applyFont="1" applyBorder="1" applyAlignment="1">
      <alignment horizontal="left"/>
    </xf>
    <xf numFmtId="2" fontId="7" fillId="0" borderId="10" xfId="0" applyNumberFormat="1" applyFont="1" applyBorder="1" applyAlignment="1">
      <alignment horizontal="left"/>
    </xf>
    <xf numFmtId="2" fontId="0" fillId="0" borderId="0" xfId="0" applyNumberFormat="1" applyAlignment="1">
      <alignment horizontal="left" vertical="center"/>
    </xf>
    <xf numFmtId="2" fontId="9" fillId="0" borderId="10" xfId="0" applyNumberFormat="1" applyFont="1" applyBorder="1" applyAlignment="1">
      <alignment horizontal="left" vertical="center"/>
    </xf>
    <xf numFmtId="0" fontId="12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164" fontId="12" fillId="0" borderId="0" xfId="0" applyNumberFormat="1" applyFont="1" applyFill="1" applyAlignment="1">
      <alignment horizontal="left"/>
    </xf>
    <xf numFmtId="1" fontId="12" fillId="0" borderId="0" xfId="0" applyNumberFormat="1" applyFont="1" applyFill="1" applyAlignment="1">
      <alignment horizontal="left"/>
    </xf>
    <xf numFmtId="0" fontId="10" fillId="0" borderId="0" xfId="0" applyFont="1" applyFill="1" applyAlignment="1">
      <alignment horizontal="left"/>
    </xf>
    <xf numFmtId="164" fontId="11" fillId="0" borderId="0" xfId="0" applyNumberFormat="1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2" fillId="0" borderId="2" xfId="0" applyFont="1" applyFill="1" applyBorder="1" applyAlignment="1">
      <alignment horizontal="left"/>
    </xf>
    <xf numFmtId="164" fontId="12" fillId="0" borderId="2" xfId="0" applyNumberFormat="1" applyFont="1" applyFill="1" applyBorder="1" applyAlignment="1">
      <alignment horizontal="left"/>
    </xf>
    <xf numFmtId="1" fontId="12" fillId="0" borderId="3" xfId="0" applyNumberFormat="1" applyFont="1" applyFill="1" applyBorder="1" applyAlignment="1">
      <alignment horizontal="left"/>
    </xf>
    <xf numFmtId="1" fontId="12" fillId="0" borderId="5" xfId="0" applyNumberFormat="1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164" fontId="12" fillId="0" borderId="7" xfId="0" applyNumberFormat="1" applyFont="1" applyFill="1" applyBorder="1" applyAlignment="1">
      <alignment horizontal="left"/>
    </xf>
    <xf numFmtId="1" fontId="12" fillId="0" borderId="8" xfId="0" applyNumberFormat="1" applyFont="1" applyFill="1" applyBorder="1" applyAlignment="1">
      <alignment horizontal="left"/>
    </xf>
    <xf numFmtId="0" fontId="12" fillId="0" borderId="10" xfId="0" applyFont="1" applyFill="1" applyBorder="1" applyAlignment="1">
      <alignment horizontal="left"/>
    </xf>
    <xf numFmtId="164" fontId="12" fillId="0" borderId="10" xfId="0" applyNumberFormat="1" applyFont="1" applyFill="1" applyBorder="1" applyAlignment="1">
      <alignment horizontal="left"/>
    </xf>
    <xf numFmtId="1" fontId="12" fillId="0" borderId="11" xfId="0" applyNumberFormat="1" applyFont="1" applyFill="1" applyBorder="1" applyAlignment="1">
      <alignment horizontal="left"/>
    </xf>
    <xf numFmtId="0" fontId="12" fillId="0" borderId="5" xfId="0" applyFont="1" applyFill="1" applyBorder="1" applyAlignment="1">
      <alignment horizontal="left"/>
    </xf>
    <xf numFmtId="0" fontId="12" fillId="0" borderId="8" xfId="0" applyFont="1" applyFill="1" applyBorder="1" applyAlignment="1">
      <alignment horizontal="left"/>
    </xf>
    <xf numFmtId="0" fontId="12" fillId="0" borderId="3" xfId="0" applyFont="1" applyFill="1" applyBorder="1" applyAlignment="1">
      <alignment horizontal="left"/>
    </xf>
    <xf numFmtId="0" fontId="0" fillId="0" borderId="0" xfId="0" applyFont="1" applyBorder="1"/>
    <xf numFmtId="0" fontId="20" fillId="0" borderId="0" xfId="0" applyFont="1" applyAlignment="1">
      <alignment horizontal="left" vertical="center"/>
    </xf>
    <xf numFmtId="0" fontId="20" fillId="0" borderId="0" xfId="0" applyFont="1"/>
    <xf numFmtId="0" fontId="22" fillId="0" borderId="0" xfId="0" applyFont="1" applyBorder="1"/>
    <xf numFmtId="0" fontId="1" fillId="0" borderId="0" xfId="0" applyFont="1" applyAlignment="1">
      <alignment horizontal="center"/>
    </xf>
    <xf numFmtId="0" fontId="14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2D9D-C753-5444-B6B6-48692CD22D42}">
  <dimension ref="A1:CI218"/>
  <sheetViews>
    <sheetView tabSelected="1" workbookViewId="0">
      <selection activeCell="A2" sqref="A2"/>
    </sheetView>
  </sheetViews>
  <sheetFormatPr defaultColWidth="9.125" defaultRowHeight="15.75"/>
  <cols>
    <col min="1" max="1" width="25.5" style="13" customWidth="1"/>
    <col min="2" max="2" width="21.875" customWidth="1"/>
    <col min="3" max="3" width="27.375" customWidth="1"/>
    <col min="4" max="4" width="17.375" style="13" customWidth="1"/>
    <col min="5" max="5" width="15.5" style="14" customWidth="1"/>
    <col min="6" max="6" width="16.125" style="14" customWidth="1"/>
    <col min="7" max="7" width="21" style="24" customWidth="1"/>
    <col min="8" max="8" width="10.125" style="14" bestFit="1" customWidth="1"/>
    <col min="9" max="9" width="9.125" style="14"/>
    <col min="10" max="10" width="9.125" style="22"/>
    <col min="11" max="11" width="16.125" style="22" customWidth="1"/>
    <col min="12" max="12" width="19" style="16" customWidth="1"/>
    <col min="13" max="13" width="22.625" style="14" customWidth="1"/>
    <col min="14" max="14" width="18.875" style="14" customWidth="1"/>
    <col min="15" max="15" width="9.625" style="15" customWidth="1"/>
    <col min="16" max="16" width="13.5" style="16" customWidth="1"/>
    <col min="17" max="16384" width="9.125" style="14"/>
  </cols>
  <sheetData>
    <row r="1" spans="1:87" s="8" customFormat="1" ht="45" customHeight="1">
      <c r="A1" s="25" t="s">
        <v>0</v>
      </c>
      <c r="B1" s="26" t="s">
        <v>299</v>
      </c>
      <c r="C1" s="27"/>
      <c r="D1" s="2"/>
      <c r="E1" s="1"/>
      <c r="F1" s="1"/>
      <c r="G1" s="3"/>
      <c r="H1" s="4"/>
      <c r="I1" s="5"/>
      <c r="J1" s="3"/>
      <c r="K1" s="3"/>
      <c r="L1" s="3"/>
      <c r="M1" s="3"/>
      <c r="N1" s="5"/>
      <c r="O1" s="3"/>
      <c r="P1" s="6"/>
      <c r="Q1" s="7"/>
      <c r="T1" s="9"/>
      <c r="U1" s="10"/>
      <c r="V1" s="10"/>
      <c r="W1" s="11"/>
      <c r="Y1" s="9"/>
      <c r="Z1" s="10"/>
      <c r="AA1" s="10"/>
      <c r="AB1" s="12"/>
    </row>
    <row r="2" spans="1:87" s="28" customFormat="1" ht="18.75">
      <c r="A2" s="28" t="s">
        <v>1</v>
      </c>
      <c r="B2" s="28" t="s">
        <v>2</v>
      </c>
      <c r="C2" s="28" t="s">
        <v>3</v>
      </c>
      <c r="D2" s="29" t="s">
        <v>4</v>
      </c>
      <c r="E2" s="28" t="s">
        <v>5</v>
      </c>
      <c r="F2" s="28" t="s">
        <v>6</v>
      </c>
      <c r="G2" s="30" t="s">
        <v>7</v>
      </c>
      <c r="H2" s="28" t="s">
        <v>286</v>
      </c>
      <c r="I2" s="28" t="s">
        <v>8</v>
      </c>
      <c r="J2" s="30" t="s">
        <v>287</v>
      </c>
      <c r="K2" s="30" t="s">
        <v>288</v>
      </c>
      <c r="L2" s="30" t="s">
        <v>9</v>
      </c>
      <c r="M2" s="85" t="s">
        <v>10</v>
      </c>
      <c r="N2" s="85"/>
      <c r="O2" s="85"/>
      <c r="P2" s="85"/>
    </row>
    <row r="3" spans="1:87" s="34" customFormat="1">
      <c r="A3" s="13" t="s">
        <v>11</v>
      </c>
      <c r="B3" s="13" t="s">
        <v>12</v>
      </c>
      <c r="C3" s="13" t="s">
        <v>13</v>
      </c>
      <c r="D3" s="13" t="s">
        <v>14</v>
      </c>
      <c r="E3" s="31">
        <v>62.945900000000002</v>
      </c>
      <c r="F3" s="31">
        <v>-128.7133</v>
      </c>
      <c r="G3" s="32">
        <v>790</v>
      </c>
      <c r="H3" s="31">
        <v>1.23</v>
      </c>
      <c r="I3" s="31">
        <v>2.82</v>
      </c>
      <c r="J3" s="31">
        <v>4.37</v>
      </c>
      <c r="K3" s="33">
        <f t="shared" ref="K3:K29" si="0">LOG10(H3/I3)</f>
        <v>-0.36034399687996316</v>
      </c>
      <c r="L3" s="61" t="s">
        <v>15</v>
      </c>
      <c r="M3" s="62"/>
      <c r="N3" s="62"/>
      <c r="O3" s="63"/>
      <c r="P3" s="64"/>
      <c r="Q3" s="62"/>
      <c r="R3" s="62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</row>
    <row r="4" spans="1:87" s="35" customFormat="1">
      <c r="A4" s="13" t="s">
        <v>11</v>
      </c>
      <c r="B4" s="13" t="s">
        <v>12</v>
      </c>
      <c r="C4" s="13" t="s">
        <v>16</v>
      </c>
      <c r="D4" s="13" t="s">
        <v>17</v>
      </c>
      <c r="E4" s="31">
        <v>61.615000000000002</v>
      </c>
      <c r="F4" s="31">
        <v>-127.1816</v>
      </c>
      <c r="G4" s="32">
        <v>860</v>
      </c>
      <c r="H4" s="31">
        <v>0.27</v>
      </c>
      <c r="I4" s="31">
        <v>3.08</v>
      </c>
      <c r="J4" s="31">
        <v>3.7</v>
      </c>
      <c r="K4" s="33">
        <f t="shared" si="0"/>
        <v>-1.057186952341457</v>
      </c>
      <c r="L4" s="61" t="s">
        <v>18</v>
      </c>
      <c r="M4" s="62"/>
      <c r="N4" s="62"/>
      <c r="O4" s="63"/>
      <c r="P4" s="64"/>
      <c r="Q4" s="62"/>
      <c r="R4" s="62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</row>
    <row r="5" spans="1:87" s="37" customFormat="1">
      <c r="A5" s="13" t="s">
        <v>11</v>
      </c>
      <c r="B5" s="13" t="s">
        <v>12</v>
      </c>
      <c r="C5" s="13" t="s">
        <v>19</v>
      </c>
      <c r="D5" s="13" t="s">
        <v>20</v>
      </c>
      <c r="E5" s="31">
        <v>62.764899999999997</v>
      </c>
      <c r="F5" s="31">
        <v>-129.64240000000001</v>
      </c>
      <c r="G5" s="32">
        <v>786</v>
      </c>
      <c r="H5" s="31">
        <v>7.2</v>
      </c>
      <c r="I5" s="31">
        <v>2.37</v>
      </c>
      <c r="J5" s="31">
        <v>9.84</v>
      </c>
      <c r="K5" s="33">
        <f t="shared" si="0"/>
        <v>0.48258415042116454</v>
      </c>
      <c r="L5" s="61" t="s">
        <v>21</v>
      </c>
      <c r="M5" s="62"/>
      <c r="N5" s="62"/>
      <c r="O5" s="63"/>
      <c r="P5" s="64"/>
      <c r="Q5" s="62"/>
      <c r="R5" s="62"/>
      <c r="S5" s="13"/>
      <c r="T5" s="36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</row>
    <row r="6" spans="1:87" s="35" customFormat="1">
      <c r="A6" s="13" t="s">
        <v>11</v>
      </c>
      <c r="B6" s="13" t="s">
        <v>12</v>
      </c>
      <c r="C6" s="13" t="s">
        <v>22</v>
      </c>
      <c r="D6" s="13" t="s">
        <v>23</v>
      </c>
      <c r="E6" s="31">
        <v>62.993499999999997</v>
      </c>
      <c r="F6" s="31">
        <v>-129.47999999999999</v>
      </c>
      <c r="G6" s="32">
        <v>786</v>
      </c>
      <c r="H6" s="31">
        <v>0.36</v>
      </c>
      <c r="I6" s="31">
        <v>4.22</v>
      </c>
      <c r="J6" s="31">
        <v>5.0599999999999996</v>
      </c>
      <c r="K6" s="33">
        <f t="shared" si="0"/>
        <v>-1.0690099501943866</v>
      </c>
      <c r="L6" s="61" t="s">
        <v>18</v>
      </c>
      <c r="M6" s="62"/>
      <c r="N6" s="62"/>
      <c r="O6" s="63"/>
      <c r="P6" s="64"/>
      <c r="Q6" s="62"/>
      <c r="R6" s="62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</row>
    <row r="7" spans="1:87" s="35" customFormat="1">
      <c r="A7" s="13" t="s">
        <v>11</v>
      </c>
      <c r="B7" s="13" t="s">
        <v>12</v>
      </c>
      <c r="C7" s="13" t="s">
        <v>24</v>
      </c>
      <c r="D7" s="13" t="s">
        <v>25</v>
      </c>
      <c r="E7" s="31">
        <v>62.686900000000001</v>
      </c>
      <c r="F7" s="31">
        <v>-128.62809999999999</v>
      </c>
      <c r="G7" s="32">
        <v>813</v>
      </c>
      <c r="H7" s="31">
        <v>0.44</v>
      </c>
      <c r="I7" s="31">
        <v>3.32</v>
      </c>
      <c r="J7" s="31">
        <v>4.1399999999999997</v>
      </c>
      <c r="K7" s="33">
        <f t="shared" si="0"/>
        <v>-0.87768540721784882</v>
      </c>
      <c r="L7" s="61" t="s">
        <v>18</v>
      </c>
      <c r="M7" s="62"/>
      <c r="N7" s="62"/>
      <c r="O7" s="63"/>
      <c r="P7" s="64"/>
      <c r="Q7" s="62"/>
      <c r="R7" s="62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</row>
    <row r="8" spans="1:87" s="35" customFormat="1">
      <c r="A8" s="13" t="s">
        <v>11</v>
      </c>
      <c r="B8" s="13" t="s">
        <v>12</v>
      </c>
      <c r="C8" s="13" t="s">
        <v>26</v>
      </c>
      <c r="D8" s="13" t="s">
        <v>27</v>
      </c>
      <c r="E8" s="31">
        <v>62.773899999999998</v>
      </c>
      <c r="F8" s="31">
        <v>-128.64429999999999</v>
      </c>
      <c r="G8" s="32">
        <v>827</v>
      </c>
      <c r="H8" s="31">
        <v>0.54</v>
      </c>
      <c r="I8" s="31">
        <v>2.81</v>
      </c>
      <c r="J8" s="31">
        <v>3.67</v>
      </c>
      <c r="K8" s="33">
        <f t="shared" si="0"/>
        <v>-0.7163125600821113</v>
      </c>
      <c r="L8" s="61" t="s">
        <v>18</v>
      </c>
      <c r="M8" s="62"/>
      <c r="N8" s="62"/>
      <c r="O8" s="63"/>
      <c r="P8" s="64"/>
      <c r="Q8" s="62"/>
      <c r="R8" s="62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</row>
    <row r="9" spans="1:87" s="38" customFormat="1">
      <c r="A9" s="13" t="s">
        <v>11</v>
      </c>
      <c r="B9" s="13" t="s">
        <v>12</v>
      </c>
      <c r="C9" s="13" t="s">
        <v>28</v>
      </c>
      <c r="D9" s="13" t="s">
        <v>29</v>
      </c>
      <c r="E9" s="31">
        <v>62.891500000000001</v>
      </c>
      <c r="F9" s="31">
        <v>-129.68600000000001</v>
      </c>
      <c r="G9" s="32">
        <v>851</v>
      </c>
      <c r="H9" s="31">
        <v>0.2</v>
      </c>
      <c r="I9" s="31">
        <v>2.56</v>
      </c>
      <c r="J9" s="31">
        <v>3.05</v>
      </c>
      <c r="K9" s="33">
        <f t="shared" si="0"/>
        <v>-1.1072099696478683</v>
      </c>
      <c r="L9" s="61" t="s">
        <v>30</v>
      </c>
      <c r="M9" s="62"/>
      <c r="N9" s="62"/>
      <c r="O9" s="63"/>
      <c r="P9" s="64"/>
      <c r="Q9" s="62"/>
      <c r="R9" s="62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</row>
    <row r="10" spans="1:87" s="35" customFormat="1">
      <c r="A10" s="13" t="s">
        <v>11</v>
      </c>
      <c r="B10" s="13" t="s">
        <v>12</v>
      </c>
      <c r="C10" s="13" t="s">
        <v>31</v>
      </c>
      <c r="D10" s="13" t="s">
        <v>32</v>
      </c>
      <c r="E10" s="31">
        <v>60.871699999999997</v>
      </c>
      <c r="F10" s="31">
        <v>-126.2921</v>
      </c>
      <c r="G10" s="32">
        <v>781</v>
      </c>
      <c r="H10" s="31">
        <v>0.35</v>
      </c>
      <c r="I10" s="31">
        <v>3.27</v>
      </c>
      <c r="J10" s="31">
        <v>3.99</v>
      </c>
      <c r="K10" s="33">
        <f t="shared" si="0"/>
        <v>-0.97047970831001051</v>
      </c>
      <c r="L10" s="61" t="s">
        <v>18</v>
      </c>
      <c r="M10" s="62"/>
      <c r="N10" s="62"/>
      <c r="O10" s="63"/>
      <c r="P10" s="64"/>
      <c r="Q10" s="62"/>
      <c r="R10" s="62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</row>
    <row r="11" spans="1:87" s="34" customFormat="1">
      <c r="A11" s="13" t="s">
        <v>11</v>
      </c>
      <c r="B11" s="13" t="s">
        <v>12</v>
      </c>
      <c r="C11" s="13" t="s">
        <v>33</v>
      </c>
      <c r="D11" s="13" t="s">
        <v>34</v>
      </c>
      <c r="E11" s="31">
        <v>61.471400000000003</v>
      </c>
      <c r="F11" s="31">
        <v>-126.43089999999999</v>
      </c>
      <c r="G11" s="32">
        <v>800</v>
      </c>
      <c r="H11" s="31">
        <v>1.54</v>
      </c>
      <c r="I11" s="31">
        <v>2.63</v>
      </c>
      <c r="J11" s="31">
        <v>4.47</v>
      </c>
      <c r="K11" s="33">
        <f t="shared" si="0"/>
        <v>-0.2324350276532948</v>
      </c>
      <c r="L11" s="61" t="s">
        <v>15</v>
      </c>
      <c r="M11" s="62"/>
      <c r="N11" s="62"/>
      <c r="O11" s="63"/>
      <c r="P11" s="64"/>
      <c r="Q11" s="62"/>
      <c r="R11" s="62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</row>
    <row r="12" spans="1:87" s="35" customFormat="1">
      <c r="A12" s="13" t="s">
        <v>11</v>
      </c>
      <c r="B12" s="13" t="s">
        <v>12</v>
      </c>
      <c r="C12" s="13" t="s">
        <v>35</v>
      </c>
      <c r="D12" s="13" t="s">
        <v>36</v>
      </c>
      <c r="E12" s="31">
        <v>61.543399999999998</v>
      </c>
      <c r="F12" s="31">
        <v>-127.2377</v>
      </c>
      <c r="G12" s="32">
        <v>827</v>
      </c>
      <c r="H12" s="31">
        <v>0.77</v>
      </c>
      <c r="I12" s="31">
        <v>2.37</v>
      </c>
      <c r="J12" s="31">
        <v>3.41</v>
      </c>
      <c r="K12" s="33">
        <f t="shared" si="0"/>
        <v>-0.48825762083762203</v>
      </c>
      <c r="L12" s="61" t="s">
        <v>18</v>
      </c>
      <c r="M12" s="62"/>
      <c r="N12" s="62"/>
      <c r="O12" s="63"/>
      <c r="P12" s="64"/>
      <c r="Q12" s="62"/>
      <c r="R12" s="62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</row>
    <row r="13" spans="1:87" s="34" customFormat="1">
      <c r="A13" s="13" t="s">
        <v>11</v>
      </c>
      <c r="B13" s="13" t="s">
        <v>12</v>
      </c>
      <c r="C13" s="13" t="s">
        <v>37</v>
      </c>
      <c r="D13" s="13" t="s">
        <v>38</v>
      </c>
      <c r="E13" s="31">
        <v>61.581800000000001</v>
      </c>
      <c r="F13" s="31">
        <v>-127.6647</v>
      </c>
      <c r="G13" s="32">
        <v>843</v>
      </c>
      <c r="H13" s="31">
        <v>0.81</v>
      </c>
      <c r="I13" s="31">
        <v>1.34</v>
      </c>
      <c r="J13" s="31">
        <v>2.2999999999999998</v>
      </c>
      <c r="K13" s="33">
        <f t="shared" si="0"/>
        <v>-0.21861977948615791</v>
      </c>
      <c r="L13" s="61" t="s">
        <v>15</v>
      </c>
      <c r="M13" s="62"/>
      <c r="N13" s="62"/>
      <c r="O13" s="63"/>
      <c r="P13" s="64"/>
      <c r="Q13" s="62"/>
      <c r="R13" s="62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</row>
    <row r="14" spans="1:87" s="34" customFormat="1">
      <c r="A14" s="13" t="s">
        <v>11</v>
      </c>
      <c r="B14" s="13" t="s">
        <v>12</v>
      </c>
      <c r="C14" s="13" t="s">
        <v>39</v>
      </c>
      <c r="D14" s="13" t="s">
        <v>40</v>
      </c>
      <c r="E14" s="31">
        <v>61.627499999999998</v>
      </c>
      <c r="F14" s="31">
        <v>-127.49169999999999</v>
      </c>
      <c r="G14" s="32">
        <v>842</v>
      </c>
      <c r="H14" s="31">
        <v>0.55000000000000004</v>
      </c>
      <c r="I14" s="31">
        <v>1.34</v>
      </c>
      <c r="J14" s="31">
        <v>2.04</v>
      </c>
      <c r="K14" s="33">
        <f t="shared" si="0"/>
        <v>-0.38674210887056376</v>
      </c>
      <c r="L14" s="61" t="s">
        <v>15</v>
      </c>
      <c r="M14" s="62"/>
      <c r="N14" s="62"/>
      <c r="O14" s="63"/>
      <c r="P14" s="64"/>
      <c r="Q14" s="62"/>
      <c r="R14" s="62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</row>
    <row r="15" spans="1:87" s="35" customFormat="1">
      <c r="A15" s="13" t="s">
        <v>11</v>
      </c>
      <c r="B15" s="13" t="s">
        <v>12</v>
      </c>
      <c r="C15" s="13" t="s">
        <v>41</v>
      </c>
      <c r="D15" s="13" t="s">
        <v>42</v>
      </c>
      <c r="E15" s="31">
        <v>62.191299999999998</v>
      </c>
      <c r="F15" s="31">
        <v>-127.6591</v>
      </c>
      <c r="G15" s="32"/>
      <c r="H15" s="31">
        <v>0.53</v>
      </c>
      <c r="I15" s="31">
        <v>2.65</v>
      </c>
      <c r="J15" s="31">
        <v>3.49</v>
      </c>
      <c r="K15" s="33">
        <f t="shared" si="0"/>
        <v>-0.69897000433601875</v>
      </c>
      <c r="L15" s="61" t="s">
        <v>18</v>
      </c>
      <c r="M15" s="62"/>
      <c r="N15" s="62"/>
      <c r="O15" s="63"/>
      <c r="P15" s="64"/>
      <c r="Q15" s="62"/>
      <c r="R15" s="62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</row>
    <row r="16" spans="1:87" s="35" customFormat="1">
      <c r="A16" s="13" t="s">
        <v>11</v>
      </c>
      <c r="B16" s="13" t="s">
        <v>12</v>
      </c>
      <c r="C16" s="13" t="s">
        <v>43</v>
      </c>
      <c r="D16" s="13" t="s">
        <v>44</v>
      </c>
      <c r="E16" s="31">
        <v>62.098100000000002</v>
      </c>
      <c r="F16" s="31">
        <v>-127.6913</v>
      </c>
      <c r="G16" s="32"/>
      <c r="H16" s="31">
        <v>0.83</v>
      </c>
      <c r="I16" s="31">
        <v>2.34</v>
      </c>
      <c r="J16" s="31">
        <v>3.44</v>
      </c>
      <c r="K16" s="33">
        <f t="shared" si="0"/>
        <v>-0.45013776503406894</v>
      </c>
      <c r="L16" s="61" t="s">
        <v>18</v>
      </c>
      <c r="M16" s="62"/>
      <c r="N16" s="62"/>
      <c r="O16" s="63"/>
      <c r="P16" s="64"/>
      <c r="Q16" s="62"/>
      <c r="R16" s="62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</row>
    <row r="17" spans="1:87" s="35" customFormat="1">
      <c r="A17" s="13" t="s">
        <v>11</v>
      </c>
      <c r="B17" s="13" t="s">
        <v>12</v>
      </c>
      <c r="C17" s="13" t="s">
        <v>16</v>
      </c>
      <c r="D17" s="13" t="s">
        <v>45</v>
      </c>
      <c r="E17" s="31">
        <v>61.7361</v>
      </c>
      <c r="F17" s="31">
        <v>-127.35509999999999</v>
      </c>
      <c r="G17" s="32">
        <v>826</v>
      </c>
      <c r="H17" s="31">
        <v>0.16</v>
      </c>
      <c r="I17" s="31">
        <v>1.53</v>
      </c>
      <c r="J17" s="31">
        <v>1.86</v>
      </c>
      <c r="K17" s="33">
        <f t="shared" si="0"/>
        <v>-0.98057144816167396</v>
      </c>
      <c r="L17" s="61" t="s">
        <v>18</v>
      </c>
      <c r="M17" s="62"/>
      <c r="N17" s="62"/>
      <c r="O17" s="63"/>
      <c r="P17" s="64"/>
      <c r="Q17" s="62"/>
      <c r="R17" s="62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</row>
    <row r="18" spans="1:87" s="35" customFormat="1">
      <c r="A18" s="13" t="s">
        <v>11</v>
      </c>
      <c r="B18" s="13" t="s">
        <v>12</v>
      </c>
      <c r="C18" s="13" t="s">
        <v>46</v>
      </c>
      <c r="D18" s="13" t="s">
        <v>47</v>
      </c>
      <c r="E18" s="31">
        <v>62.369199999999999</v>
      </c>
      <c r="F18" s="31">
        <v>-128.54929999999999</v>
      </c>
      <c r="G18" s="32">
        <v>833</v>
      </c>
      <c r="H18" s="31">
        <v>0.22</v>
      </c>
      <c r="I18" s="31">
        <v>2.57</v>
      </c>
      <c r="J18" s="31">
        <v>3.08</v>
      </c>
      <c r="K18" s="33">
        <f t="shared" si="0"/>
        <v>-1.0675104425090882</v>
      </c>
      <c r="L18" s="61" t="s">
        <v>18</v>
      </c>
      <c r="M18" s="62"/>
      <c r="N18" s="62"/>
      <c r="O18" s="63"/>
      <c r="P18" s="64"/>
      <c r="Q18" s="62"/>
      <c r="R18" s="62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</row>
    <row r="19" spans="1:87" s="35" customFormat="1">
      <c r="A19" s="13" t="s">
        <v>11</v>
      </c>
      <c r="B19" s="13" t="s">
        <v>12</v>
      </c>
      <c r="C19" s="13" t="s">
        <v>48</v>
      </c>
      <c r="D19" s="13" t="s">
        <v>49</v>
      </c>
      <c r="E19" s="31">
        <v>62.380299999999998</v>
      </c>
      <c r="F19" s="31">
        <v>-128.64660000000001</v>
      </c>
      <c r="G19" s="32">
        <v>843</v>
      </c>
      <c r="H19" s="31">
        <v>0.28999999999999998</v>
      </c>
      <c r="I19" s="31">
        <v>2.57</v>
      </c>
      <c r="J19" s="31">
        <v>2.86</v>
      </c>
      <c r="K19" s="33">
        <f>LOG10(H19/I19)</f>
        <v>-0.94753512543233842</v>
      </c>
      <c r="L19" s="61" t="s">
        <v>30</v>
      </c>
      <c r="M19" s="62"/>
      <c r="N19" s="62"/>
      <c r="O19" s="63"/>
      <c r="P19" s="64"/>
      <c r="Q19" s="62"/>
      <c r="R19" s="62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</row>
    <row r="20" spans="1:87" s="38" customFormat="1">
      <c r="A20" s="13" t="s">
        <v>11</v>
      </c>
      <c r="B20" s="13" t="s">
        <v>12</v>
      </c>
      <c r="C20" s="13" t="s">
        <v>50</v>
      </c>
      <c r="D20" s="13" t="s">
        <v>51</v>
      </c>
      <c r="E20" s="31">
        <v>61.966200000000001</v>
      </c>
      <c r="F20" s="31">
        <v>-128.22880000000001</v>
      </c>
      <c r="G20" s="32"/>
      <c r="H20" s="31">
        <v>0.08</v>
      </c>
      <c r="I20" s="31">
        <v>2.39</v>
      </c>
      <c r="J20" s="31">
        <v>2.75</v>
      </c>
      <c r="K20" s="33">
        <f t="shared" si="0"/>
        <v>-1.4753079139561942</v>
      </c>
      <c r="L20" s="61" t="s">
        <v>30</v>
      </c>
      <c r="M20" s="62"/>
      <c r="N20" s="62"/>
      <c r="O20" s="63"/>
      <c r="P20" s="64"/>
      <c r="Q20" s="62"/>
      <c r="R20" s="62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</row>
    <row r="21" spans="1:87" s="35" customFormat="1">
      <c r="A21" s="13" t="s">
        <v>11</v>
      </c>
      <c r="B21" s="13" t="s">
        <v>12</v>
      </c>
      <c r="C21" s="13" t="s">
        <v>52</v>
      </c>
      <c r="D21" s="13" t="s">
        <v>53</v>
      </c>
      <c r="E21" s="31">
        <v>61.964199999999998</v>
      </c>
      <c r="F21" s="31">
        <v>-128.24770000000001</v>
      </c>
      <c r="G21" s="32">
        <v>832</v>
      </c>
      <c r="H21" s="31">
        <v>0.2</v>
      </c>
      <c r="I21" s="31">
        <v>2.06</v>
      </c>
      <c r="J21" s="31">
        <v>2.4900000000000002</v>
      </c>
      <c r="K21" s="33">
        <f t="shared" si="0"/>
        <v>-1.0128372247051722</v>
      </c>
      <c r="L21" s="61" t="s">
        <v>18</v>
      </c>
      <c r="M21" s="62"/>
      <c r="N21" s="62"/>
      <c r="O21" s="63"/>
      <c r="P21" s="64"/>
      <c r="Q21" s="62"/>
      <c r="R21" s="62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</row>
    <row r="22" spans="1:87" s="38" customFormat="1">
      <c r="A22" s="13" t="s">
        <v>11</v>
      </c>
      <c r="B22" s="13" t="s">
        <v>12</v>
      </c>
      <c r="C22" s="13" t="s">
        <v>54</v>
      </c>
      <c r="D22" s="13" t="s">
        <v>55</v>
      </c>
      <c r="E22" s="31">
        <v>61.615000000000002</v>
      </c>
      <c r="F22" s="31">
        <v>-127.1816</v>
      </c>
      <c r="G22" s="32">
        <v>832</v>
      </c>
      <c r="H22" s="31">
        <v>0.01</v>
      </c>
      <c r="I22" s="31">
        <v>1.92</v>
      </c>
      <c r="J22" s="31">
        <v>2.15</v>
      </c>
      <c r="K22" s="33">
        <f t="shared" si="0"/>
        <v>-2.2833012287035497</v>
      </c>
      <c r="L22" s="61" t="s">
        <v>30</v>
      </c>
      <c r="M22" s="62"/>
      <c r="N22" s="62"/>
      <c r="O22" s="63"/>
      <c r="P22" s="64"/>
      <c r="Q22" s="62"/>
      <c r="R22" s="62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</row>
    <row r="23" spans="1:87" s="38" customFormat="1">
      <c r="A23" s="13" t="s">
        <v>11</v>
      </c>
      <c r="B23" s="13" t="s">
        <v>12</v>
      </c>
      <c r="C23" s="13" t="s">
        <v>56</v>
      </c>
      <c r="D23" s="13" t="s">
        <v>57</v>
      </c>
      <c r="E23" s="31">
        <v>62.003500000000003</v>
      </c>
      <c r="F23" s="31">
        <v>-128.1661</v>
      </c>
      <c r="G23" s="32">
        <v>835</v>
      </c>
      <c r="H23" s="31">
        <v>0.11</v>
      </c>
      <c r="I23" s="31">
        <v>1.8</v>
      </c>
      <c r="J23" s="31">
        <v>2.11</v>
      </c>
      <c r="K23" s="33">
        <f t="shared" si="0"/>
        <v>-1.2138798199450811</v>
      </c>
      <c r="L23" s="61" t="s">
        <v>30</v>
      </c>
      <c r="M23" s="62"/>
      <c r="N23" s="62"/>
      <c r="O23" s="63"/>
      <c r="P23" s="64"/>
      <c r="Q23" s="62"/>
      <c r="R23" s="62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</row>
    <row r="24" spans="1:87" s="38" customFormat="1">
      <c r="A24" s="13"/>
      <c r="B24" s="13"/>
      <c r="C24" s="13"/>
      <c r="D24" s="13"/>
      <c r="E24" s="31"/>
      <c r="F24" s="31"/>
      <c r="G24" s="32"/>
      <c r="H24" s="31"/>
      <c r="I24" s="31"/>
      <c r="J24" s="31"/>
      <c r="K24" s="33"/>
      <c r="L24" s="61"/>
      <c r="M24" s="62"/>
      <c r="N24" s="62"/>
      <c r="O24" s="63"/>
      <c r="P24" s="64"/>
      <c r="Q24" s="62"/>
      <c r="R24" s="62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</row>
    <row r="25" spans="1:87" s="35" customFormat="1">
      <c r="A25" s="13" t="s">
        <v>11</v>
      </c>
      <c r="B25" s="13" t="s">
        <v>58</v>
      </c>
      <c r="C25" s="13" t="s">
        <v>59</v>
      </c>
      <c r="D25" s="13" t="s">
        <v>60</v>
      </c>
      <c r="E25" s="31">
        <v>61.051900000000003</v>
      </c>
      <c r="F25" s="31">
        <v>-127.10720000000001</v>
      </c>
      <c r="G25" s="32">
        <v>871</v>
      </c>
      <c r="H25" s="31">
        <v>0.14000000000000001</v>
      </c>
      <c r="I25" s="31">
        <v>1.02</v>
      </c>
      <c r="J25" s="31">
        <v>1.28</v>
      </c>
      <c r="K25" s="33">
        <f>LOG10(H25/I25)</f>
        <v>-0.86247213608367945</v>
      </c>
      <c r="L25" s="61" t="s">
        <v>18</v>
      </c>
      <c r="M25" s="62"/>
      <c r="N25" s="62"/>
      <c r="O25" s="63"/>
      <c r="P25" s="64"/>
      <c r="Q25" s="62"/>
      <c r="R25" s="62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</row>
    <row r="26" spans="1:87" s="35" customFormat="1">
      <c r="A26" s="13" t="s">
        <v>11</v>
      </c>
      <c r="B26" s="13" t="s">
        <v>58</v>
      </c>
      <c r="C26" s="13" t="s">
        <v>61</v>
      </c>
      <c r="D26" s="13" t="s">
        <v>62</v>
      </c>
      <c r="E26" s="31">
        <v>61.392699999999998</v>
      </c>
      <c r="F26" s="31">
        <v>-127.3413</v>
      </c>
      <c r="G26" s="32">
        <v>836</v>
      </c>
      <c r="H26" s="31">
        <v>0.2</v>
      </c>
      <c r="I26" s="31">
        <v>1.93</v>
      </c>
      <c r="J26" s="31">
        <v>2.35</v>
      </c>
      <c r="K26" s="33">
        <f>LOG10(H26/I26)</f>
        <v>-0.98452731334379251</v>
      </c>
      <c r="L26" s="61" t="s">
        <v>18</v>
      </c>
      <c r="M26" s="62"/>
      <c r="N26" s="62"/>
      <c r="O26" s="63"/>
      <c r="P26" s="64"/>
      <c r="Q26" s="62"/>
      <c r="R26" s="62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</row>
    <row r="27" spans="1:87" s="34" customFormat="1">
      <c r="A27" s="13" t="s">
        <v>11</v>
      </c>
      <c r="B27" s="13" t="s">
        <v>58</v>
      </c>
      <c r="C27" s="13" t="s">
        <v>63</v>
      </c>
      <c r="D27" s="13" t="s">
        <v>64</v>
      </c>
      <c r="E27" s="31">
        <v>60.796199999999999</v>
      </c>
      <c r="F27" s="31">
        <v>-126.0797</v>
      </c>
      <c r="G27" s="32">
        <v>781</v>
      </c>
      <c r="H27" s="31">
        <v>1.1299999999999999</v>
      </c>
      <c r="I27" s="31">
        <v>3.14</v>
      </c>
      <c r="J27" s="31">
        <v>4.63</v>
      </c>
      <c r="K27" s="33">
        <f>LOG10(H27/I27)</f>
        <v>-0.44385120458979521</v>
      </c>
      <c r="L27" s="61" t="s">
        <v>15</v>
      </c>
      <c r="M27" s="62"/>
      <c r="N27" s="62"/>
      <c r="O27" s="63"/>
      <c r="P27" s="64"/>
      <c r="Q27" s="62"/>
      <c r="R27" s="62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</row>
    <row r="28" spans="1:87" s="35" customFormat="1">
      <c r="A28" s="13" t="s">
        <v>11</v>
      </c>
      <c r="B28" s="13" t="s">
        <v>58</v>
      </c>
      <c r="C28" s="13" t="s">
        <v>35</v>
      </c>
      <c r="D28" s="13" t="s">
        <v>65</v>
      </c>
      <c r="E28" s="31">
        <v>61.3705</v>
      </c>
      <c r="F28" s="31">
        <v>-127.2392</v>
      </c>
      <c r="G28" s="32">
        <v>870</v>
      </c>
      <c r="H28" s="31">
        <v>0.34</v>
      </c>
      <c r="I28" s="31">
        <v>2.31</v>
      </c>
      <c r="J28" s="31">
        <v>2.91</v>
      </c>
      <c r="K28" s="33">
        <f>LOG10(H28/I28)</f>
        <v>-0.83213306284988919</v>
      </c>
      <c r="L28" s="61" t="s">
        <v>18</v>
      </c>
      <c r="M28" s="62"/>
      <c r="N28" s="62"/>
      <c r="O28" s="63"/>
      <c r="P28" s="64"/>
      <c r="Q28" s="62"/>
      <c r="R28" s="62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</row>
    <row r="29" spans="1:87" s="35" customFormat="1">
      <c r="A29" s="13" t="s">
        <v>11</v>
      </c>
      <c r="B29" s="13" t="s">
        <v>58</v>
      </c>
      <c r="C29" s="13" t="s">
        <v>66</v>
      </c>
      <c r="D29" s="13" t="s">
        <v>67</v>
      </c>
      <c r="E29" s="31">
        <v>61.916699999999999</v>
      </c>
      <c r="F29" s="31">
        <v>-128.40719999999999</v>
      </c>
      <c r="G29" s="32">
        <v>845</v>
      </c>
      <c r="H29" s="31">
        <v>0.18</v>
      </c>
      <c r="I29" s="31">
        <v>1.41</v>
      </c>
      <c r="J29" s="31">
        <v>1.75</v>
      </c>
      <c r="K29" s="33">
        <f t="shared" si="0"/>
        <v>-0.89394660755207389</v>
      </c>
      <c r="L29" s="61" t="s">
        <v>18</v>
      </c>
      <c r="M29" s="62"/>
      <c r="N29" s="62"/>
      <c r="O29" s="63"/>
      <c r="P29" s="64"/>
      <c r="Q29" s="62"/>
      <c r="R29" s="62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</row>
    <row r="30" spans="1:87" s="35" customFormat="1">
      <c r="A30" s="13"/>
      <c r="B30" s="13"/>
      <c r="C30" s="13"/>
      <c r="D30" s="13"/>
      <c r="E30" s="39"/>
      <c r="F30" s="39"/>
      <c r="G30" s="32"/>
      <c r="H30" s="39"/>
      <c r="I30" s="39"/>
      <c r="J30" s="39"/>
      <c r="K30" s="33"/>
      <c r="L30" s="61"/>
      <c r="M30" s="62"/>
      <c r="N30" s="62"/>
      <c r="O30" s="63"/>
      <c r="P30" s="64"/>
      <c r="Q30" s="62"/>
      <c r="R30" s="62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</row>
    <row r="31" spans="1:87" s="13" customFormat="1">
      <c r="A31" s="13" t="s">
        <v>290</v>
      </c>
      <c r="B31" s="13" t="s">
        <v>58</v>
      </c>
      <c r="C31" s="13" t="s">
        <v>68</v>
      </c>
      <c r="D31" s="13" t="s">
        <v>69</v>
      </c>
      <c r="E31" s="33">
        <v>64.021000000000001</v>
      </c>
      <c r="F31" s="33">
        <v>-135.822</v>
      </c>
      <c r="G31" s="32">
        <v>781</v>
      </c>
      <c r="H31" s="31">
        <v>0.56999999999999995</v>
      </c>
      <c r="I31" s="31">
        <v>2.5</v>
      </c>
      <c r="J31" s="33">
        <f t="shared" ref="J31:J33" si="1">H31*0.8998+I31</f>
        <v>3.012886</v>
      </c>
      <c r="K31" s="33">
        <f>LOG10(H31/I31)</f>
        <v>-0.64206515299954625</v>
      </c>
      <c r="L31" s="61" t="s">
        <v>18</v>
      </c>
      <c r="M31" s="62"/>
      <c r="N31" s="62"/>
      <c r="O31" s="63"/>
      <c r="P31" s="64"/>
      <c r="Q31" s="62"/>
      <c r="R31" s="62"/>
    </row>
    <row r="32" spans="1:87" s="13" customFormat="1">
      <c r="A32" s="13" t="s">
        <v>290</v>
      </c>
      <c r="B32" s="13" t="s">
        <v>58</v>
      </c>
      <c r="C32" s="13" t="s">
        <v>70</v>
      </c>
      <c r="D32" s="13" t="s">
        <v>71</v>
      </c>
      <c r="E32" s="33">
        <v>64.037999999999997</v>
      </c>
      <c r="F32" s="33">
        <v>-135.77799999999999</v>
      </c>
      <c r="G32" s="32">
        <v>790</v>
      </c>
      <c r="H32" s="31">
        <v>0.5</v>
      </c>
      <c r="I32" s="31">
        <v>1.4</v>
      </c>
      <c r="J32" s="33">
        <f t="shared" si="1"/>
        <v>1.8498999999999999</v>
      </c>
      <c r="K32" s="33">
        <f>LOG10(H32/I32)</f>
        <v>-0.44715803134221921</v>
      </c>
      <c r="L32" s="61" t="s">
        <v>18</v>
      </c>
      <c r="M32" s="62"/>
      <c r="N32" s="62"/>
      <c r="O32" s="63"/>
      <c r="P32" s="64"/>
      <c r="Q32" s="62"/>
      <c r="R32" s="62"/>
    </row>
    <row r="33" spans="1:18" s="13" customFormat="1">
      <c r="A33" s="13" t="s">
        <v>290</v>
      </c>
      <c r="B33" s="13" t="s">
        <v>58</v>
      </c>
      <c r="C33" s="13" t="s">
        <v>72</v>
      </c>
      <c r="D33" s="13" t="s">
        <v>69</v>
      </c>
      <c r="E33" s="33">
        <v>63.282220000000002</v>
      </c>
      <c r="F33" s="33">
        <v>-130.1525</v>
      </c>
      <c r="G33" s="32">
        <v>797</v>
      </c>
      <c r="H33" s="31">
        <v>0.63</v>
      </c>
      <c r="I33" s="31">
        <v>2.9</v>
      </c>
      <c r="J33" s="33">
        <f t="shared" si="1"/>
        <v>3.4668739999999998</v>
      </c>
      <c r="K33" s="33">
        <f>LOG10(H33/I33)</f>
        <v>-0.6630574484453744</v>
      </c>
      <c r="L33" s="61" t="s">
        <v>18</v>
      </c>
      <c r="M33" s="62"/>
      <c r="N33" s="62"/>
      <c r="O33" s="63"/>
      <c r="P33" s="64"/>
      <c r="Q33" s="62"/>
      <c r="R33" s="62"/>
    </row>
    <row r="34" spans="1:18" s="13" customFormat="1">
      <c r="E34" s="33"/>
      <c r="F34" s="33"/>
      <c r="G34" s="31"/>
      <c r="H34" s="31"/>
      <c r="I34" s="31"/>
      <c r="J34" s="33"/>
      <c r="K34" s="33"/>
      <c r="L34" s="61"/>
      <c r="M34" s="62"/>
      <c r="N34" s="62"/>
      <c r="O34" s="63"/>
      <c r="P34" s="61"/>
      <c r="Q34" s="62"/>
      <c r="R34" s="62"/>
    </row>
    <row r="35" spans="1:18" s="13" customFormat="1">
      <c r="A35" s="13" t="s">
        <v>291</v>
      </c>
      <c r="B35" s="13" t="s">
        <v>73</v>
      </c>
      <c r="C35" s="13" t="s">
        <v>74</v>
      </c>
      <c r="D35" s="13">
        <v>6</v>
      </c>
      <c r="E35" s="33">
        <v>37.119999999999997</v>
      </c>
      <c r="F35" s="33">
        <v>-118.53</v>
      </c>
      <c r="G35" s="31"/>
      <c r="H35" s="31">
        <v>1.86</v>
      </c>
      <c r="I35" s="31">
        <v>4.0599999999999996</v>
      </c>
      <c r="J35" s="33">
        <f>H35*0.8998+I35</f>
        <v>5.7336279999999995</v>
      </c>
      <c r="K35" s="33">
        <f t="shared" ref="K35:K47" si="2">LOG10(H35/I35)</f>
        <v>-0.33901308935927776</v>
      </c>
      <c r="L35" s="61" t="s">
        <v>15</v>
      </c>
      <c r="M35" s="62"/>
      <c r="N35" s="62"/>
      <c r="O35" s="63"/>
      <c r="P35" s="61"/>
      <c r="Q35" s="62"/>
      <c r="R35" s="62"/>
    </row>
    <row r="36" spans="1:18" s="13" customFormat="1">
      <c r="A36" s="13" t="s">
        <v>291</v>
      </c>
      <c r="B36" s="13" t="s">
        <v>73</v>
      </c>
      <c r="C36" s="13" t="s">
        <v>75</v>
      </c>
      <c r="D36" s="13">
        <v>10</v>
      </c>
      <c r="E36" s="33">
        <v>37.049999999999997</v>
      </c>
      <c r="F36" s="33">
        <v>-118.43</v>
      </c>
      <c r="G36" s="31"/>
      <c r="H36" s="31">
        <v>2.59</v>
      </c>
      <c r="I36" s="31">
        <v>3.17</v>
      </c>
      <c r="J36" s="33">
        <f t="shared" ref="J36:J40" si="3">H36*0.8998+I36</f>
        <v>5.5004819999999999</v>
      </c>
      <c r="K36" s="33">
        <f t="shared" si="2"/>
        <v>-8.775949813649965E-2</v>
      </c>
      <c r="L36" s="61" t="s">
        <v>76</v>
      </c>
      <c r="M36" s="62"/>
      <c r="N36" s="62"/>
      <c r="O36" s="63"/>
      <c r="P36" s="61"/>
      <c r="Q36" s="62"/>
      <c r="R36" s="62"/>
    </row>
    <row r="37" spans="1:18" s="13" customFormat="1">
      <c r="A37" s="13" t="s">
        <v>291</v>
      </c>
      <c r="B37" s="13" t="s">
        <v>73</v>
      </c>
      <c r="C37" s="13" t="s">
        <v>77</v>
      </c>
      <c r="D37" s="13">
        <v>9</v>
      </c>
      <c r="E37" s="33">
        <v>37.409999999999997</v>
      </c>
      <c r="F37" s="33">
        <v>-118.7</v>
      </c>
      <c r="G37" s="31"/>
      <c r="H37" s="31">
        <v>1.9</v>
      </c>
      <c r="I37" s="31">
        <v>2.52</v>
      </c>
      <c r="J37" s="33">
        <f t="shared" si="3"/>
        <v>4.2296199999999997</v>
      </c>
      <c r="K37" s="33">
        <f t="shared" si="2"/>
        <v>-0.12264693982871515</v>
      </c>
      <c r="L37" s="61" t="s">
        <v>76</v>
      </c>
      <c r="M37" s="62"/>
      <c r="N37" s="62"/>
      <c r="O37" s="63"/>
      <c r="P37" s="61"/>
      <c r="Q37" s="62"/>
      <c r="R37" s="62"/>
    </row>
    <row r="38" spans="1:18" s="13" customFormat="1">
      <c r="A38" s="13" t="s">
        <v>291</v>
      </c>
      <c r="B38" s="13" t="s">
        <v>73</v>
      </c>
      <c r="C38" s="13" t="s">
        <v>78</v>
      </c>
      <c r="D38" s="13">
        <v>11</v>
      </c>
      <c r="E38" s="33">
        <v>37.08</v>
      </c>
      <c r="F38" s="33">
        <v>-118.36</v>
      </c>
      <c r="G38" s="31"/>
      <c r="H38" s="31">
        <v>1.03</v>
      </c>
      <c r="I38" s="31">
        <v>1.38</v>
      </c>
      <c r="J38" s="33">
        <f t="shared" si="3"/>
        <v>2.306794</v>
      </c>
      <c r="K38" s="33">
        <f t="shared" si="2"/>
        <v>-0.12704186169606424</v>
      </c>
      <c r="L38" s="61" t="s">
        <v>15</v>
      </c>
      <c r="M38" s="62"/>
      <c r="N38" s="62"/>
      <c r="O38" s="63"/>
      <c r="P38" s="61"/>
      <c r="Q38" s="62"/>
      <c r="R38" s="62"/>
    </row>
    <row r="39" spans="1:18" s="13" customFormat="1">
      <c r="A39" s="13" t="s">
        <v>291</v>
      </c>
      <c r="B39" s="13" t="s">
        <v>73</v>
      </c>
      <c r="C39" s="13" t="s">
        <v>79</v>
      </c>
      <c r="D39" s="13">
        <v>5</v>
      </c>
      <c r="E39" s="33">
        <v>37.46</v>
      </c>
      <c r="F39" s="33">
        <v>-118.7</v>
      </c>
      <c r="G39" s="31"/>
      <c r="H39" s="31">
        <v>2.35</v>
      </c>
      <c r="I39" s="31">
        <v>3.25</v>
      </c>
      <c r="J39" s="33">
        <f t="shared" si="3"/>
        <v>5.3645300000000002</v>
      </c>
      <c r="K39" s="33">
        <f t="shared" si="2"/>
        <v>-0.14081549870713811</v>
      </c>
      <c r="L39" s="61" t="s">
        <v>76</v>
      </c>
      <c r="M39" s="62"/>
      <c r="N39" s="62"/>
      <c r="O39" s="63"/>
      <c r="P39" s="61"/>
      <c r="Q39" s="62"/>
      <c r="R39" s="62"/>
    </row>
    <row r="40" spans="1:18" s="13" customFormat="1">
      <c r="A40" s="13" t="s">
        <v>291</v>
      </c>
      <c r="B40" s="13" t="s">
        <v>73</v>
      </c>
      <c r="C40" s="13" t="s">
        <v>80</v>
      </c>
      <c r="D40" s="13">
        <v>22</v>
      </c>
      <c r="E40" s="33">
        <v>37.619999999999997</v>
      </c>
      <c r="F40" s="33">
        <v>-118.7</v>
      </c>
      <c r="G40" s="31"/>
      <c r="H40" s="31">
        <v>1.45</v>
      </c>
      <c r="I40" s="31">
        <v>2.52</v>
      </c>
      <c r="J40" s="33">
        <f t="shared" si="3"/>
        <v>3.8247100000000001</v>
      </c>
      <c r="K40" s="33">
        <f t="shared" si="2"/>
        <v>-0.24003253854656925</v>
      </c>
      <c r="L40" s="61" t="s">
        <v>15</v>
      </c>
      <c r="M40" s="62"/>
      <c r="N40" s="62"/>
      <c r="O40" s="63"/>
      <c r="P40" s="61"/>
      <c r="Q40" s="62"/>
      <c r="R40" s="62"/>
    </row>
    <row r="41" spans="1:18" s="13" customFormat="1">
      <c r="A41" s="13" t="s">
        <v>291</v>
      </c>
      <c r="B41" s="13" t="s">
        <v>73</v>
      </c>
      <c r="C41" s="13" t="s">
        <v>81</v>
      </c>
      <c r="D41" s="13">
        <v>5</v>
      </c>
      <c r="E41" s="33">
        <v>37.36</v>
      </c>
      <c r="F41" s="33">
        <v>-118.72</v>
      </c>
      <c r="G41" s="31"/>
      <c r="H41" s="31">
        <v>0.89</v>
      </c>
      <c r="I41" s="31">
        <v>1.03</v>
      </c>
      <c r="J41" s="33">
        <f>H41*0.8998+I41</f>
        <v>1.8308219999999999</v>
      </c>
      <c r="K41" s="33">
        <f t="shared" si="2"/>
        <v>-6.344721806025945E-2</v>
      </c>
      <c r="L41" s="61" t="s">
        <v>15</v>
      </c>
      <c r="M41" s="62"/>
      <c r="N41" s="62"/>
      <c r="O41" s="63"/>
      <c r="P41" s="61"/>
      <c r="Q41" s="62"/>
      <c r="R41" s="62"/>
    </row>
    <row r="42" spans="1:18" s="13" customFormat="1">
      <c r="A42" s="13" t="s">
        <v>291</v>
      </c>
      <c r="B42" s="13" t="s">
        <v>73</v>
      </c>
      <c r="C42" s="13" t="s">
        <v>82</v>
      </c>
      <c r="D42" s="13">
        <v>52</v>
      </c>
      <c r="E42" s="33">
        <v>37.24</v>
      </c>
      <c r="F42" s="33">
        <v>-118.56</v>
      </c>
      <c r="G42" s="31"/>
      <c r="H42" s="31">
        <v>1.07</v>
      </c>
      <c r="I42" s="31">
        <v>1.99</v>
      </c>
      <c r="J42" s="33">
        <f t="shared" ref="J42:J44" si="4">H42*0.8998+I42</f>
        <v>2.9527860000000001</v>
      </c>
      <c r="K42" s="33">
        <f t="shared" si="2"/>
        <v>-0.26946929872449699</v>
      </c>
      <c r="L42" s="61" t="s">
        <v>15</v>
      </c>
      <c r="M42" s="62"/>
      <c r="N42" s="62"/>
      <c r="O42" s="63"/>
      <c r="P42" s="61"/>
      <c r="Q42" s="62"/>
      <c r="R42" s="62"/>
    </row>
    <row r="43" spans="1:18" s="13" customFormat="1">
      <c r="A43" s="13" t="s">
        <v>291</v>
      </c>
      <c r="B43" s="13" t="s">
        <v>73</v>
      </c>
      <c r="C43" s="13" t="s">
        <v>83</v>
      </c>
      <c r="D43" s="13" t="s">
        <v>84</v>
      </c>
      <c r="E43" s="33">
        <v>37.35</v>
      </c>
      <c r="F43" s="33">
        <v>-118.74</v>
      </c>
      <c r="G43" s="31"/>
      <c r="H43" s="31">
        <v>1</v>
      </c>
      <c r="I43" s="31">
        <v>0.65</v>
      </c>
      <c r="J43" s="33">
        <f t="shared" si="4"/>
        <v>1.5498000000000001</v>
      </c>
      <c r="K43" s="33">
        <f t="shared" si="2"/>
        <v>0.18708664335714439</v>
      </c>
      <c r="L43" s="61" t="s">
        <v>76</v>
      </c>
      <c r="M43" s="62"/>
      <c r="N43" s="62"/>
      <c r="O43" s="63"/>
      <c r="P43" s="61"/>
      <c r="Q43" s="62"/>
      <c r="R43" s="62"/>
    </row>
    <row r="44" spans="1:18" s="13" customFormat="1">
      <c r="A44" s="13" t="s">
        <v>291</v>
      </c>
      <c r="B44" s="13" t="s">
        <v>73</v>
      </c>
      <c r="C44" s="13" t="s">
        <v>85</v>
      </c>
      <c r="D44" s="13" t="s">
        <v>86</v>
      </c>
      <c r="E44" s="33">
        <v>37.26</v>
      </c>
      <c r="F44" s="33">
        <v>-118.64</v>
      </c>
      <c r="G44" s="31"/>
      <c r="H44" s="31">
        <v>0.4</v>
      </c>
      <c r="I44" s="31">
        <v>0.34</v>
      </c>
      <c r="J44" s="33">
        <f t="shared" si="4"/>
        <v>0.6999200000000001</v>
      </c>
      <c r="K44" s="33">
        <f t="shared" si="2"/>
        <v>7.0581074285707285E-2</v>
      </c>
      <c r="L44" s="61" t="s">
        <v>76</v>
      </c>
      <c r="M44" s="62"/>
      <c r="N44" s="62"/>
      <c r="O44" s="63"/>
      <c r="P44" s="61"/>
      <c r="Q44" s="62"/>
      <c r="R44" s="62"/>
    </row>
    <row r="45" spans="1:18" s="13" customFormat="1">
      <c r="A45" s="13" t="s">
        <v>291</v>
      </c>
      <c r="B45" s="13" t="s">
        <v>73</v>
      </c>
      <c r="C45" s="13" t="s">
        <v>87</v>
      </c>
      <c r="D45" s="13" t="s">
        <v>88</v>
      </c>
      <c r="E45" s="33">
        <v>37.11</v>
      </c>
      <c r="F45" s="33">
        <v>-118.48</v>
      </c>
      <c r="G45" s="31"/>
      <c r="H45" s="31">
        <v>0.6</v>
      </c>
      <c r="I45" s="31">
        <v>0.88</v>
      </c>
      <c r="J45" s="33">
        <f>H45*0.8998+I45</f>
        <v>1.41988</v>
      </c>
      <c r="K45" s="33">
        <f t="shared" si="2"/>
        <v>-0.16633142176652502</v>
      </c>
      <c r="L45" s="61" t="s">
        <v>15</v>
      </c>
      <c r="M45" s="62"/>
      <c r="N45" s="62"/>
      <c r="O45" s="63"/>
      <c r="P45" s="61"/>
      <c r="Q45" s="62"/>
      <c r="R45" s="62"/>
    </row>
    <row r="46" spans="1:18" s="13" customFormat="1">
      <c r="A46" s="13" t="s">
        <v>291</v>
      </c>
      <c r="B46" s="13" t="s">
        <v>73</v>
      </c>
      <c r="C46" s="13" t="s">
        <v>89</v>
      </c>
      <c r="D46" s="13" t="s">
        <v>90</v>
      </c>
      <c r="E46" s="33">
        <v>37.24</v>
      </c>
      <c r="F46" s="33">
        <v>-118.4</v>
      </c>
      <c r="G46" s="7"/>
      <c r="H46" s="31">
        <v>0.9</v>
      </c>
      <c r="I46" s="31">
        <v>0.81</v>
      </c>
      <c r="J46" s="33">
        <f>H46*0.8998+I46</f>
        <v>1.6198200000000003</v>
      </c>
      <c r="K46" s="33">
        <f t="shared" si="2"/>
        <v>4.5757490560675143E-2</v>
      </c>
      <c r="L46" s="61" t="s">
        <v>76</v>
      </c>
      <c r="M46" s="62"/>
      <c r="N46" s="62"/>
      <c r="O46" s="63"/>
      <c r="P46" s="61"/>
      <c r="Q46" s="62"/>
      <c r="R46" s="62"/>
    </row>
    <row r="47" spans="1:18" s="13" customFormat="1">
      <c r="A47" s="13" t="s">
        <v>291</v>
      </c>
      <c r="B47" s="13" t="s">
        <v>73</v>
      </c>
      <c r="C47" s="13" t="s">
        <v>91</v>
      </c>
      <c r="D47" s="13" t="s">
        <v>92</v>
      </c>
      <c r="E47" s="33">
        <v>37.18</v>
      </c>
      <c r="F47" s="33">
        <v>-118.42</v>
      </c>
      <c r="G47" s="7"/>
      <c r="H47" s="31">
        <v>0.3</v>
      </c>
      <c r="I47" s="31">
        <v>0.74</v>
      </c>
      <c r="J47" s="33">
        <f>H47*0.8998+I47</f>
        <v>1.0099400000000001</v>
      </c>
      <c r="K47" s="33">
        <f t="shared" si="2"/>
        <v>-0.3921104650113138</v>
      </c>
      <c r="L47" s="61" t="s">
        <v>18</v>
      </c>
      <c r="M47" s="62"/>
      <c r="N47" s="62"/>
      <c r="O47" s="63"/>
      <c r="P47" s="61"/>
      <c r="Q47" s="62"/>
      <c r="R47" s="62"/>
    </row>
    <row r="48" spans="1:18" s="13" customFormat="1">
      <c r="E48" s="33"/>
      <c r="F48" s="33"/>
      <c r="G48" s="7"/>
      <c r="H48" s="39"/>
      <c r="I48" s="39"/>
      <c r="J48" s="40"/>
      <c r="K48" s="33"/>
      <c r="L48" s="61"/>
      <c r="M48" s="62"/>
      <c r="N48" s="62"/>
      <c r="O48" s="62"/>
      <c r="P48" s="62"/>
      <c r="Q48" s="62"/>
      <c r="R48" s="62"/>
    </row>
    <row r="49" spans="1:18" s="13" customFormat="1" ht="21">
      <c r="E49" s="33"/>
      <c r="F49" s="33"/>
      <c r="G49" s="31"/>
      <c r="H49" s="39"/>
      <c r="I49" s="39"/>
      <c r="J49" s="40"/>
      <c r="K49" s="33"/>
      <c r="L49" s="61"/>
      <c r="M49" s="86" t="s">
        <v>10</v>
      </c>
      <c r="N49" s="86"/>
      <c r="O49" s="86"/>
      <c r="P49" s="86"/>
      <c r="Q49" s="62"/>
      <c r="R49" s="62"/>
    </row>
    <row r="50" spans="1:18" s="13" customFormat="1">
      <c r="E50" s="33"/>
      <c r="F50" s="33"/>
      <c r="G50" s="31"/>
      <c r="H50" s="39"/>
      <c r="I50" s="39"/>
      <c r="J50" s="40"/>
      <c r="K50" s="33"/>
      <c r="L50" s="61"/>
      <c r="M50" s="65" t="s">
        <v>93</v>
      </c>
      <c r="N50" s="65" t="s">
        <v>94</v>
      </c>
      <c r="O50" s="66" t="s">
        <v>95</v>
      </c>
      <c r="P50" s="67" t="s">
        <v>96</v>
      </c>
      <c r="Q50" s="62"/>
      <c r="R50" s="62"/>
    </row>
    <row r="51" spans="1:18" s="13" customFormat="1" ht="16.5" thickBot="1">
      <c r="A51" s="17" t="s">
        <v>289</v>
      </c>
      <c r="E51" s="33"/>
      <c r="F51" s="33"/>
      <c r="G51" s="7"/>
      <c r="H51" s="39"/>
      <c r="I51" s="39"/>
      <c r="J51" s="40"/>
      <c r="K51" s="33"/>
      <c r="L51" s="61"/>
      <c r="M51" s="62"/>
      <c r="N51" s="62"/>
      <c r="O51" s="62"/>
      <c r="P51" s="62"/>
      <c r="Q51" s="62"/>
      <c r="R51" s="62"/>
    </row>
    <row r="52" spans="1:18" s="13" customFormat="1">
      <c r="A52" s="18" t="s">
        <v>97</v>
      </c>
      <c r="B52" s="41" t="s">
        <v>98</v>
      </c>
      <c r="C52" s="41" t="s">
        <v>99</v>
      </c>
      <c r="D52" s="41" t="s">
        <v>100</v>
      </c>
      <c r="E52" s="42">
        <v>31.844249999999999</v>
      </c>
      <c r="F52" s="42">
        <v>-112.71</v>
      </c>
      <c r="G52" s="43">
        <v>697.95109678670349</v>
      </c>
      <c r="H52" s="44">
        <v>0.21459999999999996</v>
      </c>
      <c r="I52" s="44">
        <v>0.14000000000000001</v>
      </c>
      <c r="J52" s="44">
        <v>0.33309707999999999</v>
      </c>
      <c r="K52" s="42">
        <f t="shared" ref="K52:K167" si="5">LOG10(H52/I52)</f>
        <v>0.18550168195169414</v>
      </c>
      <c r="L52" s="68" t="s">
        <v>15</v>
      </c>
      <c r="M52" s="68" t="s">
        <v>101</v>
      </c>
      <c r="N52" s="68" t="s">
        <v>15</v>
      </c>
      <c r="O52" s="69">
        <f>1*100/3</f>
        <v>33.333333333333336</v>
      </c>
      <c r="P52" s="70">
        <v>697.95109678670349</v>
      </c>
      <c r="Q52" s="62"/>
      <c r="R52" s="62"/>
    </row>
    <row r="53" spans="1:18" s="13" customFormat="1">
      <c r="A53" s="19" t="s">
        <v>97</v>
      </c>
      <c r="B53" s="13" t="s">
        <v>98</v>
      </c>
      <c r="C53" s="13" t="s">
        <v>99</v>
      </c>
      <c r="D53" s="13" t="s">
        <v>102</v>
      </c>
      <c r="E53" s="33">
        <v>31.844249999999999</v>
      </c>
      <c r="F53" s="33">
        <v>-112.71</v>
      </c>
      <c r="G53" s="32">
        <v>728.15711929892814</v>
      </c>
      <c r="H53" s="31">
        <v>0.15279999999999994</v>
      </c>
      <c r="I53" s="31">
        <v>0.52</v>
      </c>
      <c r="J53" s="31">
        <v>0.65748943999999998</v>
      </c>
      <c r="K53" s="33">
        <f t="shared" si="5"/>
        <v>-0.53187998939512826</v>
      </c>
      <c r="L53" s="61" t="s">
        <v>18</v>
      </c>
      <c r="M53" s="61" t="s">
        <v>103</v>
      </c>
      <c r="N53" s="61" t="s">
        <v>18</v>
      </c>
      <c r="O53" s="63">
        <f t="shared" ref="O53:O54" si="6">1*100/3</f>
        <v>33.333333333333336</v>
      </c>
      <c r="P53" s="71">
        <v>728.15711929892814</v>
      </c>
      <c r="Q53" s="62"/>
      <c r="R53" s="62"/>
    </row>
    <row r="54" spans="1:18" s="13" customFormat="1" ht="16.5" thickBot="1">
      <c r="A54" s="20" t="s">
        <v>97</v>
      </c>
      <c r="B54" s="45" t="s">
        <v>98</v>
      </c>
      <c r="C54" s="45" t="s">
        <v>99</v>
      </c>
      <c r="D54" s="45" t="s">
        <v>104</v>
      </c>
      <c r="E54" s="46">
        <v>31.844249999999999</v>
      </c>
      <c r="F54" s="46">
        <v>-112.71</v>
      </c>
      <c r="G54" s="47">
        <v>721.97724521568011</v>
      </c>
      <c r="H54" s="48">
        <v>0.28010000000000002</v>
      </c>
      <c r="I54" s="48">
        <v>0.09</v>
      </c>
      <c r="J54" s="48">
        <v>0.34203398000000007</v>
      </c>
      <c r="K54" s="46">
        <f t="shared" si="5"/>
        <v>0.49307059938424336</v>
      </c>
      <c r="L54" s="72" t="s">
        <v>76</v>
      </c>
      <c r="M54" s="72" t="s">
        <v>105</v>
      </c>
      <c r="N54" s="72" t="s">
        <v>76</v>
      </c>
      <c r="O54" s="73">
        <f t="shared" si="6"/>
        <v>33.333333333333336</v>
      </c>
      <c r="P54" s="74">
        <v>721.97724521568011</v>
      </c>
      <c r="Q54" s="62"/>
      <c r="R54" s="62"/>
    </row>
    <row r="55" spans="1:18" s="13" customFormat="1" ht="16.5" thickBot="1">
      <c r="E55" s="33"/>
      <c r="F55" s="33"/>
      <c r="G55" s="32"/>
      <c r="H55" s="31"/>
      <c r="I55" s="31"/>
      <c r="J55" s="31"/>
      <c r="K55" s="33"/>
      <c r="L55" s="61"/>
      <c r="M55" s="61"/>
      <c r="N55" s="61"/>
      <c r="O55" s="63"/>
      <c r="P55" s="64"/>
      <c r="Q55" s="62"/>
      <c r="R55" s="62"/>
    </row>
    <row r="56" spans="1:18" s="13" customFormat="1" ht="16.5" thickBot="1">
      <c r="A56" s="21" t="s">
        <v>97</v>
      </c>
      <c r="B56" s="49" t="s">
        <v>98</v>
      </c>
      <c r="C56" s="49" t="s">
        <v>106</v>
      </c>
      <c r="D56" s="49" t="s">
        <v>107</v>
      </c>
      <c r="E56" s="50">
        <v>32.049999999999997</v>
      </c>
      <c r="F56" s="50">
        <v>-112.86</v>
      </c>
      <c r="G56" s="51">
        <v>653.9251799029106</v>
      </c>
      <c r="H56" s="52">
        <v>0.26790000000000003</v>
      </c>
      <c r="I56" s="52">
        <v>0.11</v>
      </c>
      <c r="J56" s="52">
        <v>0.35105642000000004</v>
      </c>
      <c r="K56" s="50">
        <f>LOG10(H56/I56)</f>
        <v>0.38658002844998385</v>
      </c>
      <c r="L56" s="75" t="s">
        <v>76</v>
      </c>
      <c r="M56" s="75" t="s">
        <v>106</v>
      </c>
      <c r="N56" s="75" t="s">
        <v>76</v>
      </c>
      <c r="O56" s="76">
        <v>100</v>
      </c>
      <c r="P56" s="77">
        <v>653.9251799029106</v>
      </c>
      <c r="Q56" s="62"/>
      <c r="R56" s="62"/>
    </row>
    <row r="57" spans="1:18" s="13" customFormat="1" ht="16.5" thickBot="1">
      <c r="E57" s="39"/>
      <c r="F57" s="40"/>
      <c r="G57" s="32"/>
      <c r="H57" s="31"/>
      <c r="I57" s="31"/>
      <c r="J57" s="31"/>
      <c r="K57" s="33"/>
      <c r="L57" s="61"/>
      <c r="M57" s="61"/>
      <c r="N57" s="61"/>
      <c r="O57" s="63"/>
      <c r="P57" s="61"/>
      <c r="Q57" s="62"/>
      <c r="R57" s="62"/>
    </row>
    <row r="58" spans="1:18" s="13" customFormat="1">
      <c r="A58" s="18" t="s">
        <v>97</v>
      </c>
      <c r="B58" s="41" t="s">
        <v>98</v>
      </c>
      <c r="C58" s="41" t="s">
        <v>108</v>
      </c>
      <c r="D58" s="41" t="s">
        <v>109</v>
      </c>
      <c r="E58" s="53">
        <v>32</v>
      </c>
      <c r="F58" s="42">
        <v>-111.58</v>
      </c>
      <c r="G58" s="43">
        <v>749.72514016454056</v>
      </c>
      <c r="H58" s="44">
        <v>0.47</v>
      </c>
      <c r="I58" s="44">
        <v>0.37</v>
      </c>
      <c r="J58" s="44">
        <v>0.792906</v>
      </c>
      <c r="K58" s="42">
        <f t="shared" ref="K58:K71" si="7">LOG10(H58/I58)</f>
        <v>0.10389613386872243</v>
      </c>
      <c r="L58" s="68" t="s">
        <v>76</v>
      </c>
      <c r="M58" s="68" t="s">
        <v>110</v>
      </c>
      <c r="N58" s="68" t="s">
        <v>76</v>
      </c>
      <c r="O58" s="69">
        <f>11*100/14</f>
        <v>78.571428571428569</v>
      </c>
      <c r="P58" s="70">
        <f>AVERAGE(G58:G60,G62:G64,G66:G69,G71)</f>
        <v>737.66188070768408</v>
      </c>
      <c r="Q58" s="62"/>
      <c r="R58" s="62"/>
    </row>
    <row r="59" spans="1:18" s="13" customFormat="1">
      <c r="A59" s="19" t="s">
        <v>97</v>
      </c>
      <c r="B59" s="13" t="s">
        <v>98</v>
      </c>
      <c r="C59" s="13" t="s">
        <v>108</v>
      </c>
      <c r="D59" s="13" t="s">
        <v>111</v>
      </c>
      <c r="E59" s="54">
        <v>32</v>
      </c>
      <c r="F59" s="33">
        <v>-111.58</v>
      </c>
      <c r="G59" s="32">
        <v>770.64832994571691</v>
      </c>
      <c r="H59" s="31">
        <v>0.66</v>
      </c>
      <c r="I59" s="31">
        <v>0.59</v>
      </c>
      <c r="J59" s="31">
        <v>1.1838679999999999</v>
      </c>
      <c r="K59" s="33">
        <f t="shared" si="7"/>
        <v>4.8691923899724536E-2</v>
      </c>
      <c r="L59" s="61" t="s">
        <v>76</v>
      </c>
      <c r="M59" s="61" t="s">
        <v>112</v>
      </c>
      <c r="N59" s="61" t="s">
        <v>15</v>
      </c>
      <c r="O59" s="63">
        <f>1*100/14</f>
        <v>7.1428571428571432</v>
      </c>
      <c r="P59" s="71">
        <v>692.17603843900895</v>
      </c>
      <c r="Q59" s="62"/>
      <c r="R59" s="62"/>
    </row>
    <row r="60" spans="1:18" s="13" customFormat="1">
      <c r="A60" s="19" t="s">
        <v>97</v>
      </c>
      <c r="B60" s="13" t="s">
        <v>98</v>
      </c>
      <c r="C60" s="13" t="s">
        <v>108</v>
      </c>
      <c r="D60" s="13" t="s">
        <v>113</v>
      </c>
      <c r="E60" s="54">
        <v>32</v>
      </c>
      <c r="F60" s="33">
        <v>-111.58</v>
      </c>
      <c r="G60" s="32">
        <v>762.81280428412481</v>
      </c>
      <c r="H60" s="31">
        <v>0.61</v>
      </c>
      <c r="I60" s="31">
        <v>0.57999999999999996</v>
      </c>
      <c r="J60" s="31">
        <v>1.1288779999999998</v>
      </c>
      <c r="K60" s="33">
        <f t="shared" si="7"/>
        <v>2.1901841447829747E-2</v>
      </c>
      <c r="L60" s="61" t="s">
        <v>76</v>
      </c>
      <c r="M60" s="61" t="s">
        <v>114</v>
      </c>
      <c r="N60" s="61" t="s">
        <v>18</v>
      </c>
      <c r="O60" s="63">
        <f>2*100/14</f>
        <v>14.285714285714286</v>
      </c>
      <c r="P60" s="71">
        <f>AVERAGE(G61,G65)</f>
        <v>693.04361814409492</v>
      </c>
      <c r="Q60" s="62"/>
      <c r="R60" s="62"/>
    </row>
    <row r="61" spans="1:18" s="13" customFormat="1">
      <c r="A61" s="19" t="s">
        <v>97</v>
      </c>
      <c r="B61" s="13" t="s">
        <v>98</v>
      </c>
      <c r="C61" s="13" t="s">
        <v>108</v>
      </c>
      <c r="D61" s="13" t="s">
        <v>115</v>
      </c>
      <c r="E61" s="54">
        <v>32</v>
      </c>
      <c r="F61" s="33">
        <v>-111.58</v>
      </c>
      <c r="G61" s="32">
        <v>667.8739173249545</v>
      </c>
      <c r="H61" s="31">
        <v>0.11</v>
      </c>
      <c r="I61" s="31">
        <v>0.32</v>
      </c>
      <c r="J61" s="31">
        <v>0.41897800000000002</v>
      </c>
      <c r="K61" s="33">
        <f t="shared" si="7"/>
        <v>-0.46375729316168096</v>
      </c>
      <c r="L61" s="61" t="s">
        <v>18</v>
      </c>
      <c r="M61" s="61"/>
      <c r="N61" s="61"/>
      <c r="O61" s="63"/>
      <c r="P61" s="78"/>
      <c r="Q61" s="62"/>
      <c r="R61" s="62"/>
    </row>
    <row r="62" spans="1:18" s="13" customFormat="1">
      <c r="A62" s="19" t="s">
        <v>97</v>
      </c>
      <c r="B62" s="13" t="s">
        <v>98</v>
      </c>
      <c r="C62" s="13" t="s">
        <v>108</v>
      </c>
      <c r="D62" s="13" t="s">
        <v>116</v>
      </c>
      <c r="E62" s="54">
        <v>32</v>
      </c>
      <c r="F62" s="33">
        <v>-111.58</v>
      </c>
      <c r="G62" s="32">
        <v>745.4205703831351</v>
      </c>
      <c r="H62" s="31">
        <v>0.38</v>
      </c>
      <c r="I62" s="31">
        <v>0.37</v>
      </c>
      <c r="J62" s="31">
        <v>0.711924</v>
      </c>
      <c r="K62" s="33">
        <f t="shared" si="7"/>
        <v>1.1581872549815138E-2</v>
      </c>
      <c r="L62" s="61" t="s">
        <v>76</v>
      </c>
      <c r="M62" s="61"/>
      <c r="N62" s="61"/>
      <c r="O62" s="63"/>
      <c r="P62" s="78"/>
      <c r="Q62" s="62"/>
      <c r="R62" s="62"/>
    </row>
    <row r="63" spans="1:18" s="13" customFormat="1">
      <c r="A63" s="19" t="s">
        <v>97</v>
      </c>
      <c r="B63" s="13" t="s">
        <v>98</v>
      </c>
      <c r="C63" s="13" t="s">
        <v>108</v>
      </c>
      <c r="D63" s="13" t="s">
        <v>117</v>
      </c>
      <c r="E63" s="54">
        <v>32</v>
      </c>
      <c r="F63" s="33">
        <v>-111.58</v>
      </c>
      <c r="G63" s="32">
        <v>771.48410355778867</v>
      </c>
      <c r="H63" s="31">
        <v>0.71</v>
      </c>
      <c r="I63" s="31">
        <v>0.34</v>
      </c>
      <c r="J63" s="31">
        <v>0.97885800000000001</v>
      </c>
      <c r="K63" s="33">
        <f t="shared" si="7"/>
        <v>0.3197794316768201</v>
      </c>
      <c r="L63" s="61" t="s">
        <v>76</v>
      </c>
      <c r="M63" s="61"/>
      <c r="N63" s="61"/>
      <c r="O63" s="63"/>
      <c r="P63" s="78"/>
      <c r="Q63" s="62"/>
      <c r="R63" s="62"/>
    </row>
    <row r="64" spans="1:18" s="13" customFormat="1">
      <c r="A64" s="19" t="s">
        <v>97</v>
      </c>
      <c r="B64" s="13" t="s">
        <v>98</v>
      </c>
      <c r="C64" s="13" t="s">
        <v>108</v>
      </c>
      <c r="D64" s="13" t="s">
        <v>118</v>
      </c>
      <c r="E64" s="54">
        <v>32</v>
      </c>
      <c r="F64" s="33">
        <v>-111.58</v>
      </c>
      <c r="G64" s="32">
        <v>742.51502404620919</v>
      </c>
      <c r="H64" s="31">
        <v>0.51</v>
      </c>
      <c r="I64" s="31">
        <v>0.23</v>
      </c>
      <c r="J64" s="31">
        <v>0.68889800000000001</v>
      </c>
      <c r="K64" s="33">
        <f t="shared" si="7"/>
        <v>0.34584234008034348</v>
      </c>
      <c r="L64" s="61" t="s">
        <v>76</v>
      </c>
      <c r="M64" s="61"/>
      <c r="N64" s="61"/>
      <c r="O64" s="63"/>
      <c r="P64" s="78"/>
      <c r="Q64" s="62"/>
      <c r="R64" s="62"/>
    </row>
    <row r="65" spans="1:18" s="13" customFormat="1">
      <c r="A65" s="19" t="s">
        <v>97</v>
      </c>
      <c r="B65" s="13" t="s">
        <v>98</v>
      </c>
      <c r="C65" s="13" t="s">
        <v>108</v>
      </c>
      <c r="D65" s="13" t="s">
        <v>119</v>
      </c>
      <c r="E65" s="54">
        <v>32</v>
      </c>
      <c r="F65" s="33">
        <v>-111.58</v>
      </c>
      <c r="G65" s="32">
        <v>718.21331896323534</v>
      </c>
      <c r="H65" s="31">
        <v>0.06</v>
      </c>
      <c r="I65" s="31">
        <v>0.49</v>
      </c>
      <c r="J65" s="31">
        <v>0.54398800000000003</v>
      </c>
      <c r="K65" s="33">
        <f t="shared" si="7"/>
        <v>-0.91204482964486999</v>
      </c>
      <c r="L65" s="61" t="s">
        <v>18</v>
      </c>
      <c r="M65" s="61"/>
      <c r="N65" s="61"/>
      <c r="O65" s="63"/>
      <c r="P65" s="78"/>
      <c r="Q65" s="62"/>
      <c r="R65" s="62"/>
    </row>
    <row r="66" spans="1:18" s="13" customFormat="1">
      <c r="A66" s="19" t="s">
        <v>97</v>
      </c>
      <c r="B66" s="13" t="s">
        <v>98</v>
      </c>
      <c r="C66" s="13" t="s">
        <v>108</v>
      </c>
      <c r="D66" s="13" t="s">
        <v>120</v>
      </c>
      <c r="E66" s="54">
        <v>32</v>
      </c>
      <c r="F66" s="33">
        <v>-111.58</v>
      </c>
      <c r="G66" s="32">
        <v>772.01407441286881</v>
      </c>
      <c r="H66" s="31">
        <v>0.59</v>
      </c>
      <c r="I66" s="31">
        <v>0.28000000000000003</v>
      </c>
      <c r="J66" s="31">
        <v>0.81088199999999999</v>
      </c>
      <c r="K66" s="33">
        <f t="shared" si="7"/>
        <v>0.32369398029992491</v>
      </c>
      <c r="L66" s="61" t="s">
        <v>76</v>
      </c>
      <c r="M66" s="61"/>
      <c r="N66" s="61"/>
      <c r="O66" s="63"/>
      <c r="P66" s="78"/>
      <c r="Q66" s="62"/>
      <c r="R66" s="62"/>
    </row>
    <row r="67" spans="1:18" s="13" customFormat="1">
      <c r="A67" s="19" t="s">
        <v>97</v>
      </c>
      <c r="B67" s="13" t="s">
        <v>98</v>
      </c>
      <c r="C67" s="13" t="s">
        <v>108</v>
      </c>
      <c r="D67" s="13" t="s">
        <v>121</v>
      </c>
      <c r="E67" s="54">
        <v>32</v>
      </c>
      <c r="F67" s="33">
        <v>-111.58</v>
      </c>
      <c r="G67" s="32">
        <v>665.0970812868436</v>
      </c>
      <c r="H67" s="31">
        <v>0.42</v>
      </c>
      <c r="I67" s="31">
        <v>0.14000000000000001</v>
      </c>
      <c r="J67" s="31">
        <v>0.51791600000000004</v>
      </c>
      <c r="K67" s="33">
        <f t="shared" si="7"/>
        <v>0.47712125471966238</v>
      </c>
      <c r="L67" s="61" t="s">
        <v>76</v>
      </c>
      <c r="M67" s="61"/>
      <c r="N67" s="61"/>
      <c r="O67" s="63"/>
      <c r="P67" s="78"/>
      <c r="Q67" s="62"/>
      <c r="R67" s="62"/>
    </row>
    <row r="68" spans="1:18" s="13" customFormat="1">
      <c r="A68" s="19" t="s">
        <v>97</v>
      </c>
      <c r="B68" s="13" t="s">
        <v>98</v>
      </c>
      <c r="C68" s="13" t="s">
        <v>108</v>
      </c>
      <c r="D68" s="13" t="s">
        <v>122</v>
      </c>
      <c r="E68" s="54">
        <v>32</v>
      </c>
      <c r="F68" s="33">
        <v>-111.58</v>
      </c>
      <c r="G68" s="32">
        <v>712.53918961863531</v>
      </c>
      <c r="H68" s="31">
        <v>0.3</v>
      </c>
      <c r="I68" s="31">
        <v>0.21</v>
      </c>
      <c r="J68" s="31">
        <v>0.47994000000000003</v>
      </c>
      <c r="K68" s="33">
        <f t="shared" si="7"/>
        <v>0.15490195998574319</v>
      </c>
      <c r="L68" s="61" t="s">
        <v>76</v>
      </c>
      <c r="M68" s="61"/>
      <c r="N68" s="61"/>
      <c r="O68" s="63"/>
      <c r="P68" s="78"/>
      <c r="Q68" s="62"/>
      <c r="R68" s="62"/>
    </row>
    <row r="69" spans="1:18" s="13" customFormat="1">
      <c r="A69" s="19" t="s">
        <v>97</v>
      </c>
      <c r="B69" s="13" t="s">
        <v>98</v>
      </c>
      <c r="C69" s="13" t="s">
        <v>108</v>
      </c>
      <c r="D69" s="13" t="s">
        <v>123</v>
      </c>
      <c r="E69" s="54">
        <v>32</v>
      </c>
      <c r="F69" s="33">
        <v>-111.58</v>
      </c>
      <c r="G69" s="32">
        <v>726.17141418968356</v>
      </c>
      <c r="H69" s="31">
        <v>0.42</v>
      </c>
      <c r="I69" s="31">
        <v>0.28999999999999998</v>
      </c>
      <c r="J69" s="31">
        <v>0.66791599999999995</v>
      </c>
      <c r="K69" s="33">
        <f t="shared" si="7"/>
        <v>0.16085129249894436</v>
      </c>
      <c r="L69" s="61" t="s">
        <v>76</v>
      </c>
      <c r="M69" s="61"/>
      <c r="N69" s="61"/>
      <c r="O69" s="63"/>
      <c r="P69" s="78"/>
      <c r="Q69" s="62"/>
      <c r="R69" s="62"/>
    </row>
    <row r="70" spans="1:18" s="13" customFormat="1">
      <c r="A70" s="19" t="s">
        <v>97</v>
      </c>
      <c r="B70" s="13" t="s">
        <v>98</v>
      </c>
      <c r="C70" s="13" t="s">
        <v>108</v>
      </c>
      <c r="D70" s="13" t="s">
        <v>124</v>
      </c>
      <c r="E70" s="54">
        <v>32</v>
      </c>
      <c r="F70" s="33">
        <v>-111.58</v>
      </c>
      <c r="G70" s="32">
        <v>692.17603843900895</v>
      </c>
      <c r="H70" s="31">
        <v>0.11</v>
      </c>
      <c r="I70" s="31">
        <v>0.22</v>
      </c>
      <c r="J70" s="31">
        <v>0.31897799999999998</v>
      </c>
      <c r="K70" s="33">
        <f t="shared" si="7"/>
        <v>-0.3010299956639812</v>
      </c>
      <c r="L70" s="61" t="s">
        <v>15</v>
      </c>
      <c r="M70" s="61"/>
      <c r="N70" s="61"/>
      <c r="O70" s="63"/>
      <c r="P70" s="78"/>
      <c r="Q70" s="62"/>
      <c r="R70" s="62"/>
    </row>
    <row r="71" spans="1:18" s="13" customFormat="1" ht="16.5" thickBot="1">
      <c r="A71" s="20" t="s">
        <v>97</v>
      </c>
      <c r="B71" s="45" t="s">
        <v>98</v>
      </c>
      <c r="C71" s="45" t="s">
        <v>108</v>
      </c>
      <c r="D71" s="45" t="s">
        <v>125</v>
      </c>
      <c r="E71" s="55">
        <v>32</v>
      </c>
      <c r="F71" s="46">
        <v>-111.58</v>
      </c>
      <c r="G71" s="47">
        <v>695.85295589497764</v>
      </c>
      <c r="H71" s="48">
        <v>0.14000000000000001</v>
      </c>
      <c r="I71" s="48">
        <v>0.12</v>
      </c>
      <c r="J71" s="48">
        <v>0.24597200000000002</v>
      </c>
      <c r="K71" s="46">
        <f t="shared" si="7"/>
        <v>6.6946789630613221E-2</v>
      </c>
      <c r="L71" s="72" t="s">
        <v>76</v>
      </c>
      <c r="M71" s="72"/>
      <c r="N71" s="72"/>
      <c r="O71" s="73"/>
      <c r="P71" s="79"/>
      <c r="Q71" s="62"/>
      <c r="R71" s="62"/>
    </row>
    <row r="72" spans="1:18" s="13" customFormat="1" ht="16.5" thickBot="1">
      <c r="E72" s="39"/>
      <c r="F72" s="33"/>
      <c r="G72" s="32"/>
      <c r="H72" s="31"/>
      <c r="I72" s="31"/>
      <c r="J72" s="31"/>
      <c r="K72" s="33"/>
      <c r="L72" s="61"/>
      <c r="M72" s="61"/>
      <c r="N72" s="61"/>
      <c r="O72" s="63"/>
      <c r="P72" s="61"/>
      <c r="Q72" s="62"/>
      <c r="R72" s="62"/>
    </row>
    <row r="73" spans="1:18" s="13" customFormat="1">
      <c r="A73" s="18" t="s">
        <v>97</v>
      </c>
      <c r="B73" s="41" t="s">
        <v>98</v>
      </c>
      <c r="C73" s="41" t="s">
        <v>126</v>
      </c>
      <c r="D73" s="41" t="s">
        <v>127</v>
      </c>
      <c r="E73" s="56">
        <v>31.94</v>
      </c>
      <c r="F73" s="42">
        <v>-112.77</v>
      </c>
      <c r="G73" s="43">
        <v>747.78307017534883</v>
      </c>
      <c r="H73" s="44">
        <v>0.7702</v>
      </c>
      <c r="I73" s="44">
        <v>0.18</v>
      </c>
      <c r="J73" s="44">
        <v>0.8730259600000001</v>
      </c>
      <c r="K73" s="42">
        <f>LOG10(H73/I73)</f>
        <v>0.63133100918340623</v>
      </c>
      <c r="L73" s="68" t="s">
        <v>21</v>
      </c>
      <c r="M73" s="68" t="s">
        <v>128</v>
      </c>
      <c r="N73" s="68" t="s">
        <v>21</v>
      </c>
      <c r="O73" s="69">
        <v>50</v>
      </c>
      <c r="P73" s="70">
        <v>747.78307017534883</v>
      </c>
      <c r="Q73" s="62"/>
      <c r="R73" s="62"/>
    </row>
    <row r="74" spans="1:18" s="13" customFormat="1" ht="16.5" thickBot="1">
      <c r="A74" s="20" t="s">
        <v>97</v>
      </c>
      <c r="B74" s="45" t="s">
        <v>98</v>
      </c>
      <c r="C74" s="45" t="s">
        <v>126</v>
      </c>
      <c r="D74" s="45" t="s">
        <v>129</v>
      </c>
      <c r="E74" s="57">
        <v>31.94</v>
      </c>
      <c r="F74" s="46">
        <v>-112.77</v>
      </c>
      <c r="G74" s="47">
        <v>709.13435807768701</v>
      </c>
      <c r="H74" s="48">
        <v>0.28349999999999997</v>
      </c>
      <c r="I74" s="48">
        <v>0.15</v>
      </c>
      <c r="J74" s="48">
        <v>0.40509329999999999</v>
      </c>
      <c r="K74" s="46">
        <f>LOG10(H74/I74)</f>
        <v>0.27646180417324412</v>
      </c>
      <c r="L74" s="72" t="s">
        <v>76</v>
      </c>
      <c r="M74" s="72" t="s">
        <v>130</v>
      </c>
      <c r="N74" s="72" t="s">
        <v>76</v>
      </c>
      <c r="O74" s="73">
        <v>50</v>
      </c>
      <c r="P74" s="74">
        <v>709.13435807768701</v>
      </c>
      <c r="Q74" s="62"/>
      <c r="R74" s="62"/>
    </row>
    <row r="75" spans="1:18" s="13" customFormat="1" ht="16.5" thickBot="1">
      <c r="E75" s="39"/>
      <c r="F75" s="33"/>
      <c r="G75" s="32"/>
      <c r="H75" s="31"/>
      <c r="I75" s="31"/>
      <c r="J75" s="31"/>
      <c r="K75" s="33"/>
      <c r="L75" s="61"/>
      <c r="M75" s="61"/>
      <c r="N75" s="61"/>
      <c r="O75" s="63"/>
      <c r="P75" s="61"/>
      <c r="Q75" s="62"/>
      <c r="R75" s="62"/>
    </row>
    <row r="76" spans="1:18" s="13" customFormat="1" ht="16.5" thickBot="1">
      <c r="A76" s="21" t="s">
        <v>97</v>
      </c>
      <c r="B76" s="49" t="s">
        <v>98</v>
      </c>
      <c r="C76" s="49" t="s">
        <v>131</v>
      </c>
      <c r="D76" s="49" t="s">
        <v>132</v>
      </c>
      <c r="E76" s="58">
        <v>31.59</v>
      </c>
      <c r="F76" s="50">
        <v>-111.87</v>
      </c>
      <c r="G76" s="51">
        <v>721.7404627537619</v>
      </c>
      <c r="H76" s="52">
        <v>0.66900000000000004</v>
      </c>
      <c r="I76" s="52">
        <v>0.1</v>
      </c>
      <c r="J76" s="52">
        <v>0.7019662000000001</v>
      </c>
      <c r="K76" s="50">
        <f>LOG10(H76/I76)</f>
        <v>0.82542611776782315</v>
      </c>
      <c r="L76" s="75" t="s">
        <v>21</v>
      </c>
      <c r="M76" s="75" t="s">
        <v>131</v>
      </c>
      <c r="N76" s="75" t="s">
        <v>21</v>
      </c>
      <c r="O76" s="76">
        <v>100</v>
      </c>
      <c r="P76" s="77">
        <v>721.7404627537619</v>
      </c>
      <c r="Q76" s="62"/>
      <c r="R76" s="62"/>
    </row>
    <row r="77" spans="1:18" s="13" customFormat="1" ht="16.5" thickBot="1">
      <c r="E77" s="39"/>
      <c r="F77" s="33"/>
      <c r="G77" s="32"/>
      <c r="H77" s="31"/>
      <c r="I77" s="31"/>
      <c r="J77" s="31"/>
      <c r="K77" s="33"/>
      <c r="L77" s="61"/>
      <c r="M77" s="61"/>
      <c r="N77" s="61"/>
      <c r="O77" s="63"/>
      <c r="P77" s="61"/>
      <c r="Q77" s="62"/>
      <c r="R77" s="62"/>
    </row>
    <row r="78" spans="1:18" s="13" customFormat="1">
      <c r="A78" s="18" t="s">
        <v>97</v>
      </c>
      <c r="B78" s="41" t="s">
        <v>98</v>
      </c>
      <c r="C78" s="41" t="s">
        <v>133</v>
      </c>
      <c r="D78" s="41" t="s">
        <v>134</v>
      </c>
      <c r="E78" s="42">
        <v>31.96</v>
      </c>
      <c r="F78" s="42">
        <v>-112.85</v>
      </c>
      <c r="G78" s="43">
        <v>706.59992730201691</v>
      </c>
      <c r="H78" s="44">
        <v>0.24030000000000001</v>
      </c>
      <c r="I78" s="44">
        <v>0.27</v>
      </c>
      <c r="J78" s="44">
        <v>0.48622194000000007</v>
      </c>
      <c r="K78" s="42">
        <f t="shared" ref="K78:K85" si="8">LOG10(H78/I78)</f>
        <v>-5.0609993355087209E-2</v>
      </c>
      <c r="L78" s="68" t="s">
        <v>15</v>
      </c>
      <c r="M78" s="68" t="s">
        <v>135</v>
      </c>
      <c r="N78" s="68" t="s">
        <v>21</v>
      </c>
      <c r="O78" s="69">
        <f>2*100/8</f>
        <v>25</v>
      </c>
      <c r="P78" s="70">
        <f>AVERAGE(G80,G84)</f>
        <v>715.04454399336203</v>
      </c>
      <c r="Q78" s="62"/>
      <c r="R78" s="62"/>
    </row>
    <row r="79" spans="1:18" s="13" customFormat="1">
      <c r="A79" s="19" t="s">
        <v>97</v>
      </c>
      <c r="B79" s="13" t="s">
        <v>98</v>
      </c>
      <c r="C79" s="13" t="s">
        <v>133</v>
      </c>
      <c r="D79" s="13" t="s">
        <v>136</v>
      </c>
      <c r="E79" s="33">
        <v>31.96</v>
      </c>
      <c r="F79" s="33">
        <v>-112.85</v>
      </c>
      <c r="G79" s="32">
        <v>762.85612051476221</v>
      </c>
      <c r="H79" s="31">
        <v>0.66189999999999993</v>
      </c>
      <c r="I79" s="31">
        <v>0.71</v>
      </c>
      <c r="J79" s="31">
        <v>1.3055776199999998</v>
      </c>
      <c r="K79" s="33">
        <f t="shared" si="8"/>
        <v>-3.0465967630871588E-2</v>
      </c>
      <c r="L79" s="61" t="s">
        <v>76</v>
      </c>
      <c r="M79" s="61" t="s">
        <v>137</v>
      </c>
      <c r="N79" s="61" t="s">
        <v>76</v>
      </c>
      <c r="O79" s="63">
        <f>4*100/8</f>
        <v>50</v>
      </c>
      <c r="P79" s="71">
        <f>AVERAGE(G79,G81,G83,G85)</f>
        <v>736.18747731815824</v>
      </c>
      <c r="Q79" s="62"/>
      <c r="R79" s="62"/>
    </row>
    <row r="80" spans="1:18" s="13" customFormat="1">
      <c r="A80" s="19" t="s">
        <v>97</v>
      </c>
      <c r="B80" s="13" t="s">
        <v>98</v>
      </c>
      <c r="C80" s="13" t="s">
        <v>133</v>
      </c>
      <c r="D80" s="13" t="s">
        <v>138</v>
      </c>
      <c r="E80" s="33">
        <v>31.96</v>
      </c>
      <c r="F80" s="33">
        <v>-112.85</v>
      </c>
      <c r="G80" s="32">
        <v>694.47519868088011</v>
      </c>
      <c r="H80" s="31">
        <v>0.28339999999999999</v>
      </c>
      <c r="I80" s="31">
        <v>0.06</v>
      </c>
      <c r="J80" s="31">
        <v>0.31500331999999998</v>
      </c>
      <c r="K80" s="33">
        <f t="shared" si="8"/>
        <v>0.67424859552779803</v>
      </c>
      <c r="L80" s="61" t="s">
        <v>21</v>
      </c>
      <c r="M80" s="61" t="s">
        <v>139</v>
      </c>
      <c r="N80" s="61" t="s">
        <v>15</v>
      </c>
      <c r="O80" s="63">
        <f t="shared" ref="O80" si="9">2*100/8</f>
        <v>25</v>
      </c>
      <c r="P80" s="71">
        <f>AVERAGE(G78,G82)</f>
        <v>690.80612442773645</v>
      </c>
      <c r="Q80" s="62"/>
      <c r="R80" s="62"/>
    </row>
    <row r="81" spans="1:18" s="13" customFormat="1">
      <c r="A81" s="19" t="s">
        <v>97</v>
      </c>
      <c r="B81" s="13" t="s">
        <v>98</v>
      </c>
      <c r="C81" s="13" t="s">
        <v>133</v>
      </c>
      <c r="D81" s="13" t="s">
        <v>140</v>
      </c>
      <c r="E81" s="33">
        <v>31.96</v>
      </c>
      <c r="F81" s="33">
        <v>-112.85</v>
      </c>
      <c r="G81" s="32">
        <v>772.33112077344902</v>
      </c>
      <c r="H81" s="31">
        <v>0.41809999999999997</v>
      </c>
      <c r="I81" s="31">
        <v>0.28999999999999998</v>
      </c>
      <c r="J81" s="31">
        <v>0.66620637999999999</v>
      </c>
      <c r="K81" s="33">
        <f t="shared" si="8"/>
        <v>0.1588821696514586</v>
      </c>
      <c r="L81" s="61" t="s">
        <v>76</v>
      </c>
      <c r="M81" s="61"/>
      <c r="N81" s="61"/>
      <c r="O81" s="63"/>
      <c r="P81" s="78"/>
      <c r="Q81" s="62"/>
      <c r="R81" s="62"/>
    </row>
    <row r="82" spans="1:18" s="13" customFormat="1">
      <c r="A82" s="19" t="s">
        <v>97</v>
      </c>
      <c r="B82" s="13" t="s">
        <v>98</v>
      </c>
      <c r="C82" s="13" t="s">
        <v>133</v>
      </c>
      <c r="D82" s="13" t="s">
        <v>141</v>
      </c>
      <c r="E82" s="33">
        <v>31.96</v>
      </c>
      <c r="F82" s="33">
        <v>-112.85</v>
      </c>
      <c r="G82" s="32">
        <v>675.0123215534561</v>
      </c>
      <c r="H82" s="31">
        <v>8.1299999999999983E-2</v>
      </c>
      <c r="I82" s="31">
        <v>0.17</v>
      </c>
      <c r="J82" s="31">
        <v>0.24315374000000001</v>
      </c>
      <c r="K82" s="33">
        <f t="shared" si="8"/>
        <v>-0.3203583757842059</v>
      </c>
      <c r="L82" s="61" t="s">
        <v>15</v>
      </c>
      <c r="M82" s="61"/>
      <c r="N82" s="61"/>
      <c r="O82" s="63"/>
      <c r="P82" s="78"/>
      <c r="Q82" s="62"/>
      <c r="R82" s="62"/>
    </row>
    <row r="83" spans="1:18" s="13" customFormat="1">
      <c r="A83" s="19" t="s">
        <v>97</v>
      </c>
      <c r="B83" s="13" t="s">
        <v>98</v>
      </c>
      <c r="C83" s="13" t="s">
        <v>133</v>
      </c>
      <c r="D83" s="13" t="s">
        <v>142</v>
      </c>
      <c r="E83" s="33">
        <v>31.96</v>
      </c>
      <c r="F83" s="33">
        <v>-112.85</v>
      </c>
      <c r="G83" s="32">
        <v>688.47206997043054</v>
      </c>
      <c r="H83" s="31">
        <v>0.37890000000000001</v>
      </c>
      <c r="I83" s="31">
        <v>0.01</v>
      </c>
      <c r="J83" s="31">
        <v>0.35093422000000002</v>
      </c>
      <c r="K83" s="33">
        <f t="shared" si="8"/>
        <v>1.5785246052749933</v>
      </c>
      <c r="L83" s="61" t="s">
        <v>76</v>
      </c>
      <c r="M83" s="61"/>
      <c r="N83" s="61"/>
      <c r="O83" s="63"/>
      <c r="P83" s="78"/>
      <c r="Q83" s="62"/>
      <c r="R83" s="62"/>
    </row>
    <row r="84" spans="1:18" s="13" customFormat="1">
      <c r="A84" s="19" t="s">
        <v>97</v>
      </c>
      <c r="B84" s="13" t="s">
        <v>98</v>
      </c>
      <c r="C84" s="13" t="s">
        <v>133</v>
      </c>
      <c r="D84" s="13" t="s">
        <v>143</v>
      </c>
      <c r="E84" s="33">
        <v>31.96</v>
      </c>
      <c r="F84" s="33">
        <v>-112.85</v>
      </c>
      <c r="G84" s="32">
        <v>735.61388930584394</v>
      </c>
      <c r="H84" s="31">
        <v>0.46899999999999997</v>
      </c>
      <c r="I84" s="31">
        <v>0.1</v>
      </c>
      <c r="J84" s="31">
        <v>0.52200619999999998</v>
      </c>
      <c r="K84" s="33">
        <f t="shared" si="8"/>
        <v>0.67117284271508326</v>
      </c>
      <c r="L84" s="61" t="s">
        <v>21</v>
      </c>
      <c r="M84" s="61"/>
      <c r="N84" s="61"/>
      <c r="O84" s="63"/>
      <c r="P84" s="78"/>
      <c r="Q84" s="62"/>
      <c r="R84" s="62"/>
    </row>
    <row r="85" spans="1:18" s="13" customFormat="1" ht="16.5" thickBot="1">
      <c r="A85" s="20" t="s">
        <v>97</v>
      </c>
      <c r="B85" s="45" t="s">
        <v>98</v>
      </c>
      <c r="C85" s="45" t="s">
        <v>133</v>
      </c>
      <c r="D85" s="45" t="s">
        <v>144</v>
      </c>
      <c r="E85" s="46">
        <v>31.96</v>
      </c>
      <c r="F85" s="46">
        <v>-112.85</v>
      </c>
      <c r="G85" s="47">
        <v>721.09059801399167</v>
      </c>
      <c r="H85" s="48">
        <v>0.16010000000000002</v>
      </c>
      <c r="I85" s="48">
        <v>0.09</v>
      </c>
      <c r="J85" s="48">
        <v>0.23405798000000003</v>
      </c>
      <c r="K85" s="46">
        <f t="shared" si="8"/>
        <v>0.25014882247997494</v>
      </c>
      <c r="L85" s="72" t="s">
        <v>76</v>
      </c>
      <c r="M85" s="72"/>
      <c r="N85" s="72"/>
      <c r="O85" s="73"/>
      <c r="P85" s="79"/>
      <c r="Q85" s="62"/>
      <c r="R85" s="62"/>
    </row>
    <row r="86" spans="1:18" s="13" customFormat="1" ht="16.5" thickBot="1">
      <c r="E86" s="33"/>
      <c r="F86" s="33"/>
      <c r="G86" s="32"/>
      <c r="H86" s="31"/>
      <c r="I86" s="31"/>
      <c r="J86" s="31"/>
      <c r="K86" s="33"/>
      <c r="L86" s="61"/>
      <c r="M86" s="61"/>
      <c r="N86" s="61"/>
      <c r="O86" s="63"/>
      <c r="P86" s="61"/>
      <c r="Q86" s="62"/>
      <c r="R86" s="62"/>
    </row>
    <row r="87" spans="1:18" s="13" customFormat="1">
      <c r="A87" s="18" t="s">
        <v>97</v>
      </c>
      <c r="B87" s="41" t="s">
        <v>98</v>
      </c>
      <c r="C87" s="41" t="s">
        <v>145</v>
      </c>
      <c r="D87" s="41" t="s">
        <v>146</v>
      </c>
      <c r="E87" s="42">
        <v>32.11</v>
      </c>
      <c r="F87" s="42">
        <v>-112.76</v>
      </c>
      <c r="G87" s="43">
        <v>730.81596405494668</v>
      </c>
      <c r="H87" s="44">
        <v>0.33919999999999995</v>
      </c>
      <c r="I87" s="44">
        <v>0.28000000000000003</v>
      </c>
      <c r="J87" s="44">
        <v>0.58521215999999998</v>
      </c>
      <c r="K87" s="42">
        <f t="shared" ref="K87:K97" si="10">LOG10(H87/I87)</f>
        <v>8.3297812242456873E-2</v>
      </c>
      <c r="L87" s="68" t="s">
        <v>76</v>
      </c>
      <c r="M87" s="68" t="s">
        <v>147</v>
      </c>
      <c r="N87" s="68" t="s">
        <v>21</v>
      </c>
      <c r="O87" s="69">
        <f>6*100/11</f>
        <v>54.545454545454547</v>
      </c>
      <c r="P87" s="70">
        <f>AVERAGE(G91,G94:G97)</f>
        <v>689.11813003016471</v>
      </c>
      <c r="Q87" s="62"/>
      <c r="R87" s="62"/>
    </row>
    <row r="88" spans="1:18" s="13" customFormat="1">
      <c r="A88" s="19" t="s">
        <v>97</v>
      </c>
      <c r="B88" s="13" t="s">
        <v>98</v>
      </c>
      <c r="C88" s="13" t="s">
        <v>145</v>
      </c>
      <c r="D88" s="13" t="s">
        <v>148</v>
      </c>
      <c r="E88" s="33">
        <v>32.11</v>
      </c>
      <c r="F88" s="33">
        <v>-112.76</v>
      </c>
      <c r="G88" s="32">
        <v>707.34156263763964</v>
      </c>
      <c r="H88" s="31">
        <v>0.27459999999999996</v>
      </c>
      <c r="I88" s="31">
        <v>0.14000000000000001</v>
      </c>
      <c r="J88" s="31">
        <v>0.38708507999999997</v>
      </c>
      <c r="K88" s="33">
        <f t="shared" si="10"/>
        <v>0.29257249722249817</v>
      </c>
      <c r="L88" s="61" t="s">
        <v>76</v>
      </c>
      <c r="M88" s="61" t="s">
        <v>149</v>
      </c>
      <c r="N88" s="61" t="s">
        <v>76</v>
      </c>
      <c r="O88" s="63">
        <f>5*100/11</f>
        <v>45.454545454545453</v>
      </c>
      <c r="P88" s="71">
        <f>AVERAGE(G87:G90,G92:G93)</f>
        <v>710.12225377465654</v>
      </c>
      <c r="Q88" s="62"/>
      <c r="R88" s="62"/>
    </row>
    <row r="89" spans="1:18" s="13" customFormat="1">
      <c r="A89" s="19" t="s">
        <v>97</v>
      </c>
      <c r="B89" s="13" t="s">
        <v>98</v>
      </c>
      <c r="C89" s="13" t="s">
        <v>145</v>
      </c>
      <c r="D89" s="13" t="s">
        <v>150</v>
      </c>
      <c r="E89" s="33">
        <v>32.11</v>
      </c>
      <c r="F89" s="33">
        <v>-112.76</v>
      </c>
      <c r="G89" s="32">
        <v>698.51110633784344</v>
      </c>
      <c r="H89" s="31">
        <v>0.37459999999999999</v>
      </c>
      <c r="I89" s="31">
        <v>0.14000000000000001</v>
      </c>
      <c r="J89" s="31">
        <v>0.47706508000000003</v>
      </c>
      <c r="K89" s="33">
        <f t="shared" si="10"/>
        <v>0.42743973736098045</v>
      </c>
      <c r="L89" s="61" t="s">
        <v>76</v>
      </c>
      <c r="M89" s="61"/>
      <c r="N89" s="61"/>
      <c r="O89" s="63"/>
      <c r="P89" s="78"/>
      <c r="Q89" s="62"/>
      <c r="R89" s="62"/>
    </row>
    <row r="90" spans="1:18" s="13" customFormat="1">
      <c r="A90" s="19" t="s">
        <v>97</v>
      </c>
      <c r="B90" s="13" t="s">
        <v>98</v>
      </c>
      <c r="C90" s="13" t="s">
        <v>145</v>
      </c>
      <c r="D90" s="13" t="s">
        <v>151</v>
      </c>
      <c r="E90" s="33">
        <v>32.11</v>
      </c>
      <c r="F90" s="33">
        <v>-112.76</v>
      </c>
      <c r="G90" s="32">
        <v>733.37301172137541</v>
      </c>
      <c r="H90" s="31">
        <v>0.3024</v>
      </c>
      <c r="I90" s="31">
        <v>0.16</v>
      </c>
      <c r="J90" s="31">
        <v>0.43209952000000007</v>
      </c>
      <c r="K90" s="33">
        <f t="shared" si="10"/>
        <v>0.27646180417324412</v>
      </c>
      <c r="L90" s="61" t="s">
        <v>76</v>
      </c>
      <c r="M90" s="61"/>
      <c r="N90" s="61"/>
      <c r="O90" s="63"/>
      <c r="P90" s="78"/>
      <c r="Q90" s="62"/>
      <c r="R90" s="62"/>
    </row>
    <row r="91" spans="1:18" s="13" customFormat="1">
      <c r="A91" s="19" t="s">
        <v>97</v>
      </c>
      <c r="B91" s="13" t="s">
        <v>98</v>
      </c>
      <c r="C91" s="13" t="s">
        <v>145</v>
      </c>
      <c r="D91" s="13" t="s">
        <v>152</v>
      </c>
      <c r="E91" s="33">
        <v>32.11</v>
      </c>
      <c r="F91" s="33">
        <v>-112.76</v>
      </c>
      <c r="G91" s="32">
        <v>672.72077144436253</v>
      </c>
      <c r="H91" s="31">
        <v>0.37790000000000001</v>
      </c>
      <c r="I91" s="31">
        <v>0.11</v>
      </c>
      <c r="J91" s="31">
        <v>0.45003441999999999</v>
      </c>
      <c r="K91" s="33">
        <f t="shared" si="10"/>
        <v>0.53598420675878944</v>
      </c>
      <c r="L91" s="61" t="s">
        <v>21</v>
      </c>
      <c r="M91" s="61"/>
      <c r="N91" s="61"/>
      <c r="O91" s="63"/>
      <c r="P91" s="78"/>
      <c r="Q91" s="62"/>
      <c r="R91" s="62"/>
    </row>
    <row r="92" spans="1:18" s="13" customFormat="1">
      <c r="A92" s="19" t="s">
        <v>97</v>
      </c>
      <c r="B92" s="13" t="s">
        <v>98</v>
      </c>
      <c r="C92" s="13" t="s">
        <v>145</v>
      </c>
      <c r="D92" s="13" t="s">
        <v>153</v>
      </c>
      <c r="E92" s="33">
        <v>32.11</v>
      </c>
      <c r="F92" s="33">
        <v>-112.76</v>
      </c>
      <c r="G92" s="32">
        <v>673.42653327084997</v>
      </c>
      <c r="H92" s="31">
        <v>0.25469999999999998</v>
      </c>
      <c r="I92" s="31">
        <v>0.23</v>
      </c>
      <c r="J92" s="31">
        <v>0.45917905999999997</v>
      </c>
      <c r="K92" s="33">
        <f t="shared" si="10"/>
        <v>4.4301108946022225E-2</v>
      </c>
      <c r="L92" s="61" t="s">
        <v>76</v>
      </c>
      <c r="M92" s="61"/>
      <c r="N92" s="61"/>
      <c r="O92" s="63"/>
      <c r="P92" s="78"/>
      <c r="Q92" s="62"/>
      <c r="R92" s="62"/>
    </row>
    <row r="93" spans="1:18" s="13" customFormat="1">
      <c r="A93" s="19" t="s">
        <v>97</v>
      </c>
      <c r="B93" s="13" t="s">
        <v>98</v>
      </c>
      <c r="C93" s="13" t="s">
        <v>145</v>
      </c>
      <c r="D93" s="13" t="s">
        <v>154</v>
      </c>
      <c r="E93" s="33">
        <v>32.11</v>
      </c>
      <c r="F93" s="33">
        <v>-112.76</v>
      </c>
      <c r="G93" s="32">
        <v>717.265344625284</v>
      </c>
      <c r="H93" s="31">
        <v>0.26790000000000003</v>
      </c>
      <c r="I93" s="31">
        <v>0.11</v>
      </c>
      <c r="J93" s="31">
        <v>0.35105642000000004</v>
      </c>
      <c r="K93" s="33">
        <f t="shared" si="10"/>
        <v>0.38658002844998385</v>
      </c>
      <c r="L93" s="61" t="s">
        <v>76</v>
      </c>
      <c r="M93" s="61"/>
      <c r="N93" s="61"/>
      <c r="O93" s="63"/>
      <c r="P93" s="78"/>
      <c r="Q93" s="62"/>
      <c r="R93" s="62"/>
    </row>
    <row r="94" spans="1:18" s="13" customFormat="1">
      <c r="A94" s="19" t="s">
        <v>97</v>
      </c>
      <c r="B94" s="13" t="s">
        <v>98</v>
      </c>
      <c r="C94" s="13" t="s">
        <v>145</v>
      </c>
      <c r="D94" s="13" t="s">
        <v>155</v>
      </c>
      <c r="E94" s="33">
        <v>32.11</v>
      </c>
      <c r="F94" s="33">
        <v>-112.76</v>
      </c>
      <c r="G94" s="32">
        <v>653.54797515939833</v>
      </c>
      <c r="H94" s="31">
        <v>0.29010000000000002</v>
      </c>
      <c r="I94" s="31">
        <v>0.09</v>
      </c>
      <c r="J94" s="31">
        <v>0.35103198000000002</v>
      </c>
      <c r="K94" s="33">
        <f t="shared" si="10"/>
        <v>0.50830521936333928</v>
      </c>
      <c r="L94" s="61" t="s">
        <v>21</v>
      </c>
      <c r="M94" s="61"/>
      <c r="N94" s="61"/>
      <c r="O94" s="63"/>
      <c r="P94" s="78"/>
      <c r="Q94" s="62"/>
      <c r="R94" s="62"/>
    </row>
    <row r="95" spans="1:18" s="13" customFormat="1">
      <c r="A95" s="19" t="s">
        <v>97</v>
      </c>
      <c r="B95" s="13" t="s">
        <v>98</v>
      </c>
      <c r="C95" s="13" t="s">
        <v>145</v>
      </c>
      <c r="D95" s="13" t="s">
        <v>156</v>
      </c>
      <c r="E95" s="33">
        <v>32.11</v>
      </c>
      <c r="F95" s="33">
        <v>-112.76</v>
      </c>
      <c r="G95" s="32">
        <v>748.113338162432</v>
      </c>
      <c r="H95" s="31">
        <v>0.12560000000000002</v>
      </c>
      <c r="I95" s="31">
        <v>0.04</v>
      </c>
      <c r="J95" s="31">
        <v>0.15301488000000002</v>
      </c>
      <c r="K95" s="33">
        <f t="shared" si="10"/>
        <v>0.49692964807321499</v>
      </c>
      <c r="L95" s="61" t="s">
        <v>21</v>
      </c>
      <c r="M95" s="61"/>
      <c r="N95" s="61"/>
      <c r="O95" s="63"/>
      <c r="P95" s="78"/>
      <c r="Q95" s="62"/>
      <c r="R95" s="62"/>
    </row>
    <row r="96" spans="1:18" s="13" customFormat="1">
      <c r="A96" s="19" t="s">
        <v>97</v>
      </c>
      <c r="B96" s="13" t="s">
        <v>98</v>
      </c>
      <c r="C96" s="13" t="s">
        <v>145</v>
      </c>
      <c r="D96" s="13" t="s">
        <v>157</v>
      </c>
      <c r="E96" s="33">
        <v>32.11</v>
      </c>
      <c r="F96" s="33">
        <v>-112.76</v>
      </c>
      <c r="G96" s="32">
        <v>671.95290663338881</v>
      </c>
      <c r="H96" s="31">
        <v>0.18340000000000001</v>
      </c>
      <c r="I96" s="31">
        <v>0.06</v>
      </c>
      <c r="J96" s="31">
        <v>0.22502332</v>
      </c>
      <c r="K96" s="33">
        <f t="shared" si="10"/>
        <v>0.48524808095035871</v>
      </c>
      <c r="L96" s="61" t="s">
        <v>21</v>
      </c>
      <c r="M96" s="61"/>
      <c r="N96" s="61"/>
      <c r="O96" s="63"/>
      <c r="P96" s="78"/>
      <c r="Q96" s="62"/>
      <c r="R96" s="62"/>
    </row>
    <row r="97" spans="1:18" s="13" customFormat="1" ht="16.5" thickBot="1">
      <c r="A97" s="20" t="s">
        <v>97</v>
      </c>
      <c r="B97" s="45" t="s">
        <v>98</v>
      </c>
      <c r="C97" s="45" t="s">
        <v>145</v>
      </c>
      <c r="D97" s="45" t="s">
        <v>158</v>
      </c>
      <c r="E97" s="46">
        <v>32.11</v>
      </c>
      <c r="F97" s="46">
        <v>-112.76</v>
      </c>
      <c r="G97" s="47">
        <v>699.25565875124175</v>
      </c>
      <c r="H97" s="48">
        <v>0.27010000000000001</v>
      </c>
      <c r="I97" s="48">
        <v>0.09</v>
      </c>
      <c r="J97" s="48">
        <v>0.33303598000000001</v>
      </c>
      <c r="K97" s="46">
        <f t="shared" si="10"/>
        <v>0.47728207474812606</v>
      </c>
      <c r="L97" s="72" t="s">
        <v>21</v>
      </c>
      <c r="M97" s="72"/>
      <c r="N97" s="72"/>
      <c r="O97" s="73"/>
      <c r="P97" s="79"/>
      <c r="Q97" s="62"/>
      <c r="R97" s="62"/>
    </row>
    <row r="98" spans="1:18" s="13" customFormat="1" ht="16.5" thickBot="1">
      <c r="E98" s="59"/>
      <c r="F98" s="33"/>
      <c r="G98" s="32"/>
      <c r="H98" s="31"/>
      <c r="I98" s="31"/>
      <c r="J98" s="31"/>
      <c r="K98" s="33"/>
      <c r="L98" s="61"/>
      <c r="M98" s="61"/>
      <c r="N98" s="61"/>
      <c r="O98" s="63"/>
      <c r="P98" s="61"/>
      <c r="Q98" s="62"/>
      <c r="R98" s="62"/>
    </row>
    <row r="99" spans="1:18" s="13" customFormat="1" ht="16.5" thickBot="1">
      <c r="A99" s="21" t="s">
        <v>292</v>
      </c>
      <c r="B99" s="49" t="s">
        <v>98</v>
      </c>
      <c r="C99" s="49" t="s">
        <v>159</v>
      </c>
      <c r="D99" s="49" t="s">
        <v>160</v>
      </c>
      <c r="E99" s="60">
        <v>32.049999999999997</v>
      </c>
      <c r="F99" s="50">
        <v>-110.13</v>
      </c>
      <c r="G99" s="51">
        <v>797.27339784172943</v>
      </c>
      <c r="H99" s="52">
        <v>0.8</v>
      </c>
      <c r="I99" s="52">
        <v>0.78</v>
      </c>
      <c r="J99" s="52">
        <v>1.4998400000000001</v>
      </c>
      <c r="K99" s="50">
        <f>LOG10(H99/I99)</f>
        <v>1.099538430146324E-2</v>
      </c>
      <c r="L99" s="75" t="s">
        <v>76</v>
      </c>
      <c r="M99" s="75" t="s">
        <v>161</v>
      </c>
      <c r="N99" s="75" t="s">
        <v>76</v>
      </c>
      <c r="O99" s="76">
        <v>100</v>
      </c>
      <c r="P99" s="77">
        <v>797.27339784172943</v>
      </c>
      <c r="Q99" s="62"/>
      <c r="R99" s="62"/>
    </row>
    <row r="100" spans="1:18" s="13" customFormat="1" ht="16.5" thickBot="1">
      <c r="E100" s="31"/>
      <c r="F100" s="33"/>
      <c r="G100" s="32"/>
      <c r="H100" s="31"/>
      <c r="I100" s="31"/>
      <c r="J100" s="31"/>
      <c r="K100" s="33"/>
      <c r="L100" s="61"/>
      <c r="M100" s="61"/>
      <c r="N100" s="61"/>
      <c r="O100" s="63"/>
      <c r="P100" s="64"/>
      <c r="Q100" s="62"/>
      <c r="R100" s="62"/>
    </row>
    <row r="101" spans="1:18" s="13" customFormat="1">
      <c r="A101" s="18" t="s">
        <v>292</v>
      </c>
      <c r="B101" s="41" t="s">
        <v>98</v>
      </c>
      <c r="C101" s="41" t="s">
        <v>162</v>
      </c>
      <c r="D101" s="41" t="s">
        <v>163</v>
      </c>
      <c r="E101" s="53">
        <v>33.81</v>
      </c>
      <c r="F101" s="42">
        <v>-113.28</v>
      </c>
      <c r="G101" s="43">
        <v>753.17306029366716</v>
      </c>
      <c r="H101" s="44">
        <v>0.31</v>
      </c>
      <c r="I101" s="44">
        <v>0.35</v>
      </c>
      <c r="J101" s="44">
        <v>0.628938</v>
      </c>
      <c r="K101" s="42">
        <f>LOG10(H101/I101)</f>
        <v>-5.270635051600292E-2</v>
      </c>
      <c r="L101" s="68" t="s">
        <v>15</v>
      </c>
      <c r="M101" s="68" t="s">
        <v>164</v>
      </c>
      <c r="N101" s="68" t="s">
        <v>15</v>
      </c>
      <c r="O101" s="69">
        <v>50</v>
      </c>
      <c r="P101" s="70">
        <v>753.17306029366716</v>
      </c>
      <c r="Q101" s="62"/>
      <c r="R101" s="62"/>
    </row>
    <row r="102" spans="1:18" s="13" customFormat="1" ht="16.5" thickBot="1">
      <c r="A102" s="20" t="s">
        <v>292</v>
      </c>
      <c r="B102" s="45" t="s">
        <v>98</v>
      </c>
      <c r="C102" s="45" t="s">
        <v>162</v>
      </c>
      <c r="D102" s="45" t="s">
        <v>165</v>
      </c>
      <c r="E102" s="55">
        <v>33.81</v>
      </c>
      <c r="F102" s="46">
        <v>-113.28</v>
      </c>
      <c r="G102" s="47">
        <v>1002.9629326584042</v>
      </c>
      <c r="H102" s="48">
        <v>0.52</v>
      </c>
      <c r="I102" s="48">
        <v>0.54</v>
      </c>
      <c r="J102" s="48">
        <v>1.0078960000000001</v>
      </c>
      <c r="K102" s="46">
        <f>LOG10(H102/I102)</f>
        <v>-1.639041618816937E-2</v>
      </c>
      <c r="L102" s="72" t="s">
        <v>76</v>
      </c>
      <c r="M102" s="72" t="s">
        <v>166</v>
      </c>
      <c r="N102" s="72" t="s">
        <v>76</v>
      </c>
      <c r="O102" s="73">
        <v>50</v>
      </c>
      <c r="P102" s="74">
        <v>1002.9629326584042</v>
      </c>
      <c r="Q102" s="62"/>
      <c r="R102" s="62"/>
    </row>
    <row r="103" spans="1:18" s="13" customFormat="1" ht="16.5" thickBot="1">
      <c r="E103" s="31"/>
      <c r="F103" s="33"/>
      <c r="G103" s="32"/>
      <c r="H103" s="31"/>
      <c r="I103" s="31"/>
      <c r="J103" s="31"/>
      <c r="K103" s="33"/>
      <c r="L103" s="61"/>
      <c r="M103" s="61"/>
      <c r="N103" s="61"/>
      <c r="O103" s="63"/>
      <c r="P103" s="61"/>
      <c r="Q103" s="62"/>
      <c r="R103" s="62"/>
    </row>
    <row r="104" spans="1:18" s="13" customFormat="1">
      <c r="A104" s="18" t="s">
        <v>293</v>
      </c>
      <c r="B104" s="41" t="s">
        <v>98</v>
      </c>
      <c r="C104" s="41" t="s">
        <v>167</v>
      </c>
      <c r="D104" s="41" t="s">
        <v>168</v>
      </c>
      <c r="E104" s="53">
        <v>32.299999999999997</v>
      </c>
      <c r="F104" s="42">
        <v>-111.35</v>
      </c>
      <c r="G104" s="43"/>
      <c r="H104" s="44">
        <v>0.81</v>
      </c>
      <c r="I104" s="44">
        <v>0.75</v>
      </c>
      <c r="J104" s="44">
        <v>1.4788380000000001</v>
      </c>
      <c r="K104" s="42">
        <f t="shared" si="5"/>
        <v>3.342375548694973E-2</v>
      </c>
      <c r="L104" s="68" t="s">
        <v>76</v>
      </c>
      <c r="M104" s="68" t="s">
        <v>169</v>
      </c>
      <c r="N104" s="68" t="s">
        <v>76</v>
      </c>
      <c r="O104" s="69">
        <f>13*100/14</f>
        <v>92.857142857142861</v>
      </c>
      <c r="P104" s="80"/>
      <c r="Q104" s="62"/>
      <c r="R104" s="62"/>
    </row>
    <row r="105" spans="1:18" s="13" customFormat="1">
      <c r="A105" s="19" t="s">
        <v>293</v>
      </c>
      <c r="B105" s="13" t="s">
        <v>98</v>
      </c>
      <c r="C105" s="13" t="s">
        <v>167</v>
      </c>
      <c r="D105" s="13" t="s">
        <v>170</v>
      </c>
      <c r="E105" s="54">
        <v>32.299999999999997</v>
      </c>
      <c r="F105" s="33">
        <v>-111.35</v>
      </c>
      <c r="G105" s="32"/>
      <c r="H105" s="31">
        <v>0.51</v>
      </c>
      <c r="I105" s="31">
        <v>0.4</v>
      </c>
      <c r="J105" s="31">
        <v>0.85889800000000005</v>
      </c>
      <c r="K105" s="33">
        <f t="shared" si="5"/>
        <v>0.10551018476997394</v>
      </c>
      <c r="L105" s="61" t="s">
        <v>76</v>
      </c>
      <c r="M105" s="61" t="s">
        <v>171</v>
      </c>
      <c r="N105" s="61" t="s">
        <v>15</v>
      </c>
      <c r="O105" s="63">
        <f>1*100/14</f>
        <v>7.1428571428571432</v>
      </c>
      <c r="P105" s="78"/>
      <c r="Q105" s="62"/>
      <c r="R105" s="62"/>
    </row>
    <row r="106" spans="1:18" s="13" customFormat="1">
      <c r="A106" s="19" t="s">
        <v>293</v>
      </c>
      <c r="B106" s="13" t="s">
        <v>98</v>
      </c>
      <c r="C106" s="13" t="s">
        <v>167</v>
      </c>
      <c r="D106" s="13" t="s">
        <v>170</v>
      </c>
      <c r="E106" s="54">
        <v>32.299999999999997</v>
      </c>
      <c r="F106" s="33">
        <v>-111.35</v>
      </c>
      <c r="G106" s="32"/>
      <c r="H106" s="31">
        <v>0.46</v>
      </c>
      <c r="I106" s="31">
        <v>0.25</v>
      </c>
      <c r="J106" s="31">
        <v>0.66390800000000005</v>
      </c>
      <c r="K106" s="33">
        <f t="shared" si="5"/>
        <v>0.26481782300953649</v>
      </c>
      <c r="L106" s="61" t="s">
        <v>76</v>
      </c>
      <c r="M106" s="61"/>
      <c r="N106" s="61"/>
      <c r="O106" s="63"/>
      <c r="P106" s="78"/>
      <c r="Q106" s="62"/>
      <c r="R106" s="62"/>
    </row>
    <row r="107" spans="1:18" s="13" customFormat="1">
      <c r="A107" s="19" t="s">
        <v>293</v>
      </c>
      <c r="B107" s="13" t="s">
        <v>98</v>
      </c>
      <c r="C107" s="13" t="s">
        <v>167</v>
      </c>
      <c r="D107" s="13" t="s">
        <v>170</v>
      </c>
      <c r="E107" s="54">
        <v>32.299999999999997</v>
      </c>
      <c r="F107" s="33">
        <v>-111.35</v>
      </c>
      <c r="G107" s="32"/>
      <c r="H107" s="31">
        <v>0.24</v>
      </c>
      <c r="I107" s="31">
        <v>0.24</v>
      </c>
      <c r="J107" s="31">
        <v>0.45595200000000002</v>
      </c>
      <c r="K107" s="33">
        <f t="shared" si="5"/>
        <v>0</v>
      </c>
      <c r="L107" s="61" t="s">
        <v>76</v>
      </c>
      <c r="M107" s="61"/>
      <c r="N107" s="61"/>
      <c r="O107" s="63"/>
      <c r="P107" s="78"/>
      <c r="Q107" s="62"/>
      <c r="R107" s="62"/>
    </row>
    <row r="108" spans="1:18" s="13" customFormat="1">
      <c r="A108" s="19" t="s">
        <v>293</v>
      </c>
      <c r="B108" s="13" t="s">
        <v>98</v>
      </c>
      <c r="C108" s="13" t="s">
        <v>167</v>
      </c>
      <c r="D108" s="13" t="s">
        <v>170</v>
      </c>
      <c r="E108" s="54">
        <v>32.299999999999997</v>
      </c>
      <c r="F108" s="33">
        <v>-111.35</v>
      </c>
      <c r="G108" s="32"/>
      <c r="H108" s="31">
        <v>0.48</v>
      </c>
      <c r="I108" s="31">
        <v>0.35</v>
      </c>
      <c r="J108" s="31">
        <v>0.78190399999999993</v>
      </c>
      <c r="K108" s="33">
        <f t="shared" si="5"/>
        <v>0.13717319302531158</v>
      </c>
      <c r="L108" s="61" t="s">
        <v>76</v>
      </c>
      <c r="M108" s="61"/>
      <c r="N108" s="61"/>
      <c r="O108" s="63"/>
      <c r="P108" s="78"/>
      <c r="Q108" s="62"/>
      <c r="R108" s="62"/>
    </row>
    <row r="109" spans="1:18" s="13" customFormat="1">
      <c r="A109" s="19" t="s">
        <v>293</v>
      </c>
      <c r="B109" s="13" t="s">
        <v>98</v>
      </c>
      <c r="C109" s="13" t="s">
        <v>167</v>
      </c>
      <c r="D109" s="13" t="s">
        <v>170</v>
      </c>
      <c r="E109" s="54">
        <v>32.299999999999997</v>
      </c>
      <c r="F109" s="33">
        <v>-111.35</v>
      </c>
      <c r="G109" s="32"/>
      <c r="H109" s="31">
        <v>0.43</v>
      </c>
      <c r="I109" s="31">
        <v>0.32</v>
      </c>
      <c r="J109" s="31">
        <v>0.70691400000000004</v>
      </c>
      <c r="K109" s="33">
        <f t="shared" si="5"/>
        <v>0.12831847725968054</v>
      </c>
      <c r="L109" s="61" t="s">
        <v>76</v>
      </c>
      <c r="M109" s="61"/>
      <c r="N109" s="61"/>
      <c r="O109" s="63"/>
      <c r="P109" s="78"/>
      <c r="Q109" s="62"/>
      <c r="R109" s="62"/>
    </row>
    <row r="110" spans="1:18" s="13" customFormat="1">
      <c r="A110" s="19" t="s">
        <v>293</v>
      </c>
      <c r="B110" s="13" t="s">
        <v>98</v>
      </c>
      <c r="C110" s="13" t="s">
        <v>167</v>
      </c>
      <c r="D110" s="13" t="s">
        <v>172</v>
      </c>
      <c r="E110" s="54">
        <v>32.299999999999997</v>
      </c>
      <c r="F110" s="33">
        <v>-111.35</v>
      </c>
      <c r="G110" s="32"/>
      <c r="H110" s="31">
        <v>0.52</v>
      </c>
      <c r="I110" s="31">
        <v>0.21</v>
      </c>
      <c r="J110" s="31">
        <v>0.67789600000000005</v>
      </c>
      <c r="K110" s="33">
        <f t="shared" si="5"/>
        <v>0.39378404890087992</v>
      </c>
      <c r="L110" s="61" t="s">
        <v>76</v>
      </c>
      <c r="M110" s="61"/>
      <c r="N110" s="61"/>
      <c r="O110" s="63"/>
      <c r="P110" s="78"/>
      <c r="Q110" s="62"/>
      <c r="R110" s="62"/>
    </row>
    <row r="111" spans="1:18" s="13" customFormat="1">
      <c r="A111" s="19" t="s">
        <v>293</v>
      </c>
      <c r="B111" s="13" t="s">
        <v>98</v>
      </c>
      <c r="C111" s="13" t="s">
        <v>167</v>
      </c>
      <c r="D111" s="13" t="s">
        <v>172</v>
      </c>
      <c r="E111" s="54">
        <v>32.299999999999997</v>
      </c>
      <c r="F111" s="33">
        <v>-111.35</v>
      </c>
      <c r="G111" s="32"/>
      <c r="H111" s="31">
        <v>0.48</v>
      </c>
      <c r="I111" s="31">
        <v>0.37</v>
      </c>
      <c r="J111" s="31">
        <v>0.80190399999999995</v>
      </c>
      <c r="K111" s="33">
        <f t="shared" si="5"/>
        <v>0.11303951330859224</v>
      </c>
      <c r="L111" s="61" t="s">
        <v>76</v>
      </c>
      <c r="M111" s="61"/>
      <c r="N111" s="61"/>
      <c r="O111" s="63"/>
      <c r="P111" s="78"/>
      <c r="Q111" s="62"/>
      <c r="R111" s="62"/>
    </row>
    <row r="112" spans="1:18" s="13" customFormat="1">
      <c r="A112" s="19" t="s">
        <v>293</v>
      </c>
      <c r="B112" s="13" t="s">
        <v>98</v>
      </c>
      <c r="C112" s="13" t="s">
        <v>167</v>
      </c>
      <c r="D112" s="13" t="s">
        <v>173</v>
      </c>
      <c r="E112" s="54">
        <v>32.299999999999997</v>
      </c>
      <c r="F112" s="33">
        <v>-111.35</v>
      </c>
      <c r="G112" s="32"/>
      <c r="H112" s="31">
        <v>0.75</v>
      </c>
      <c r="I112" s="31">
        <v>0.51</v>
      </c>
      <c r="J112" s="31">
        <v>1.18485</v>
      </c>
      <c r="K112" s="33">
        <f t="shared" si="5"/>
        <v>0.16749108729376364</v>
      </c>
      <c r="L112" s="61" t="s">
        <v>76</v>
      </c>
      <c r="M112" s="61"/>
      <c r="N112" s="61"/>
      <c r="O112" s="63"/>
      <c r="P112" s="78"/>
      <c r="Q112" s="62"/>
      <c r="R112" s="62"/>
    </row>
    <row r="113" spans="1:18" s="13" customFormat="1">
      <c r="A113" s="19" t="s">
        <v>294</v>
      </c>
      <c r="B113" s="13" t="s">
        <v>98</v>
      </c>
      <c r="C113" s="13" t="s">
        <v>167</v>
      </c>
      <c r="D113" s="13" t="s">
        <v>174</v>
      </c>
      <c r="E113" s="54">
        <v>32.299999999999997</v>
      </c>
      <c r="F113" s="33">
        <v>-111.35</v>
      </c>
      <c r="G113" s="32"/>
      <c r="H113" s="31">
        <v>0.81</v>
      </c>
      <c r="I113" s="31">
        <v>1.42</v>
      </c>
      <c r="J113" s="31">
        <v>2.148838</v>
      </c>
      <c r="K113" s="33">
        <f t="shared" si="5"/>
        <v>-0.24380332550440673</v>
      </c>
      <c r="L113" s="61" t="s">
        <v>15</v>
      </c>
      <c r="M113" s="61"/>
      <c r="N113" s="61"/>
      <c r="O113" s="63"/>
      <c r="P113" s="78"/>
      <c r="Q113" s="62"/>
      <c r="R113" s="62"/>
    </row>
    <row r="114" spans="1:18" s="13" customFormat="1">
      <c r="A114" s="19" t="s">
        <v>294</v>
      </c>
      <c r="B114" s="13" t="s">
        <v>98</v>
      </c>
      <c r="C114" s="13" t="s">
        <v>167</v>
      </c>
      <c r="D114" s="13" t="s">
        <v>175</v>
      </c>
      <c r="E114" s="54">
        <v>32.299999999999997</v>
      </c>
      <c r="F114" s="33">
        <v>-111.35</v>
      </c>
      <c r="G114" s="32"/>
      <c r="H114" s="31">
        <v>1.012</v>
      </c>
      <c r="I114" s="31">
        <v>0.68200000000000005</v>
      </c>
      <c r="J114" s="31">
        <v>1.5925975999999999</v>
      </c>
      <c r="K114" s="33">
        <f t="shared" si="5"/>
        <v>0.1713961378473014</v>
      </c>
      <c r="L114" s="61" t="s">
        <v>76</v>
      </c>
      <c r="M114" s="61"/>
      <c r="N114" s="61"/>
      <c r="O114" s="63"/>
      <c r="P114" s="78"/>
      <c r="Q114" s="62"/>
      <c r="R114" s="62"/>
    </row>
    <row r="115" spans="1:18" s="13" customFormat="1">
      <c r="A115" s="19" t="s">
        <v>294</v>
      </c>
      <c r="B115" s="13" t="s">
        <v>98</v>
      </c>
      <c r="C115" s="13" t="s">
        <v>167</v>
      </c>
      <c r="D115" s="13" t="s">
        <v>176</v>
      </c>
      <c r="E115" s="54">
        <v>32.299999999999997</v>
      </c>
      <c r="F115" s="33">
        <v>-111.35</v>
      </c>
      <c r="G115" s="32"/>
      <c r="H115" s="31">
        <v>0.5</v>
      </c>
      <c r="I115" s="31">
        <v>0.39</v>
      </c>
      <c r="J115" s="31">
        <v>0.83990000000000009</v>
      </c>
      <c r="K115" s="33">
        <f t="shared" si="5"/>
        <v>0.10790539730951956</v>
      </c>
      <c r="L115" s="61" t="s">
        <v>76</v>
      </c>
      <c r="M115" s="61"/>
      <c r="N115" s="61"/>
      <c r="O115" s="63"/>
      <c r="P115" s="78"/>
      <c r="Q115" s="62"/>
      <c r="R115" s="62"/>
    </row>
    <row r="116" spans="1:18" s="13" customFormat="1">
      <c r="A116" s="19" t="s">
        <v>294</v>
      </c>
      <c r="B116" s="13" t="s">
        <v>98</v>
      </c>
      <c r="C116" s="13" t="s">
        <v>167</v>
      </c>
      <c r="D116" s="13" t="s">
        <v>177</v>
      </c>
      <c r="E116" s="54">
        <v>32.299999999999997</v>
      </c>
      <c r="F116" s="33">
        <v>-111.35</v>
      </c>
      <c r="G116" s="32"/>
      <c r="H116" s="31">
        <v>0.28999999999999998</v>
      </c>
      <c r="I116" s="31">
        <v>0.19500000000000001</v>
      </c>
      <c r="J116" s="31">
        <v>0.45594200000000001</v>
      </c>
      <c r="K116" s="33">
        <f t="shared" si="5"/>
        <v>0.17236338653643801</v>
      </c>
      <c r="L116" s="61" t="s">
        <v>76</v>
      </c>
      <c r="M116" s="61"/>
      <c r="N116" s="61"/>
      <c r="O116" s="63"/>
      <c r="P116" s="78"/>
      <c r="Q116" s="62"/>
      <c r="R116" s="62"/>
    </row>
    <row r="117" spans="1:18" s="13" customFormat="1" ht="16.5" thickBot="1">
      <c r="A117" s="20" t="s">
        <v>294</v>
      </c>
      <c r="B117" s="45" t="s">
        <v>98</v>
      </c>
      <c r="C117" s="45" t="s">
        <v>167</v>
      </c>
      <c r="D117" s="45" t="s">
        <v>178</v>
      </c>
      <c r="E117" s="55">
        <v>32.299999999999997</v>
      </c>
      <c r="F117" s="46">
        <v>-111.35</v>
      </c>
      <c r="G117" s="47"/>
      <c r="H117" s="48">
        <v>1.51</v>
      </c>
      <c r="I117" s="48">
        <v>1.39</v>
      </c>
      <c r="J117" s="48">
        <v>2.7486980000000001</v>
      </c>
      <c r="K117" s="46">
        <f t="shared" si="5"/>
        <v>3.596214703907441E-2</v>
      </c>
      <c r="L117" s="72" t="s">
        <v>76</v>
      </c>
      <c r="M117" s="72"/>
      <c r="N117" s="72"/>
      <c r="O117" s="73"/>
      <c r="P117" s="79"/>
      <c r="Q117" s="62"/>
      <c r="R117" s="62"/>
    </row>
    <row r="118" spans="1:18" s="13" customFormat="1" ht="16.5" thickBot="1">
      <c r="E118" s="31"/>
      <c r="F118" s="33"/>
      <c r="G118" s="32"/>
      <c r="H118" s="31"/>
      <c r="I118" s="31"/>
      <c r="J118" s="31"/>
      <c r="K118" s="33"/>
      <c r="L118" s="61"/>
      <c r="M118" s="61"/>
      <c r="N118" s="61"/>
      <c r="O118" s="63"/>
      <c r="P118" s="61"/>
      <c r="Q118" s="62"/>
      <c r="R118" s="62"/>
    </row>
    <row r="119" spans="1:18" s="13" customFormat="1">
      <c r="A119" s="18" t="s">
        <v>292</v>
      </c>
      <c r="B119" s="41" t="s">
        <v>98</v>
      </c>
      <c r="C119" s="41" t="s">
        <v>179</v>
      </c>
      <c r="D119" s="41" t="s">
        <v>180</v>
      </c>
      <c r="E119" s="53">
        <v>33.549999999999997</v>
      </c>
      <c r="F119" s="42">
        <v>-112.7</v>
      </c>
      <c r="G119" s="43">
        <v>764.56341905872807</v>
      </c>
      <c r="H119" s="44">
        <v>0.19</v>
      </c>
      <c r="I119" s="44">
        <v>0.46</v>
      </c>
      <c r="J119" s="44">
        <v>0.63096200000000002</v>
      </c>
      <c r="K119" s="42">
        <f t="shared" ref="K119:K127" si="11">LOG10(H119/I119)</f>
        <v>-0.38400423072874512</v>
      </c>
      <c r="L119" s="68" t="s">
        <v>18</v>
      </c>
      <c r="M119" s="68" t="s">
        <v>181</v>
      </c>
      <c r="N119" s="68" t="s">
        <v>76</v>
      </c>
      <c r="O119" s="69">
        <f>3*100/9</f>
        <v>33.333333333333336</v>
      </c>
      <c r="P119" s="70">
        <f>AVERAGE(G121,G124,G127)</f>
        <v>688.06150240062527</v>
      </c>
      <c r="Q119" s="62"/>
      <c r="R119" s="62"/>
    </row>
    <row r="120" spans="1:18" s="13" customFormat="1">
      <c r="A120" s="19" t="s">
        <v>292</v>
      </c>
      <c r="B120" s="13" t="s">
        <v>98</v>
      </c>
      <c r="C120" s="13" t="s">
        <v>179</v>
      </c>
      <c r="D120" s="13" t="s">
        <v>182</v>
      </c>
      <c r="E120" s="54">
        <v>33.549999999999997</v>
      </c>
      <c r="F120" s="33">
        <v>-112.7</v>
      </c>
      <c r="G120" s="32">
        <v>725.70216498164064</v>
      </c>
      <c r="H120" s="31">
        <v>0.31</v>
      </c>
      <c r="I120" s="31">
        <v>0.34</v>
      </c>
      <c r="J120" s="31">
        <v>0.61893799999999999</v>
      </c>
      <c r="K120" s="33">
        <f t="shared" si="11"/>
        <v>-4.0117223207982451E-2</v>
      </c>
      <c r="L120" s="61" t="s">
        <v>15</v>
      </c>
      <c r="M120" s="61" t="s">
        <v>183</v>
      </c>
      <c r="N120" s="61" t="s">
        <v>15</v>
      </c>
      <c r="O120" s="63">
        <f>5*100/9</f>
        <v>55.555555555555557</v>
      </c>
      <c r="P120" s="71">
        <f>AVERAGE(G120,G122:G123,G125:G126)</f>
        <v>721.01554361187539</v>
      </c>
      <c r="Q120" s="62"/>
      <c r="R120" s="62"/>
    </row>
    <row r="121" spans="1:18" s="13" customFormat="1">
      <c r="A121" s="19" t="s">
        <v>292</v>
      </c>
      <c r="B121" s="13" t="s">
        <v>98</v>
      </c>
      <c r="C121" s="13" t="s">
        <v>179</v>
      </c>
      <c r="D121" s="13" t="s">
        <v>184</v>
      </c>
      <c r="E121" s="54">
        <v>33.549999999999997</v>
      </c>
      <c r="F121" s="33">
        <v>-112.7</v>
      </c>
      <c r="G121" s="32">
        <v>709.99606043395363</v>
      </c>
      <c r="H121" s="31">
        <v>0.28000000000000003</v>
      </c>
      <c r="I121" s="31">
        <v>0.25</v>
      </c>
      <c r="J121" s="31">
        <v>0.50194400000000006</v>
      </c>
      <c r="K121" s="33">
        <f t="shared" si="11"/>
        <v>4.9218022670181653E-2</v>
      </c>
      <c r="L121" s="61" t="s">
        <v>76</v>
      </c>
      <c r="M121" s="61" t="s">
        <v>185</v>
      </c>
      <c r="N121" s="61" t="s">
        <v>18</v>
      </c>
      <c r="O121" s="63">
        <f>1*100/9</f>
        <v>11.111111111111111</v>
      </c>
      <c r="P121" s="71">
        <v>764.56341905872807</v>
      </c>
      <c r="Q121" s="62"/>
      <c r="R121" s="62"/>
    </row>
    <row r="122" spans="1:18" s="13" customFormat="1">
      <c r="A122" s="19" t="s">
        <v>292</v>
      </c>
      <c r="B122" s="13" t="s">
        <v>98</v>
      </c>
      <c r="C122" s="13" t="s">
        <v>179</v>
      </c>
      <c r="D122" s="13" t="s">
        <v>186</v>
      </c>
      <c r="E122" s="54">
        <v>33.549999999999997</v>
      </c>
      <c r="F122" s="33">
        <v>-112.7</v>
      </c>
      <c r="G122" s="32">
        <v>695.5365091102276</v>
      </c>
      <c r="H122" s="31">
        <v>0.17</v>
      </c>
      <c r="I122" s="31">
        <v>0.21</v>
      </c>
      <c r="J122" s="31">
        <v>0.36296600000000001</v>
      </c>
      <c r="K122" s="33">
        <f t="shared" si="11"/>
        <v>-9.1770373355645279E-2</v>
      </c>
      <c r="L122" s="61" t="s">
        <v>15</v>
      </c>
      <c r="M122" s="61"/>
      <c r="N122" s="61"/>
      <c r="O122" s="63"/>
      <c r="P122" s="78"/>
      <c r="Q122" s="62"/>
      <c r="R122" s="62"/>
    </row>
    <row r="123" spans="1:18" s="13" customFormat="1">
      <c r="A123" s="19" t="s">
        <v>292</v>
      </c>
      <c r="B123" s="13" t="s">
        <v>98</v>
      </c>
      <c r="C123" s="13" t="s">
        <v>179</v>
      </c>
      <c r="D123" s="13" t="s">
        <v>187</v>
      </c>
      <c r="E123" s="54">
        <v>33.549999999999997</v>
      </c>
      <c r="F123" s="33">
        <v>-112.7</v>
      </c>
      <c r="G123" s="32">
        <v>781.33706308565013</v>
      </c>
      <c r="H123" s="31">
        <v>0.28000000000000003</v>
      </c>
      <c r="I123" s="31">
        <v>0.56999999999999995</v>
      </c>
      <c r="J123" s="31">
        <v>0.82194400000000001</v>
      </c>
      <c r="K123" s="33">
        <f t="shared" si="11"/>
        <v>-0.30871682433027209</v>
      </c>
      <c r="L123" s="61" t="s">
        <v>15</v>
      </c>
      <c r="M123" s="61"/>
      <c r="N123" s="61"/>
      <c r="O123" s="63"/>
      <c r="P123" s="78"/>
      <c r="Q123" s="62"/>
      <c r="R123" s="62"/>
    </row>
    <row r="124" spans="1:18" s="13" customFormat="1">
      <c r="A124" s="19" t="s">
        <v>292</v>
      </c>
      <c r="B124" s="13" t="s">
        <v>98</v>
      </c>
      <c r="C124" s="13" t="s">
        <v>179</v>
      </c>
      <c r="D124" s="13" t="s">
        <v>188</v>
      </c>
      <c r="E124" s="54">
        <v>33.549999999999997</v>
      </c>
      <c r="F124" s="33">
        <v>-112.7</v>
      </c>
      <c r="G124" s="32">
        <v>735.25283332456502</v>
      </c>
      <c r="H124" s="31">
        <v>0.46</v>
      </c>
      <c r="I124" s="31">
        <v>0.28999999999999998</v>
      </c>
      <c r="J124" s="31">
        <v>0.70390799999999998</v>
      </c>
      <c r="K124" s="33">
        <f t="shared" si="11"/>
        <v>0.20035983378261807</v>
      </c>
      <c r="L124" s="61" t="s">
        <v>76</v>
      </c>
      <c r="M124" s="61"/>
      <c r="N124" s="61"/>
      <c r="O124" s="63"/>
      <c r="P124" s="78"/>
      <c r="Q124" s="62"/>
      <c r="R124" s="62"/>
    </row>
    <row r="125" spans="1:18" s="13" customFormat="1">
      <c r="A125" s="19" t="s">
        <v>292</v>
      </c>
      <c r="B125" s="13" t="s">
        <v>98</v>
      </c>
      <c r="C125" s="13" t="s">
        <v>179</v>
      </c>
      <c r="D125" s="13" t="s">
        <v>189</v>
      </c>
      <c r="E125" s="54">
        <v>33.549999999999997</v>
      </c>
      <c r="F125" s="33">
        <v>-112.7</v>
      </c>
      <c r="G125" s="32">
        <v>773.8055955315416</v>
      </c>
      <c r="H125" s="31">
        <v>0.32</v>
      </c>
      <c r="I125" s="31">
        <v>0.48</v>
      </c>
      <c r="J125" s="31">
        <v>0.76793599999999995</v>
      </c>
      <c r="K125" s="33">
        <f t="shared" si="11"/>
        <v>-0.17609125905568118</v>
      </c>
      <c r="L125" s="61" t="s">
        <v>15</v>
      </c>
      <c r="M125" s="61"/>
      <c r="N125" s="61"/>
      <c r="O125" s="63"/>
      <c r="P125" s="78"/>
      <c r="Q125" s="62"/>
      <c r="R125" s="62"/>
    </row>
    <row r="126" spans="1:18" s="13" customFormat="1">
      <c r="A126" s="19" t="s">
        <v>292</v>
      </c>
      <c r="B126" s="13" t="s">
        <v>98</v>
      </c>
      <c r="C126" s="13" t="s">
        <v>179</v>
      </c>
      <c r="D126" s="13" t="s">
        <v>190</v>
      </c>
      <c r="E126" s="54">
        <v>33.549999999999997</v>
      </c>
      <c r="F126" s="33">
        <v>-112.7</v>
      </c>
      <c r="G126" s="32">
        <v>628.6963853503164</v>
      </c>
      <c r="H126" s="31">
        <v>0.05</v>
      </c>
      <c r="I126" s="31">
        <v>7.0000000000000007E-2</v>
      </c>
      <c r="J126" s="31">
        <v>0.11499000000000001</v>
      </c>
      <c r="K126" s="33">
        <f t="shared" si="11"/>
        <v>-0.14612803567823801</v>
      </c>
      <c r="L126" s="61" t="s">
        <v>15</v>
      </c>
      <c r="M126" s="61"/>
      <c r="N126" s="61"/>
      <c r="O126" s="63"/>
      <c r="P126" s="78"/>
      <c r="Q126" s="62"/>
      <c r="R126" s="62"/>
    </row>
    <row r="127" spans="1:18" s="13" customFormat="1" ht="16.5" thickBot="1">
      <c r="A127" s="20" t="s">
        <v>292</v>
      </c>
      <c r="B127" s="45" t="s">
        <v>98</v>
      </c>
      <c r="C127" s="45" t="s">
        <v>179</v>
      </c>
      <c r="D127" s="45" t="s">
        <v>191</v>
      </c>
      <c r="E127" s="55">
        <v>33.549999999999997</v>
      </c>
      <c r="F127" s="46">
        <v>-112.7</v>
      </c>
      <c r="G127" s="47">
        <v>618.9356134433574</v>
      </c>
      <c r="H127" s="48">
        <v>0.08</v>
      </c>
      <c r="I127" s="48">
        <v>0.05</v>
      </c>
      <c r="J127" s="48">
        <v>0.12198400000000001</v>
      </c>
      <c r="K127" s="46">
        <f t="shared" si="11"/>
        <v>0.20411998265592474</v>
      </c>
      <c r="L127" s="72" t="s">
        <v>76</v>
      </c>
      <c r="M127" s="72"/>
      <c r="N127" s="72"/>
      <c r="O127" s="73"/>
      <c r="P127" s="79"/>
      <c r="Q127" s="62"/>
      <c r="R127" s="62"/>
    </row>
    <row r="128" spans="1:18" s="13" customFormat="1" ht="16.5" thickBot="1">
      <c r="E128" s="31"/>
      <c r="F128" s="33"/>
      <c r="G128" s="32"/>
      <c r="H128" s="31"/>
      <c r="I128" s="31"/>
      <c r="J128" s="31"/>
      <c r="K128" s="33"/>
      <c r="L128" s="61"/>
      <c r="M128" s="61"/>
      <c r="N128" s="61"/>
      <c r="O128" s="63"/>
      <c r="P128" s="61"/>
      <c r="Q128" s="62"/>
      <c r="R128" s="62"/>
    </row>
    <row r="129" spans="1:18" s="13" customFormat="1">
      <c r="A129" s="18" t="s">
        <v>295</v>
      </c>
      <c r="B129" s="41" t="s">
        <v>192</v>
      </c>
      <c r="C129" s="41" t="s">
        <v>193</v>
      </c>
      <c r="D129" s="41">
        <v>8</v>
      </c>
      <c r="E129" s="53">
        <v>39.1</v>
      </c>
      <c r="F129" s="42">
        <v>-114.19</v>
      </c>
      <c r="G129" s="43"/>
      <c r="H129" s="44">
        <v>0.15</v>
      </c>
      <c r="I129" s="44">
        <v>1.62</v>
      </c>
      <c r="J129" s="44">
        <v>1.7549700000000001</v>
      </c>
      <c r="K129" s="42">
        <f>LOG10(H129/I129)</f>
        <v>-1.0334237554869496</v>
      </c>
      <c r="L129" s="68" t="s">
        <v>18</v>
      </c>
      <c r="M129" s="68" t="s">
        <v>194</v>
      </c>
      <c r="N129" s="68" t="s">
        <v>15</v>
      </c>
      <c r="O129" s="69">
        <f>2*100/5</f>
        <v>40</v>
      </c>
      <c r="P129" s="80"/>
      <c r="Q129" s="62"/>
      <c r="R129" s="62"/>
    </row>
    <row r="130" spans="1:18" s="13" customFormat="1">
      <c r="A130" s="19" t="s">
        <v>295</v>
      </c>
      <c r="B130" s="13" t="s">
        <v>192</v>
      </c>
      <c r="C130" s="13" t="s">
        <v>193</v>
      </c>
      <c r="D130" s="13" t="s">
        <v>195</v>
      </c>
      <c r="E130" s="54">
        <v>39.1</v>
      </c>
      <c r="F130" s="33">
        <v>-114.19</v>
      </c>
      <c r="G130" s="32"/>
      <c r="H130" s="31">
        <v>0.3</v>
      </c>
      <c r="I130" s="31">
        <v>0.56999999999999995</v>
      </c>
      <c r="J130" s="31">
        <v>0.83993999999999991</v>
      </c>
      <c r="K130" s="33">
        <f>LOG10(H130/I130)</f>
        <v>-0.27875360095282897</v>
      </c>
      <c r="L130" s="61" t="s">
        <v>15</v>
      </c>
      <c r="M130" s="61" t="s">
        <v>196</v>
      </c>
      <c r="N130" s="61" t="s">
        <v>18</v>
      </c>
      <c r="O130" s="63">
        <f>3*100/5</f>
        <v>60</v>
      </c>
      <c r="P130" s="71">
        <v>705.67126605297085</v>
      </c>
      <c r="Q130" s="62"/>
      <c r="R130" s="62"/>
    </row>
    <row r="131" spans="1:18" s="13" customFormat="1">
      <c r="A131" s="19" t="s">
        <v>295</v>
      </c>
      <c r="B131" s="13" t="s">
        <v>192</v>
      </c>
      <c r="C131" s="13" t="s">
        <v>193</v>
      </c>
      <c r="D131" s="13" t="s">
        <v>197</v>
      </c>
      <c r="E131" s="54">
        <v>39.1</v>
      </c>
      <c r="F131" s="33">
        <v>-114.19</v>
      </c>
      <c r="G131" s="32"/>
      <c r="H131" s="31">
        <v>0.28000000000000003</v>
      </c>
      <c r="I131" s="31">
        <v>0.83</v>
      </c>
      <c r="J131" s="31">
        <v>1.081944</v>
      </c>
      <c r="K131" s="33">
        <f>LOG10(H131/I131)</f>
        <v>-0.47192006103385464</v>
      </c>
      <c r="L131" s="61" t="s">
        <v>18</v>
      </c>
      <c r="M131" s="61"/>
      <c r="N131" s="61"/>
      <c r="O131" s="63"/>
      <c r="P131" s="78"/>
      <c r="Q131" s="62"/>
      <c r="R131" s="62"/>
    </row>
    <row r="132" spans="1:18" s="13" customFormat="1">
      <c r="A132" s="19" t="s">
        <v>295</v>
      </c>
      <c r="B132" s="13" t="s">
        <v>192</v>
      </c>
      <c r="C132" s="13" t="s">
        <v>193</v>
      </c>
      <c r="D132" s="13">
        <v>40</v>
      </c>
      <c r="E132" s="54">
        <v>39.1</v>
      </c>
      <c r="F132" s="33">
        <v>-114.19</v>
      </c>
      <c r="G132" s="32"/>
      <c r="H132" s="31">
        <v>0.33</v>
      </c>
      <c r="I132" s="31">
        <v>0.52</v>
      </c>
      <c r="J132" s="31">
        <v>0.81693400000000005</v>
      </c>
      <c r="K132" s="33">
        <f>LOG10(H132/I132)</f>
        <v>-0.19748940375691171</v>
      </c>
      <c r="L132" s="61" t="s">
        <v>15</v>
      </c>
      <c r="M132" s="61"/>
      <c r="N132" s="61"/>
      <c r="O132" s="63"/>
      <c r="P132" s="78"/>
      <c r="Q132" s="62"/>
      <c r="R132" s="62"/>
    </row>
    <row r="133" spans="1:18" s="13" customFormat="1" ht="16.5" thickBot="1">
      <c r="A133" s="20" t="s">
        <v>296</v>
      </c>
      <c r="B133" s="45" t="s">
        <v>192</v>
      </c>
      <c r="C133" s="45" t="s">
        <v>193</v>
      </c>
      <c r="D133" s="45" t="s">
        <v>198</v>
      </c>
      <c r="E133" s="55">
        <v>39.1</v>
      </c>
      <c r="F133" s="46">
        <v>-114.19</v>
      </c>
      <c r="G133" s="47">
        <v>705.67126605297085</v>
      </c>
      <c r="H133" s="48">
        <v>0.25</v>
      </c>
      <c r="I133" s="48">
        <v>0.63</v>
      </c>
      <c r="J133" s="48">
        <v>0.85494999999999999</v>
      </c>
      <c r="K133" s="46">
        <f>LOG10(H133/I133)</f>
        <v>-0.40140054078154414</v>
      </c>
      <c r="L133" s="72" t="s">
        <v>18</v>
      </c>
      <c r="M133" s="72"/>
      <c r="N133" s="72"/>
      <c r="O133" s="73"/>
      <c r="P133" s="79"/>
      <c r="Q133" s="62"/>
      <c r="R133" s="62"/>
    </row>
    <row r="134" spans="1:18" s="13" customFormat="1" ht="16.5" thickBot="1">
      <c r="E134" s="31"/>
      <c r="F134" s="33"/>
      <c r="G134" s="32"/>
      <c r="H134" s="31"/>
      <c r="I134" s="31"/>
      <c r="J134" s="31"/>
      <c r="K134" s="33"/>
      <c r="L134" s="61"/>
      <c r="M134" s="61"/>
      <c r="N134" s="61"/>
      <c r="O134" s="63"/>
      <c r="P134" s="61"/>
      <c r="Q134" s="62"/>
      <c r="R134" s="62"/>
    </row>
    <row r="135" spans="1:18" s="13" customFormat="1">
      <c r="A135" s="18" t="s">
        <v>297</v>
      </c>
      <c r="B135" s="41" t="s">
        <v>192</v>
      </c>
      <c r="C135" s="41" t="s">
        <v>199</v>
      </c>
      <c r="D135" s="41">
        <v>88</v>
      </c>
      <c r="E135" s="53">
        <v>39.1</v>
      </c>
      <c r="F135" s="42">
        <v>-114.21</v>
      </c>
      <c r="G135" s="43">
        <v>740.14557304548089</v>
      </c>
      <c r="H135" s="44">
        <v>0.72</v>
      </c>
      <c r="I135" s="44">
        <v>0.24</v>
      </c>
      <c r="J135" s="44">
        <v>0.88785599999999998</v>
      </c>
      <c r="K135" s="42">
        <f t="shared" ref="K135:K143" si="12">LOG10(H135/I135)</f>
        <v>0.47712125471966244</v>
      </c>
      <c r="L135" s="68" t="s">
        <v>21</v>
      </c>
      <c r="M135" s="68" t="s">
        <v>200</v>
      </c>
      <c r="N135" s="68" t="s">
        <v>21</v>
      </c>
      <c r="O135" s="69">
        <f>1*100/9</f>
        <v>11.111111111111111</v>
      </c>
      <c r="P135" s="70">
        <v>740.14557304548089</v>
      </c>
      <c r="Q135" s="62"/>
      <c r="R135" s="62"/>
    </row>
    <row r="136" spans="1:18" s="13" customFormat="1">
      <c r="A136" s="19" t="s">
        <v>297</v>
      </c>
      <c r="B136" s="13" t="s">
        <v>192</v>
      </c>
      <c r="C136" s="13" t="s">
        <v>199</v>
      </c>
      <c r="D136" s="13">
        <v>89</v>
      </c>
      <c r="E136" s="54">
        <v>39.1</v>
      </c>
      <c r="F136" s="33">
        <v>-114.21</v>
      </c>
      <c r="G136" s="32">
        <v>740.5302984058053</v>
      </c>
      <c r="H136" s="31">
        <v>1.2</v>
      </c>
      <c r="I136" s="31">
        <v>0.77</v>
      </c>
      <c r="J136" s="31">
        <v>1.8497600000000001</v>
      </c>
      <c r="K136" s="33">
        <f t="shared" si="12"/>
        <v>0.19269052087514291</v>
      </c>
      <c r="L136" s="61" t="s">
        <v>76</v>
      </c>
      <c r="M136" s="61" t="s">
        <v>201</v>
      </c>
      <c r="N136" s="61" t="s">
        <v>76</v>
      </c>
      <c r="O136" s="63">
        <f>7*100/9</f>
        <v>77.777777777777771</v>
      </c>
      <c r="P136" s="71">
        <f>AVERAGE(G136,G138:G143)</f>
        <v>741.75535021616713</v>
      </c>
      <c r="Q136" s="62"/>
      <c r="R136" s="62"/>
    </row>
    <row r="137" spans="1:18" s="13" customFormat="1">
      <c r="A137" s="19" t="s">
        <v>297</v>
      </c>
      <c r="B137" s="13" t="s">
        <v>192</v>
      </c>
      <c r="C137" s="13" t="s">
        <v>199</v>
      </c>
      <c r="D137" s="13">
        <v>90</v>
      </c>
      <c r="E137" s="54">
        <v>39.1</v>
      </c>
      <c r="F137" s="33">
        <v>-114.21</v>
      </c>
      <c r="G137" s="32">
        <v>712.74853370787434</v>
      </c>
      <c r="H137" s="31">
        <v>0.54</v>
      </c>
      <c r="I137" s="31">
        <v>0.95</v>
      </c>
      <c r="J137" s="31">
        <v>1.4358919999999999</v>
      </c>
      <c r="K137" s="33">
        <f t="shared" si="12"/>
        <v>-0.24532984546587919</v>
      </c>
      <c r="L137" s="61" t="s">
        <v>15</v>
      </c>
      <c r="M137" s="61" t="s">
        <v>202</v>
      </c>
      <c r="N137" s="61" t="s">
        <v>15</v>
      </c>
      <c r="O137" s="63">
        <f t="shared" ref="O137" si="13">1*100/9</f>
        <v>11.111111111111111</v>
      </c>
      <c r="P137" s="71">
        <v>712.74853370787434</v>
      </c>
      <c r="Q137" s="62"/>
      <c r="R137" s="62"/>
    </row>
    <row r="138" spans="1:18" s="13" customFormat="1">
      <c r="A138" s="19" t="s">
        <v>297</v>
      </c>
      <c r="B138" s="13" t="s">
        <v>192</v>
      </c>
      <c r="C138" s="13" t="s">
        <v>199</v>
      </c>
      <c r="D138" s="13">
        <v>91</v>
      </c>
      <c r="E138" s="54">
        <v>39.1</v>
      </c>
      <c r="F138" s="33">
        <v>-114.21</v>
      </c>
      <c r="G138" s="32">
        <v>732.39101673443236</v>
      </c>
      <c r="H138" s="31">
        <v>0.68</v>
      </c>
      <c r="I138" s="31">
        <v>0.38</v>
      </c>
      <c r="J138" s="31">
        <v>0.99186400000000008</v>
      </c>
      <c r="K138" s="33">
        <f t="shared" si="12"/>
        <v>0.25272531608942617</v>
      </c>
      <c r="L138" s="61" t="s">
        <v>76</v>
      </c>
      <c r="M138" s="61"/>
      <c r="N138" s="61"/>
      <c r="O138" s="63"/>
      <c r="P138" s="78"/>
      <c r="Q138" s="62"/>
      <c r="R138" s="62"/>
    </row>
    <row r="139" spans="1:18" s="13" customFormat="1">
      <c r="A139" s="19" t="s">
        <v>297</v>
      </c>
      <c r="B139" s="13" t="s">
        <v>192</v>
      </c>
      <c r="C139" s="13" t="s">
        <v>199</v>
      </c>
      <c r="D139" s="13">
        <v>92</v>
      </c>
      <c r="E139" s="54">
        <v>39.1</v>
      </c>
      <c r="F139" s="33">
        <v>-114.21</v>
      </c>
      <c r="G139" s="32">
        <v>710.24754059999839</v>
      </c>
      <c r="H139" s="31">
        <v>0.78</v>
      </c>
      <c r="I139" s="31">
        <v>0.38</v>
      </c>
      <c r="J139" s="31">
        <v>1.081844</v>
      </c>
      <c r="K139" s="33">
        <f t="shared" si="12"/>
        <v>0.31231100607367029</v>
      </c>
      <c r="L139" s="61" t="s">
        <v>76</v>
      </c>
      <c r="M139" s="61"/>
      <c r="N139" s="61"/>
      <c r="O139" s="63"/>
      <c r="P139" s="78"/>
      <c r="Q139" s="62"/>
      <c r="R139" s="62"/>
    </row>
    <row r="140" spans="1:18" s="13" customFormat="1">
      <c r="A140" s="19" t="s">
        <v>297</v>
      </c>
      <c r="B140" s="13" t="s">
        <v>192</v>
      </c>
      <c r="C140" s="13" t="s">
        <v>199</v>
      </c>
      <c r="D140" s="13">
        <v>93</v>
      </c>
      <c r="E140" s="54">
        <v>39.1</v>
      </c>
      <c r="F140" s="33">
        <v>-114.21</v>
      </c>
      <c r="G140" s="32">
        <v>728.97620320632961</v>
      </c>
      <c r="H140" s="31">
        <v>0.88</v>
      </c>
      <c r="I140" s="31">
        <v>0.38</v>
      </c>
      <c r="J140" s="31">
        <v>1.171824</v>
      </c>
      <c r="K140" s="33">
        <f t="shared" si="12"/>
        <v>0.36469907553335851</v>
      </c>
      <c r="L140" s="61" t="s">
        <v>76</v>
      </c>
      <c r="M140" s="61"/>
      <c r="N140" s="61"/>
      <c r="O140" s="63"/>
      <c r="P140" s="78"/>
      <c r="Q140" s="62"/>
      <c r="R140" s="62"/>
    </row>
    <row r="141" spans="1:18" s="13" customFormat="1">
      <c r="A141" s="19" t="s">
        <v>297</v>
      </c>
      <c r="B141" s="13" t="s">
        <v>192</v>
      </c>
      <c r="C141" s="13" t="s">
        <v>199</v>
      </c>
      <c r="D141" s="13">
        <v>94</v>
      </c>
      <c r="E141" s="54">
        <v>39.1</v>
      </c>
      <c r="F141" s="33">
        <v>-114.21</v>
      </c>
      <c r="G141" s="32">
        <v>734.67392452050478</v>
      </c>
      <c r="H141" s="31">
        <v>0.48</v>
      </c>
      <c r="I141" s="31">
        <v>0.4</v>
      </c>
      <c r="J141" s="31">
        <v>0.83190399999999998</v>
      </c>
      <c r="K141" s="33">
        <f t="shared" si="12"/>
        <v>7.9181246047624818E-2</v>
      </c>
      <c r="L141" s="61" t="s">
        <v>76</v>
      </c>
      <c r="M141" s="61"/>
      <c r="N141" s="61"/>
      <c r="O141" s="63"/>
      <c r="P141" s="78"/>
      <c r="Q141" s="62"/>
      <c r="R141" s="62"/>
    </row>
    <row r="142" spans="1:18" s="13" customFormat="1">
      <c r="A142" s="19" t="s">
        <v>297</v>
      </c>
      <c r="B142" s="13" t="s">
        <v>192</v>
      </c>
      <c r="C142" s="13" t="s">
        <v>199</v>
      </c>
      <c r="D142" s="13">
        <v>95</v>
      </c>
      <c r="E142" s="54">
        <v>39.1</v>
      </c>
      <c r="F142" s="33">
        <v>-114.21</v>
      </c>
      <c r="G142" s="32">
        <v>756.07439917525664</v>
      </c>
      <c r="H142" s="31">
        <v>0.85</v>
      </c>
      <c r="I142" s="31">
        <v>0.32</v>
      </c>
      <c r="J142" s="31">
        <v>1.08483</v>
      </c>
      <c r="K142" s="33">
        <f t="shared" si="12"/>
        <v>0.42426894739438675</v>
      </c>
      <c r="L142" s="61" t="s">
        <v>76</v>
      </c>
      <c r="M142" s="61"/>
      <c r="N142" s="61"/>
      <c r="O142" s="63"/>
      <c r="P142" s="78"/>
      <c r="Q142" s="62"/>
      <c r="R142" s="62"/>
    </row>
    <row r="143" spans="1:18" s="13" customFormat="1" ht="16.5" thickBot="1">
      <c r="A143" s="20" t="s">
        <v>297</v>
      </c>
      <c r="B143" s="45" t="s">
        <v>192</v>
      </c>
      <c r="C143" s="45" t="s">
        <v>199</v>
      </c>
      <c r="D143" s="45">
        <v>96</v>
      </c>
      <c r="E143" s="55">
        <v>39.1</v>
      </c>
      <c r="F143" s="46">
        <v>-114.21</v>
      </c>
      <c r="G143" s="47">
        <v>789.39406887084249</v>
      </c>
      <c r="H143" s="48">
        <v>2.2000000000000002</v>
      </c>
      <c r="I143" s="48">
        <v>0.2</v>
      </c>
      <c r="J143" s="48">
        <v>2.1795600000000004</v>
      </c>
      <c r="K143" s="46">
        <f t="shared" si="12"/>
        <v>1.0413926851582251</v>
      </c>
      <c r="L143" s="72" t="s">
        <v>76</v>
      </c>
      <c r="M143" s="72"/>
      <c r="N143" s="72"/>
      <c r="O143" s="73"/>
      <c r="P143" s="79"/>
      <c r="Q143" s="62"/>
      <c r="R143" s="62"/>
    </row>
    <row r="144" spans="1:18" s="13" customFormat="1" ht="16.5" thickBot="1">
      <c r="E144" s="31"/>
      <c r="F144" s="33"/>
      <c r="G144" s="7"/>
      <c r="H144" s="39"/>
      <c r="I144" s="39"/>
      <c r="J144" s="40"/>
      <c r="K144" s="33"/>
      <c r="L144" s="61"/>
      <c r="M144" s="61"/>
      <c r="N144" s="61"/>
      <c r="O144" s="63"/>
      <c r="P144" s="61"/>
      <c r="Q144" s="62"/>
      <c r="R144" s="62"/>
    </row>
    <row r="145" spans="1:18" s="13" customFormat="1">
      <c r="A145" s="18" t="s">
        <v>298</v>
      </c>
      <c r="B145" s="41" t="s">
        <v>73</v>
      </c>
      <c r="C145" s="41" t="s">
        <v>203</v>
      </c>
      <c r="D145" s="41" t="s">
        <v>204</v>
      </c>
      <c r="E145" s="53">
        <v>34.549999999999997</v>
      </c>
      <c r="F145" s="42">
        <v>-114.52</v>
      </c>
      <c r="G145" s="43">
        <v>769.1721073184832</v>
      </c>
      <c r="H145" s="44">
        <v>2.27</v>
      </c>
      <c r="I145" s="44">
        <v>1.42</v>
      </c>
      <c r="J145" s="56">
        <v>3.4625460000000001</v>
      </c>
      <c r="K145" s="42">
        <f t="shared" si="5"/>
        <v>0.20373751281006627</v>
      </c>
      <c r="L145" s="68" t="s">
        <v>76</v>
      </c>
      <c r="M145" s="68" t="s">
        <v>205</v>
      </c>
      <c r="N145" s="68" t="s">
        <v>76</v>
      </c>
      <c r="O145" s="69">
        <f>18*100/23</f>
        <v>78.260869565217391</v>
      </c>
      <c r="P145" s="70">
        <f>AVERAGE(G145:G146,G148:G155,G158,G160:G165,G167)</f>
        <v>775.75186869347374</v>
      </c>
      <c r="Q145" s="62"/>
      <c r="R145" s="62"/>
    </row>
    <row r="146" spans="1:18" s="13" customFormat="1">
      <c r="A146" s="19" t="s">
        <v>298</v>
      </c>
      <c r="B146" s="13" t="s">
        <v>73</v>
      </c>
      <c r="C146" s="13" t="s">
        <v>203</v>
      </c>
      <c r="D146" s="13" t="s">
        <v>206</v>
      </c>
      <c r="E146" s="54">
        <v>34.549999999999997</v>
      </c>
      <c r="F146" s="33">
        <v>-114.52</v>
      </c>
      <c r="G146" s="32">
        <v>804.11954972393335</v>
      </c>
      <c r="H146" s="31">
        <v>2.36</v>
      </c>
      <c r="I146" s="31">
        <v>2.86</v>
      </c>
      <c r="J146" s="40">
        <v>4.9835279999999997</v>
      </c>
      <c r="K146" s="33">
        <f t="shared" si="5"/>
        <v>-8.3454030158936404E-2</v>
      </c>
      <c r="L146" s="61" t="s">
        <v>76</v>
      </c>
      <c r="M146" s="61" t="s">
        <v>207</v>
      </c>
      <c r="N146" s="61" t="s">
        <v>15</v>
      </c>
      <c r="O146" s="63">
        <f>3*100/23</f>
        <v>13.043478260869565</v>
      </c>
      <c r="P146" s="71">
        <f>AVERAGE(G156:G157)</f>
        <v>776.83759406936667</v>
      </c>
      <c r="Q146" s="62"/>
      <c r="R146" s="62"/>
    </row>
    <row r="147" spans="1:18" s="13" customFormat="1">
      <c r="A147" s="19" t="s">
        <v>298</v>
      </c>
      <c r="B147" s="13" t="s">
        <v>73</v>
      </c>
      <c r="C147" s="13" t="s">
        <v>203</v>
      </c>
      <c r="D147" s="13" t="s">
        <v>208</v>
      </c>
      <c r="E147" s="54">
        <v>34.549999999999997</v>
      </c>
      <c r="F147" s="33">
        <v>-114.52</v>
      </c>
      <c r="G147" s="32"/>
      <c r="H147" s="31">
        <v>2.6</v>
      </c>
      <c r="I147" s="31">
        <v>3.47</v>
      </c>
      <c r="J147" s="40">
        <v>5.8094800000000006</v>
      </c>
      <c r="K147" s="33">
        <f t="shared" si="5"/>
        <v>-0.12535612682005579</v>
      </c>
      <c r="L147" s="61" t="s">
        <v>15</v>
      </c>
      <c r="M147" s="61" t="s">
        <v>209</v>
      </c>
      <c r="N147" s="61" t="s">
        <v>18</v>
      </c>
      <c r="O147" s="63">
        <f>2*100/23</f>
        <v>8.695652173913043</v>
      </c>
      <c r="P147" s="71">
        <f>AVERAGE(G159,G166)</f>
        <v>732.74743655593591</v>
      </c>
      <c r="Q147" s="62"/>
      <c r="R147" s="62"/>
    </row>
    <row r="148" spans="1:18" s="13" customFormat="1">
      <c r="A148" s="19" t="s">
        <v>298</v>
      </c>
      <c r="B148" s="13" t="s">
        <v>73</v>
      </c>
      <c r="C148" s="13" t="s">
        <v>203</v>
      </c>
      <c r="D148" s="13" t="s">
        <v>210</v>
      </c>
      <c r="E148" s="54">
        <v>34.549999999999997</v>
      </c>
      <c r="F148" s="33">
        <v>-114.52</v>
      </c>
      <c r="G148" s="32">
        <v>811.30386881483412</v>
      </c>
      <c r="H148" s="31">
        <v>2.56</v>
      </c>
      <c r="I148" s="31">
        <v>2.06</v>
      </c>
      <c r="J148" s="40">
        <v>4.3634880000000003</v>
      </c>
      <c r="K148" s="33">
        <f t="shared" si="5"/>
        <v>9.4372744942696124E-2</v>
      </c>
      <c r="L148" s="61" t="s">
        <v>76</v>
      </c>
      <c r="M148" s="61"/>
      <c r="N148" s="61"/>
      <c r="O148" s="63"/>
      <c r="P148" s="78"/>
      <c r="Q148" s="62"/>
      <c r="R148" s="62"/>
    </row>
    <row r="149" spans="1:18" s="13" customFormat="1">
      <c r="A149" s="19" t="s">
        <v>298</v>
      </c>
      <c r="B149" s="13" t="s">
        <v>73</v>
      </c>
      <c r="C149" s="13" t="s">
        <v>203</v>
      </c>
      <c r="D149" s="13" t="s">
        <v>211</v>
      </c>
      <c r="E149" s="54">
        <v>34.549999999999997</v>
      </c>
      <c r="F149" s="33">
        <v>-114.52</v>
      </c>
      <c r="G149" s="32">
        <v>798.06623524046665</v>
      </c>
      <c r="H149" s="31">
        <v>1.86</v>
      </c>
      <c r="I149" s="31">
        <v>1.98</v>
      </c>
      <c r="J149" s="40">
        <v>3.6536280000000003</v>
      </c>
      <c r="K149" s="33">
        <f t="shared" si="5"/>
        <v>-2.7152246043614773E-2</v>
      </c>
      <c r="L149" s="61" t="s">
        <v>76</v>
      </c>
      <c r="M149" s="61"/>
      <c r="N149" s="61"/>
      <c r="O149" s="63"/>
      <c r="P149" s="78"/>
      <c r="Q149" s="62"/>
      <c r="R149" s="62"/>
    </row>
    <row r="150" spans="1:18" s="13" customFormat="1">
      <c r="A150" s="19" t="s">
        <v>298</v>
      </c>
      <c r="B150" s="13" t="s">
        <v>73</v>
      </c>
      <c r="C150" s="13" t="s">
        <v>203</v>
      </c>
      <c r="D150" s="13" t="s">
        <v>212</v>
      </c>
      <c r="E150" s="54">
        <v>34.549999999999997</v>
      </c>
      <c r="F150" s="33">
        <v>-114.52</v>
      </c>
      <c r="G150" s="32">
        <v>787.43128759586</v>
      </c>
      <c r="H150" s="31">
        <v>1.82</v>
      </c>
      <c r="I150" s="31">
        <v>1.29</v>
      </c>
      <c r="J150" s="40">
        <v>2.9276360000000001</v>
      </c>
      <c r="K150" s="33">
        <f t="shared" si="5"/>
        <v>0.14948167768582585</v>
      </c>
      <c r="L150" s="61" t="s">
        <v>76</v>
      </c>
      <c r="M150" s="61"/>
      <c r="N150" s="61"/>
      <c r="O150" s="63"/>
      <c r="P150" s="78"/>
      <c r="Q150" s="62"/>
      <c r="R150" s="62"/>
    </row>
    <row r="151" spans="1:18" s="13" customFormat="1">
      <c r="A151" s="19" t="s">
        <v>298</v>
      </c>
      <c r="B151" s="13" t="s">
        <v>73</v>
      </c>
      <c r="C151" s="13" t="s">
        <v>203</v>
      </c>
      <c r="D151" s="13" t="s">
        <v>213</v>
      </c>
      <c r="E151" s="54">
        <v>34.549999999999997</v>
      </c>
      <c r="F151" s="33">
        <v>-114.52</v>
      </c>
      <c r="G151" s="32">
        <v>810.36650614302641</v>
      </c>
      <c r="H151" s="31">
        <v>1.4</v>
      </c>
      <c r="I151" s="31">
        <v>1.29</v>
      </c>
      <c r="J151" s="40">
        <v>2.5497199999999998</v>
      </c>
      <c r="K151" s="33">
        <f t="shared" si="5"/>
        <v>3.5538325378989037E-2</v>
      </c>
      <c r="L151" s="61" t="s">
        <v>76</v>
      </c>
      <c r="M151" s="61"/>
      <c r="N151" s="61"/>
      <c r="O151" s="63"/>
      <c r="P151" s="78"/>
      <c r="Q151" s="62"/>
      <c r="R151" s="62"/>
    </row>
    <row r="152" spans="1:18" s="13" customFormat="1">
      <c r="A152" s="19" t="s">
        <v>298</v>
      </c>
      <c r="B152" s="13" t="s">
        <v>73</v>
      </c>
      <c r="C152" s="13" t="s">
        <v>203</v>
      </c>
      <c r="D152" s="13" t="s">
        <v>214</v>
      </c>
      <c r="E152" s="54">
        <v>34.549999999999997</v>
      </c>
      <c r="F152" s="33">
        <v>-114.52</v>
      </c>
      <c r="G152" s="32">
        <v>776.26028575444923</v>
      </c>
      <c r="H152" s="31">
        <v>1.62</v>
      </c>
      <c r="I152" s="31">
        <v>0.98</v>
      </c>
      <c r="J152" s="40">
        <v>2.4376760000000002</v>
      </c>
      <c r="K152" s="33">
        <f t="shared" si="5"/>
        <v>0.21828893885013612</v>
      </c>
      <c r="L152" s="61" t="s">
        <v>76</v>
      </c>
      <c r="M152" s="61"/>
      <c r="N152" s="61"/>
      <c r="O152" s="63"/>
      <c r="P152" s="78"/>
      <c r="Q152" s="62"/>
      <c r="R152" s="62"/>
    </row>
    <row r="153" spans="1:18" s="13" customFormat="1">
      <c r="A153" s="19" t="s">
        <v>298</v>
      </c>
      <c r="B153" s="13" t="s">
        <v>73</v>
      </c>
      <c r="C153" s="13" t="s">
        <v>203</v>
      </c>
      <c r="D153" s="13" t="s">
        <v>215</v>
      </c>
      <c r="E153" s="54">
        <v>34.549999999999997</v>
      </c>
      <c r="F153" s="33">
        <v>-114.52</v>
      </c>
      <c r="G153" s="32">
        <v>776.61704566714604</v>
      </c>
      <c r="H153" s="31">
        <v>1.06</v>
      </c>
      <c r="I153" s="31">
        <v>0.78</v>
      </c>
      <c r="J153" s="40">
        <v>1.7337880000000001</v>
      </c>
      <c r="K153" s="33">
        <f t="shared" si="5"/>
        <v>0.13321126257428986</v>
      </c>
      <c r="L153" s="61" t="s">
        <v>76</v>
      </c>
      <c r="M153" s="61"/>
      <c r="N153" s="61"/>
      <c r="O153" s="63"/>
      <c r="P153" s="78"/>
      <c r="Q153" s="62"/>
      <c r="R153" s="62"/>
    </row>
    <row r="154" spans="1:18" s="13" customFormat="1">
      <c r="A154" s="19" t="s">
        <v>298</v>
      </c>
      <c r="B154" s="13" t="s">
        <v>73</v>
      </c>
      <c r="C154" s="13" t="s">
        <v>203</v>
      </c>
      <c r="D154" s="13" t="s">
        <v>216</v>
      </c>
      <c r="E154" s="54">
        <v>34.549999999999997</v>
      </c>
      <c r="F154" s="33">
        <v>-114.52</v>
      </c>
      <c r="G154" s="32">
        <v>773.79665786473754</v>
      </c>
      <c r="H154" s="31">
        <v>0.76</v>
      </c>
      <c r="I154" s="31">
        <v>0.74</v>
      </c>
      <c r="J154" s="40">
        <v>1.423848</v>
      </c>
      <c r="K154" s="33">
        <f t="shared" si="5"/>
        <v>1.1581872549815138E-2</v>
      </c>
      <c r="L154" s="61" t="s">
        <v>76</v>
      </c>
      <c r="M154" s="61"/>
      <c r="N154" s="61"/>
      <c r="O154" s="63"/>
      <c r="P154" s="78"/>
      <c r="Q154" s="62"/>
      <c r="R154" s="62"/>
    </row>
    <row r="155" spans="1:18" s="13" customFormat="1">
      <c r="A155" s="19" t="s">
        <v>298</v>
      </c>
      <c r="B155" s="13" t="s">
        <v>73</v>
      </c>
      <c r="C155" s="13" t="s">
        <v>203</v>
      </c>
      <c r="D155" s="13" t="s">
        <v>217</v>
      </c>
      <c r="E155" s="54">
        <v>34.549999999999997</v>
      </c>
      <c r="F155" s="33">
        <v>-114.52</v>
      </c>
      <c r="G155" s="32">
        <v>780.16750491643381</v>
      </c>
      <c r="H155" s="31">
        <v>0.93</v>
      </c>
      <c r="I155" s="31">
        <v>1.1000000000000001</v>
      </c>
      <c r="J155" s="40">
        <v>1.936814</v>
      </c>
      <c r="K155" s="33">
        <f t="shared" si="5"/>
        <v>-7.2909736604289926E-2</v>
      </c>
      <c r="L155" s="61" t="s">
        <v>76</v>
      </c>
      <c r="M155" s="61"/>
      <c r="N155" s="61"/>
      <c r="O155" s="63"/>
      <c r="P155" s="78"/>
      <c r="Q155" s="62"/>
      <c r="R155" s="62"/>
    </row>
    <row r="156" spans="1:18" s="13" customFormat="1">
      <c r="A156" s="19" t="s">
        <v>298</v>
      </c>
      <c r="B156" s="13" t="s">
        <v>73</v>
      </c>
      <c r="C156" s="13" t="s">
        <v>203</v>
      </c>
      <c r="D156" s="13" t="s">
        <v>218</v>
      </c>
      <c r="E156" s="54">
        <v>34.549999999999997</v>
      </c>
      <c r="F156" s="33">
        <v>-114.52</v>
      </c>
      <c r="G156" s="32">
        <v>790.08781930359157</v>
      </c>
      <c r="H156" s="31">
        <v>0.73</v>
      </c>
      <c r="I156" s="31">
        <v>1.18</v>
      </c>
      <c r="J156" s="40">
        <v>1.836854</v>
      </c>
      <c r="K156" s="33">
        <f t="shared" si="5"/>
        <v>-0.20855914718566948</v>
      </c>
      <c r="L156" s="61" t="s">
        <v>15</v>
      </c>
      <c r="M156" s="61"/>
      <c r="N156" s="61"/>
      <c r="O156" s="63"/>
      <c r="P156" s="78"/>
      <c r="Q156" s="62"/>
      <c r="R156" s="62"/>
    </row>
    <row r="157" spans="1:18" s="13" customFormat="1">
      <c r="A157" s="19" t="s">
        <v>298</v>
      </c>
      <c r="B157" s="13" t="s">
        <v>73</v>
      </c>
      <c r="C157" s="13" t="s">
        <v>203</v>
      </c>
      <c r="D157" s="13" t="s">
        <v>219</v>
      </c>
      <c r="E157" s="54">
        <v>34.549999999999997</v>
      </c>
      <c r="F157" s="33">
        <v>-114.52</v>
      </c>
      <c r="G157" s="32">
        <v>763.58736883514177</v>
      </c>
      <c r="H157" s="31">
        <v>0.49</v>
      </c>
      <c r="I157" s="31">
        <v>1.05</v>
      </c>
      <c r="J157" s="40">
        <v>1.4909020000000002</v>
      </c>
      <c r="K157" s="33">
        <f t="shared" si="5"/>
        <v>-0.33099321904142448</v>
      </c>
      <c r="L157" s="61" t="s">
        <v>15</v>
      </c>
      <c r="M157" s="61"/>
      <c r="N157" s="61"/>
      <c r="O157" s="63"/>
      <c r="P157" s="78"/>
      <c r="Q157" s="62"/>
      <c r="R157" s="62"/>
    </row>
    <row r="158" spans="1:18" s="13" customFormat="1">
      <c r="A158" s="19" t="s">
        <v>298</v>
      </c>
      <c r="B158" s="13" t="s">
        <v>73</v>
      </c>
      <c r="C158" s="13" t="s">
        <v>203</v>
      </c>
      <c r="D158" s="13" t="s">
        <v>220</v>
      </c>
      <c r="E158" s="54">
        <v>34.549999999999997</v>
      </c>
      <c r="F158" s="33">
        <v>-114.52</v>
      </c>
      <c r="G158" s="32">
        <v>760.84482775910226</v>
      </c>
      <c r="H158" s="31">
        <v>0.77</v>
      </c>
      <c r="I158" s="31">
        <v>0.56999999999999995</v>
      </c>
      <c r="J158" s="40">
        <v>1.2628460000000001</v>
      </c>
      <c r="K158" s="33">
        <f t="shared" si="5"/>
        <v>0.13061586949999054</v>
      </c>
      <c r="L158" s="61" t="s">
        <v>76</v>
      </c>
      <c r="M158" s="61"/>
      <c r="N158" s="61"/>
      <c r="O158" s="63"/>
      <c r="P158" s="78"/>
      <c r="Q158" s="62"/>
      <c r="R158" s="62"/>
    </row>
    <row r="159" spans="1:18" s="13" customFormat="1">
      <c r="A159" s="19" t="s">
        <v>298</v>
      </c>
      <c r="B159" s="13" t="s">
        <v>73</v>
      </c>
      <c r="C159" s="13" t="s">
        <v>203</v>
      </c>
      <c r="D159" s="13" t="s">
        <v>221</v>
      </c>
      <c r="E159" s="54">
        <v>34.549999999999997</v>
      </c>
      <c r="F159" s="33">
        <v>-114.52</v>
      </c>
      <c r="G159" s="32">
        <v>721.85347506357505</v>
      </c>
      <c r="H159" s="31">
        <v>0.39</v>
      </c>
      <c r="I159" s="31">
        <v>1.21</v>
      </c>
      <c r="J159" s="40">
        <v>1.5609219999999999</v>
      </c>
      <c r="K159" s="33">
        <f t="shared" si="5"/>
        <v>-0.49172076328995085</v>
      </c>
      <c r="L159" s="61" t="s">
        <v>18</v>
      </c>
      <c r="M159" s="61"/>
      <c r="N159" s="61"/>
      <c r="O159" s="63"/>
      <c r="P159" s="78"/>
      <c r="Q159" s="62"/>
      <c r="R159" s="62"/>
    </row>
    <row r="160" spans="1:18" s="13" customFormat="1">
      <c r="A160" s="19" t="s">
        <v>298</v>
      </c>
      <c r="B160" s="13" t="s">
        <v>73</v>
      </c>
      <c r="C160" s="13" t="s">
        <v>203</v>
      </c>
      <c r="D160" s="13" t="s">
        <v>222</v>
      </c>
      <c r="E160" s="54">
        <v>34.549999999999997</v>
      </c>
      <c r="F160" s="33">
        <v>-114.52</v>
      </c>
      <c r="G160" s="32">
        <v>788.57020803349735</v>
      </c>
      <c r="H160" s="31">
        <v>0.91</v>
      </c>
      <c r="I160" s="31">
        <v>0.68</v>
      </c>
      <c r="J160" s="40">
        <v>1.498818</v>
      </c>
      <c r="K160" s="33">
        <f t="shared" si="5"/>
        <v>0.12653247961485725</v>
      </c>
      <c r="L160" s="61" t="s">
        <v>76</v>
      </c>
      <c r="M160" s="61"/>
      <c r="N160" s="61"/>
      <c r="O160" s="63"/>
      <c r="P160" s="78"/>
      <c r="Q160" s="62"/>
      <c r="R160" s="62"/>
    </row>
    <row r="161" spans="1:18" s="13" customFormat="1">
      <c r="A161" s="19" t="s">
        <v>298</v>
      </c>
      <c r="B161" s="13" t="s">
        <v>73</v>
      </c>
      <c r="C161" s="13" t="s">
        <v>203</v>
      </c>
      <c r="D161" s="13" t="s">
        <v>223</v>
      </c>
      <c r="E161" s="54">
        <v>34.549999999999997</v>
      </c>
      <c r="F161" s="33">
        <v>-114.52</v>
      </c>
      <c r="G161" s="32">
        <v>755.59777704309579</v>
      </c>
      <c r="H161" s="31">
        <v>0.77</v>
      </c>
      <c r="I161" s="31">
        <v>0.35</v>
      </c>
      <c r="J161" s="40">
        <v>1.0428459999999999</v>
      </c>
      <c r="K161" s="33">
        <f t="shared" si="5"/>
        <v>0.34242268082220628</v>
      </c>
      <c r="L161" s="61" t="s">
        <v>76</v>
      </c>
      <c r="M161" s="61"/>
      <c r="N161" s="61"/>
      <c r="O161" s="63"/>
      <c r="P161" s="78"/>
      <c r="Q161" s="62"/>
      <c r="R161" s="62"/>
    </row>
    <row r="162" spans="1:18" s="13" customFormat="1">
      <c r="A162" s="19" t="s">
        <v>298</v>
      </c>
      <c r="B162" s="13" t="s">
        <v>73</v>
      </c>
      <c r="C162" s="13" t="s">
        <v>203</v>
      </c>
      <c r="D162" s="13" t="s">
        <v>224</v>
      </c>
      <c r="E162" s="54">
        <v>34.549999999999997</v>
      </c>
      <c r="F162" s="33">
        <v>-114.52</v>
      </c>
      <c r="G162" s="32"/>
      <c r="H162" s="31">
        <v>0.52</v>
      </c>
      <c r="I162" s="31">
        <v>0.46</v>
      </c>
      <c r="J162" s="40">
        <v>0.92789600000000005</v>
      </c>
      <c r="K162" s="33">
        <f t="shared" si="5"/>
        <v>5.324551195322505E-2</v>
      </c>
      <c r="L162" s="61" t="s">
        <v>76</v>
      </c>
      <c r="M162" s="61"/>
      <c r="N162" s="61"/>
      <c r="O162" s="63"/>
      <c r="P162" s="78"/>
      <c r="Q162" s="62"/>
      <c r="R162" s="62"/>
    </row>
    <row r="163" spans="1:18" s="13" customFormat="1">
      <c r="A163" s="19" t="s">
        <v>298</v>
      </c>
      <c r="B163" s="13" t="s">
        <v>73</v>
      </c>
      <c r="C163" s="13" t="s">
        <v>203</v>
      </c>
      <c r="D163" s="13" t="s">
        <v>225</v>
      </c>
      <c r="E163" s="54">
        <v>34.549999999999997</v>
      </c>
      <c r="F163" s="33">
        <v>-114.52</v>
      </c>
      <c r="G163" s="32">
        <v>766.23584361846599</v>
      </c>
      <c r="H163" s="31">
        <v>0.45</v>
      </c>
      <c r="I163" s="31">
        <v>0.45</v>
      </c>
      <c r="J163" s="40">
        <v>0.85491000000000006</v>
      </c>
      <c r="K163" s="33">
        <f t="shared" si="5"/>
        <v>0</v>
      </c>
      <c r="L163" s="61" t="s">
        <v>76</v>
      </c>
      <c r="M163" s="61"/>
      <c r="N163" s="61"/>
      <c r="O163" s="63"/>
      <c r="P163" s="78"/>
      <c r="Q163" s="62"/>
      <c r="R163" s="62"/>
    </row>
    <row r="164" spans="1:18" s="13" customFormat="1">
      <c r="A164" s="19" t="s">
        <v>298</v>
      </c>
      <c r="B164" s="13" t="s">
        <v>73</v>
      </c>
      <c r="C164" s="13" t="s">
        <v>203</v>
      </c>
      <c r="D164" s="13" t="s">
        <v>226</v>
      </c>
      <c r="E164" s="54">
        <v>34.549999999999997</v>
      </c>
      <c r="F164" s="33">
        <v>-114.52</v>
      </c>
      <c r="G164" s="32">
        <v>755.45664825562528</v>
      </c>
      <c r="H164" s="31">
        <v>0.45</v>
      </c>
      <c r="I164" s="31">
        <v>0.31</v>
      </c>
      <c r="J164" s="40">
        <v>0.71491000000000005</v>
      </c>
      <c r="K164" s="33">
        <f t="shared" si="5"/>
        <v>0.16185081994107101</v>
      </c>
      <c r="L164" s="61" t="s">
        <v>76</v>
      </c>
      <c r="M164" s="61"/>
      <c r="N164" s="61"/>
      <c r="O164" s="63"/>
      <c r="P164" s="78"/>
      <c r="Q164" s="62"/>
      <c r="R164" s="62"/>
    </row>
    <row r="165" spans="1:18" s="13" customFormat="1">
      <c r="A165" s="19" t="s">
        <v>298</v>
      </c>
      <c r="B165" s="13" t="s">
        <v>73</v>
      </c>
      <c r="C165" s="13" t="s">
        <v>203</v>
      </c>
      <c r="D165" s="13" t="s">
        <v>227</v>
      </c>
      <c r="E165" s="54">
        <v>34.549999999999997</v>
      </c>
      <c r="F165" s="33">
        <v>-114.52</v>
      </c>
      <c r="G165" s="32">
        <v>708.37407491085924</v>
      </c>
      <c r="H165" s="31">
        <v>0.2</v>
      </c>
      <c r="I165" s="31">
        <v>0.25</v>
      </c>
      <c r="J165" s="40">
        <v>0.42996000000000001</v>
      </c>
      <c r="K165" s="33">
        <f t="shared" si="5"/>
        <v>-9.6910013008056392E-2</v>
      </c>
      <c r="L165" s="61" t="s">
        <v>76</v>
      </c>
      <c r="M165" s="61"/>
      <c r="N165" s="61"/>
      <c r="O165" s="63"/>
      <c r="P165" s="78"/>
      <c r="Q165" s="62"/>
      <c r="R165" s="62"/>
    </row>
    <row r="166" spans="1:18" s="13" customFormat="1">
      <c r="A166" s="19" t="s">
        <v>298</v>
      </c>
      <c r="B166" s="13" t="s">
        <v>73</v>
      </c>
      <c r="C166" s="13" t="s">
        <v>203</v>
      </c>
      <c r="D166" s="13" t="s">
        <v>228</v>
      </c>
      <c r="E166" s="54">
        <v>34.549999999999997</v>
      </c>
      <c r="F166" s="33">
        <v>-114.52</v>
      </c>
      <c r="G166" s="32">
        <v>743.64139804829676</v>
      </c>
      <c r="H166" s="31">
        <v>0.08</v>
      </c>
      <c r="I166" s="31">
        <v>0.19</v>
      </c>
      <c r="J166" s="40">
        <v>0.26198399999999999</v>
      </c>
      <c r="K166" s="33">
        <f t="shared" si="5"/>
        <v>-0.37566361396088538</v>
      </c>
      <c r="L166" s="61" t="s">
        <v>18</v>
      </c>
      <c r="M166" s="61"/>
      <c r="N166" s="61"/>
      <c r="O166" s="63"/>
      <c r="P166" s="78"/>
      <c r="Q166" s="62"/>
      <c r="R166" s="62"/>
    </row>
    <row r="167" spans="1:18" s="13" customFormat="1" ht="16.5" thickBot="1">
      <c r="A167" s="20" t="s">
        <v>298</v>
      </c>
      <c r="B167" s="45" t="s">
        <v>73</v>
      </c>
      <c r="C167" s="45" t="s">
        <v>203</v>
      </c>
      <c r="D167" s="45" t="s">
        <v>229</v>
      </c>
      <c r="E167" s="55">
        <v>34.549999999999997</v>
      </c>
      <c r="F167" s="46">
        <v>-114.52</v>
      </c>
      <c r="G167" s="47">
        <v>765.40133912903741</v>
      </c>
      <c r="H167" s="48">
        <v>0.4</v>
      </c>
      <c r="I167" s="48">
        <v>0.17</v>
      </c>
      <c r="J167" s="57">
        <v>0.52992000000000006</v>
      </c>
      <c r="K167" s="46">
        <f t="shared" si="5"/>
        <v>0.37161106994968846</v>
      </c>
      <c r="L167" s="72" t="s">
        <v>76</v>
      </c>
      <c r="M167" s="72"/>
      <c r="N167" s="72"/>
      <c r="O167" s="73"/>
      <c r="P167" s="79"/>
      <c r="Q167" s="62"/>
      <c r="R167" s="62"/>
    </row>
    <row r="168" spans="1:18" s="13" customFormat="1" ht="16.5" thickBot="1">
      <c r="E168" s="31"/>
      <c r="F168" s="33"/>
      <c r="G168" s="32"/>
      <c r="H168" s="31"/>
      <c r="I168" s="31"/>
      <c r="J168" s="40"/>
      <c r="K168" s="33"/>
      <c r="L168" s="61"/>
      <c r="M168" s="61"/>
      <c r="N168" s="61"/>
      <c r="O168" s="63"/>
      <c r="P168" s="61"/>
      <c r="Q168" s="62"/>
      <c r="R168" s="62"/>
    </row>
    <row r="169" spans="1:18" s="13" customFormat="1">
      <c r="A169" s="18" t="s">
        <v>298</v>
      </c>
      <c r="B169" s="41" t="s">
        <v>73</v>
      </c>
      <c r="C169" s="41" t="s">
        <v>230</v>
      </c>
      <c r="D169" s="41" t="s">
        <v>231</v>
      </c>
      <c r="E169" s="44">
        <v>34.68</v>
      </c>
      <c r="F169" s="42">
        <v>-114.54</v>
      </c>
      <c r="G169" s="43">
        <v>729.56608074749602</v>
      </c>
      <c r="H169" s="44">
        <v>2.5099999999999998</v>
      </c>
      <c r="I169" s="44">
        <v>5.71</v>
      </c>
      <c r="J169" s="44">
        <v>7.9684980000000003</v>
      </c>
      <c r="K169" s="42">
        <f t="shared" ref="K169:K176" si="14">LOG10(H169/I169)</f>
        <v>-0.35696238676480996</v>
      </c>
      <c r="L169" s="68" t="s">
        <v>15</v>
      </c>
      <c r="M169" s="68" t="s">
        <v>232</v>
      </c>
      <c r="N169" s="68" t="s">
        <v>76</v>
      </c>
      <c r="O169" s="69">
        <f>3*100/8</f>
        <v>37.5</v>
      </c>
      <c r="P169" s="70">
        <f>AVERAGE(G170,G174,G176)</f>
        <v>810.81237216931061</v>
      </c>
      <c r="Q169" s="62"/>
      <c r="R169" s="62"/>
    </row>
    <row r="170" spans="1:18" s="13" customFormat="1">
      <c r="A170" s="19" t="s">
        <v>298</v>
      </c>
      <c r="B170" s="13" t="s">
        <v>73</v>
      </c>
      <c r="C170" s="13" t="s">
        <v>230</v>
      </c>
      <c r="D170" s="13" t="s">
        <v>231</v>
      </c>
      <c r="E170" s="31">
        <v>34.68</v>
      </c>
      <c r="F170" s="33">
        <v>-114.54</v>
      </c>
      <c r="G170" s="32">
        <v>753.59604112409249</v>
      </c>
      <c r="H170" s="31">
        <v>3.69</v>
      </c>
      <c r="I170" s="31">
        <v>5.52</v>
      </c>
      <c r="J170" s="31">
        <v>8.8402619999999992</v>
      </c>
      <c r="K170" s="33">
        <f t="shared" si="14"/>
        <v>-0.17491271157013849</v>
      </c>
      <c r="L170" s="61" t="s">
        <v>76</v>
      </c>
      <c r="M170" s="61" t="s">
        <v>233</v>
      </c>
      <c r="N170" s="61" t="s">
        <v>15</v>
      </c>
      <c r="O170" s="63">
        <f>5*100/8</f>
        <v>62.5</v>
      </c>
      <c r="P170" s="71">
        <f>AVERAGE(G169,G171:G173)</f>
        <v>739.37638768891861</v>
      </c>
      <c r="Q170" s="62"/>
      <c r="R170" s="62"/>
    </row>
    <row r="171" spans="1:18" s="13" customFormat="1">
      <c r="A171" s="19" t="s">
        <v>298</v>
      </c>
      <c r="B171" s="13" t="s">
        <v>73</v>
      </c>
      <c r="C171" s="13" t="s">
        <v>230</v>
      </c>
      <c r="D171" s="13" t="s">
        <v>234</v>
      </c>
      <c r="E171" s="31">
        <v>34.68</v>
      </c>
      <c r="F171" s="33">
        <v>-114.54</v>
      </c>
      <c r="G171" s="32">
        <v>701.53886962846434</v>
      </c>
      <c r="H171" s="31">
        <v>2.62</v>
      </c>
      <c r="I171" s="31">
        <v>4.96</v>
      </c>
      <c r="J171" s="31">
        <v>7.3174760000000001</v>
      </c>
      <c r="K171" s="33">
        <f t="shared" si="14"/>
        <v>-0.27718038517045201</v>
      </c>
      <c r="L171" s="61" t="s">
        <v>15</v>
      </c>
      <c r="M171" s="61"/>
      <c r="N171" s="61"/>
      <c r="O171" s="63"/>
      <c r="P171" s="78"/>
      <c r="Q171" s="62"/>
      <c r="R171" s="62"/>
    </row>
    <row r="172" spans="1:18" s="13" customFormat="1">
      <c r="A172" s="19" t="s">
        <v>298</v>
      </c>
      <c r="B172" s="13" t="s">
        <v>73</v>
      </c>
      <c r="C172" s="13" t="s">
        <v>230</v>
      </c>
      <c r="D172" s="13" t="s">
        <v>235</v>
      </c>
      <c r="E172" s="31">
        <v>34.68</v>
      </c>
      <c r="F172" s="33">
        <v>-114.54</v>
      </c>
      <c r="G172" s="32">
        <v>634.83265649615305</v>
      </c>
      <c r="H172" s="31">
        <v>1.76</v>
      </c>
      <c r="I172" s="31">
        <v>5.14</v>
      </c>
      <c r="J172" s="31">
        <v>6.7236479999999998</v>
      </c>
      <c r="K172" s="33">
        <f t="shared" si="14"/>
        <v>-0.46545045118112588</v>
      </c>
      <c r="L172" s="61" t="s">
        <v>15</v>
      </c>
      <c r="M172" s="61"/>
      <c r="N172" s="61"/>
      <c r="O172" s="63"/>
      <c r="P172" s="78"/>
      <c r="Q172" s="62"/>
      <c r="R172" s="62"/>
    </row>
    <row r="173" spans="1:18" s="13" customFormat="1">
      <c r="A173" s="19" t="s">
        <v>298</v>
      </c>
      <c r="B173" s="13" t="s">
        <v>73</v>
      </c>
      <c r="C173" s="13" t="s">
        <v>230</v>
      </c>
      <c r="D173" s="13" t="s">
        <v>236</v>
      </c>
      <c r="E173" s="31">
        <v>34.68</v>
      </c>
      <c r="F173" s="33">
        <v>-114.54</v>
      </c>
      <c r="G173" s="32">
        <v>891.56794388356104</v>
      </c>
      <c r="H173" s="31">
        <v>2.12</v>
      </c>
      <c r="I173" s="31">
        <v>3.28</v>
      </c>
      <c r="J173" s="31">
        <v>5.187576</v>
      </c>
      <c r="K173" s="33">
        <f t="shared" si="14"/>
        <v>-0.18953798278292763</v>
      </c>
      <c r="L173" s="61" t="s">
        <v>15</v>
      </c>
      <c r="M173" s="61"/>
      <c r="N173" s="61"/>
      <c r="O173" s="63"/>
      <c r="P173" s="78"/>
      <c r="Q173" s="62"/>
      <c r="R173" s="62"/>
    </row>
    <row r="174" spans="1:18" s="13" customFormat="1">
      <c r="A174" s="19" t="s">
        <v>298</v>
      </c>
      <c r="B174" s="13" t="s">
        <v>73</v>
      </c>
      <c r="C174" s="13" t="s">
        <v>230</v>
      </c>
      <c r="D174" s="13" t="s">
        <v>237</v>
      </c>
      <c r="E174" s="31">
        <v>34.68</v>
      </c>
      <c r="F174" s="33">
        <v>-114.54</v>
      </c>
      <c r="G174" s="32">
        <v>869.37929583821312</v>
      </c>
      <c r="H174" s="31">
        <v>2.5299999999999998</v>
      </c>
      <c r="I174" s="31">
        <v>2.84</v>
      </c>
      <c r="J174" s="31">
        <v>5.1164939999999994</v>
      </c>
      <c r="K174" s="33">
        <f t="shared" si="14"/>
        <v>-5.0197818871219796E-2</v>
      </c>
      <c r="L174" s="61" t="s">
        <v>76</v>
      </c>
      <c r="M174" s="61"/>
      <c r="N174" s="61"/>
      <c r="O174" s="63"/>
      <c r="P174" s="78"/>
      <c r="Q174" s="62"/>
      <c r="R174" s="62"/>
    </row>
    <row r="175" spans="1:18" s="13" customFormat="1">
      <c r="A175" s="19" t="s">
        <v>298</v>
      </c>
      <c r="B175" s="13" t="s">
        <v>73</v>
      </c>
      <c r="C175" s="13" t="s">
        <v>230</v>
      </c>
      <c r="D175" s="13" t="s">
        <v>238</v>
      </c>
      <c r="E175" s="31">
        <v>34.68</v>
      </c>
      <c r="F175" s="33">
        <v>-114.54</v>
      </c>
      <c r="G175" s="32"/>
      <c r="H175" s="31">
        <v>1.2</v>
      </c>
      <c r="I175" s="31">
        <v>3.2</v>
      </c>
      <c r="J175" s="31">
        <v>4.2797600000000005</v>
      </c>
      <c r="K175" s="33">
        <f t="shared" si="14"/>
        <v>-0.42596873227228121</v>
      </c>
      <c r="L175" s="61" t="s">
        <v>15</v>
      </c>
      <c r="M175" s="61"/>
      <c r="N175" s="61"/>
      <c r="O175" s="63"/>
      <c r="P175" s="78"/>
      <c r="Q175" s="62"/>
      <c r="R175" s="62"/>
    </row>
    <row r="176" spans="1:18" s="13" customFormat="1" ht="16.5" thickBot="1">
      <c r="A176" s="20" t="s">
        <v>298</v>
      </c>
      <c r="B176" s="45" t="s">
        <v>73</v>
      </c>
      <c r="C176" s="45" t="s">
        <v>230</v>
      </c>
      <c r="D176" s="45" t="s">
        <v>239</v>
      </c>
      <c r="E176" s="48">
        <v>34.68</v>
      </c>
      <c r="F176" s="46">
        <v>-114.54</v>
      </c>
      <c r="G176" s="47">
        <v>809.46177954562643</v>
      </c>
      <c r="H176" s="48">
        <v>1.52</v>
      </c>
      <c r="I176" s="48">
        <v>1.47</v>
      </c>
      <c r="J176" s="48">
        <v>2.8376960000000002</v>
      </c>
      <c r="K176" s="46">
        <f t="shared" si="14"/>
        <v>1.4526253196596464E-2</v>
      </c>
      <c r="L176" s="72" t="s">
        <v>76</v>
      </c>
      <c r="M176" s="72"/>
      <c r="N176" s="72"/>
      <c r="O176" s="73"/>
      <c r="P176" s="79"/>
      <c r="Q176" s="62"/>
      <c r="R176" s="62"/>
    </row>
    <row r="177" spans="1:18" s="13" customFormat="1" ht="16.5" thickBot="1">
      <c r="E177" s="31"/>
      <c r="F177" s="33"/>
      <c r="G177" s="7"/>
      <c r="H177" s="31"/>
      <c r="I177" s="31"/>
      <c r="J177" s="31"/>
      <c r="K177" s="33"/>
      <c r="L177" s="61"/>
      <c r="M177" s="61"/>
      <c r="N177" s="61"/>
      <c r="O177" s="63"/>
      <c r="P177" s="61"/>
      <c r="Q177" s="62"/>
      <c r="R177" s="62"/>
    </row>
    <row r="178" spans="1:18" s="13" customFormat="1" ht="16.5" thickBot="1">
      <c r="A178" s="21" t="s">
        <v>97</v>
      </c>
      <c r="B178" s="49" t="s">
        <v>240</v>
      </c>
      <c r="C178" s="49" t="s">
        <v>241</v>
      </c>
      <c r="D178" s="49" t="s">
        <v>242</v>
      </c>
      <c r="E178" s="60">
        <v>30.9</v>
      </c>
      <c r="F178" s="50">
        <v>-111.88</v>
      </c>
      <c r="G178" s="51">
        <v>729.42182827354702</v>
      </c>
      <c r="H178" s="52">
        <v>0.42189999999999994</v>
      </c>
      <c r="I178" s="52">
        <v>0.71</v>
      </c>
      <c r="J178" s="52">
        <v>1.0896256199999999</v>
      </c>
      <c r="K178" s="50">
        <f t="shared" ref="K178:K217" si="15">LOG10(H178/I178)</f>
        <v>-0.22604882333719431</v>
      </c>
      <c r="L178" s="75" t="s">
        <v>15</v>
      </c>
      <c r="M178" s="75" t="s">
        <v>241</v>
      </c>
      <c r="N178" s="75" t="s">
        <v>15</v>
      </c>
      <c r="O178" s="76">
        <v>100</v>
      </c>
      <c r="P178" s="77">
        <v>729.42182827354702</v>
      </c>
      <c r="Q178" s="62"/>
      <c r="R178" s="62"/>
    </row>
    <row r="179" spans="1:18" s="13" customFormat="1" ht="16.5" thickBot="1">
      <c r="E179" s="31"/>
      <c r="F179" s="33"/>
      <c r="G179" s="32"/>
      <c r="H179" s="31"/>
      <c r="I179" s="31"/>
      <c r="J179" s="31"/>
      <c r="K179" s="33"/>
      <c r="L179" s="61"/>
      <c r="M179" s="61"/>
      <c r="N179" s="61"/>
      <c r="O179" s="63"/>
      <c r="P179" s="61"/>
      <c r="Q179" s="62"/>
      <c r="R179" s="62"/>
    </row>
    <row r="180" spans="1:18" s="13" customFormat="1">
      <c r="A180" s="18" t="s">
        <v>97</v>
      </c>
      <c r="B180" s="41" t="s">
        <v>240</v>
      </c>
      <c r="C180" s="41" t="s">
        <v>243</v>
      </c>
      <c r="D180" s="41" t="s">
        <v>244</v>
      </c>
      <c r="E180" s="53">
        <v>31.5</v>
      </c>
      <c r="F180" s="42">
        <v>-111.62</v>
      </c>
      <c r="G180" s="43">
        <v>780.97276130653779</v>
      </c>
      <c r="H180" s="44">
        <v>0.8776999999999997</v>
      </c>
      <c r="I180" s="44">
        <v>0.93</v>
      </c>
      <c r="J180" s="44">
        <v>1.7197544599999999</v>
      </c>
      <c r="K180" s="42">
        <f t="shared" si="15"/>
        <v>-2.5136850197344591E-2</v>
      </c>
      <c r="L180" s="68" t="s">
        <v>15</v>
      </c>
      <c r="M180" s="68" t="s">
        <v>245</v>
      </c>
      <c r="N180" s="68" t="s">
        <v>21</v>
      </c>
      <c r="O180" s="69">
        <f>15*100/38</f>
        <v>39.473684210526315</v>
      </c>
      <c r="P180" s="70">
        <f>AVERAGE(G181,G186,G188:G189,G191:G192,G195,G198:G199,G204,G206,G208,G211,G213,G215)</f>
        <v>735.79232462169625</v>
      </c>
      <c r="Q180" s="62"/>
      <c r="R180" s="62"/>
    </row>
    <row r="181" spans="1:18" s="13" customFormat="1">
      <c r="A181" s="19" t="s">
        <v>97</v>
      </c>
      <c r="B181" s="13" t="s">
        <v>240</v>
      </c>
      <c r="C181" s="13" t="s">
        <v>243</v>
      </c>
      <c r="D181" s="13" t="s">
        <v>246</v>
      </c>
      <c r="E181" s="54">
        <v>31.5</v>
      </c>
      <c r="F181" s="33">
        <v>-111.62</v>
      </c>
      <c r="G181" s="32">
        <v>773.67708338067757</v>
      </c>
      <c r="H181" s="31">
        <v>1.4859999999999998</v>
      </c>
      <c r="I181" s="31">
        <v>0.4</v>
      </c>
      <c r="J181" s="31">
        <v>1.7371027999999997</v>
      </c>
      <c r="K181" s="33">
        <f t="shared" si="15"/>
        <v>0.56995881809659399</v>
      </c>
      <c r="L181" s="61" t="s">
        <v>21</v>
      </c>
      <c r="M181" s="61" t="s">
        <v>247</v>
      </c>
      <c r="N181" s="61" t="s">
        <v>76</v>
      </c>
      <c r="O181" s="63">
        <f>19*100/38</f>
        <v>50</v>
      </c>
      <c r="P181" s="71">
        <f>AVERAGE(G182:G185,G187,G190,G196,G200:G203,G205,G207,G209:G210,G212,G214,G216:G217)</f>
        <v>707.22612133602615</v>
      </c>
      <c r="Q181" s="62"/>
      <c r="R181" s="62"/>
    </row>
    <row r="182" spans="1:18" s="13" customFormat="1">
      <c r="A182" s="19" t="s">
        <v>97</v>
      </c>
      <c r="B182" s="13" t="s">
        <v>240</v>
      </c>
      <c r="C182" s="13" t="s">
        <v>243</v>
      </c>
      <c r="D182" s="13" t="s">
        <v>248</v>
      </c>
      <c r="E182" s="54">
        <v>31.5</v>
      </c>
      <c r="F182" s="33">
        <v>-111.62</v>
      </c>
      <c r="G182" s="32">
        <v>785.08401334823509</v>
      </c>
      <c r="H182" s="31">
        <v>2.0398999999999994</v>
      </c>
      <c r="I182" s="31">
        <v>0.91</v>
      </c>
      <c r="J182" s="31">
        <v>2.7455020199999995</v>
      </c>
      <c r="K182" s="33">
        <f t="shared" si="15"/>
        <v>0.35056748563780876</v>
      </c>
      <c r="L182" s="61" t="s">
        <v>76</v>
      </c>
      <c r="M182" s="61" t="s">
        <v>249</v>
      </c>
      <c r="N182" s="61" t="s">
        <v>15</v>
      </c>
      <c r="O182" s="63">
        <f>3*100/38</f>
        <v>7.8947368421052628</v>
      </c>
      <c r="P182" s="71">
        <f>AVERAGE(G180,G194,G197)</f>
        <v>710.60594746439153</v>
      </c>
      <c r="Q182" s="62"/>
      <c r="R182" s="62"/>
    </row>
    <row r="183" spans="1:18" s="13" customFormat="1">
      <c r="A183" s="19" t="s">
        <v>97</v>
      </c>
      <c r="B183" s="13" t="s">
        <v>240</v>
      </c>
      <c r="C183" s="13" t="s">
        <v>243</v>
      </c>
      <c r="D183" s="13" t="s">
        <v>250</v>
      </c>
      <c r="E183" s="54">
        <v>31.5</v>
      </c>
      <c r="F183" s="33">
        <v>-111.62</v>
      </c>
      <c r="G183" s="32">
        <v>727.364910464736</v>
      </c>
      <c r="H183" s="31">
        <v>0.67249999999999988</v>
      </c>
      <c r="I183" s="31">
        <v>0.25</v>
      </c>
      <c r="J183" s="31">
        <v>0.85511549999999992</v>
      </c>
      <c r="K183" s="33">
        <f t="shared" si="15"/>
        <v>0.42975228000240789</v>
      </c>
      <c r="L183" s="61" t="s">
        <v>76</v>
      </c>
      <c r="M183" s="61" t="s">
        <v>251</v>
      </c>
      <c r="N183" s="61" t="s">
        <v>30</v>
      </c>
      <c r="O183" s="63">
        <f>1*100/38</f>
        <v>2.6315789473684212</v>
      </c>
      <c r="P183" s="71">
        <v>693.57693722854151</v>
      </c>
      <c r="Q183" s="62"/>
      <c r="R183" s="62"/>
    </row>
    <row r="184" spans="1:18" s="13" customFormat="1">
      <c r="A184" s="19" t="s">
        <v>97</v>
      </c>
      <c r="B184" s="13" t="s">
        <v>240</v>
      </c>
      <c r="C184" s="13" t="s">
        <v>243</v>
      </c>
      <c r="D184" s="13" t="s">
        <v>252</v>
      </c>
      <c r="E184" s="54">
        <v>31.5</v>
      </c>
      <c r="F184" s="33">
        <v>-111.62</v>
      </c>
      <c r="G184" s="32">
        <v>761.3519064574333</v>
      </c>
      <c r="H184" s="31">
        <v>0.92040000000000011</v>
      </c>
      <c r="I184" s="31">
        <v>0.36</v>
      </c>
      <c r="J184" s="31">
        <v>1.1881759200000002</v>
      </c>
      <c r="K184" s="33">
        <f t="shared" si="15"/>
        <v>0.40767410922931857</v>
      </c>
      <c r="L184" s="61" t="s">
        <v>76</v>
      </c>
      <c r="M184" s="61"/>
      <c r="N184" s="61"/>
      <c r="O184" s="63"/>
      <c r="P184" s="78"/>
      <c r="Q184" s="62"/>
      <c r="R184" s="62"/>
    </row>
    <row r="185" spans="1:18" s="13" customFormat="1">
      <c r="A185" s="19" t="s">
        <v>97</v>
      </c>
      <c r="B185" s="13" t="s">
        <v>240</v>
      </c>
      <c r="C185" s="13" t="s">
        <v>243</v>
      </c>
      <c r="D185" s="13" t="s">
        <v>253</v>
      </c>
      <c r="E185" s="54">
        <v>31.5</v>
      </c>
      <c r="F185" s="33">
        <v>-111.62</v>
      </c>
      <c r="G185" s="32">
        <v>699.21638913860431</v>
      </c>
      <c r="H185" s="31">
        <v>0.56929999999999992</v>
      </c>
      <c r="I185" s="31">
        <v>0.37</v>
      </c>
      <c r="J185" s="31">
        <v>0.88225613999999997</v>
      </c>
      <c r="K185" s="33">
        <f t="shared" si="15"/>
        <v>0.18713945974455251</v>
      </c>
      <c r="L185" s="61" t="s">
        <v>76</v>
      </c>
      <c r="M185" s="61"/>
      <c r="N185" s="61"/>
      <c r="O185" s="63"/>
      <c r="P185" s="78"/>
      <c r="Q185" s="62"/>
      <c r="R185" s="62"/>
    </row>
    <row r="186" spans="1:18" s="13" customFormat="1">
      <c r="A186" s="19" t="s">
        <v>97</v>
      </c>
      <c r="B186" s="13" t="s">
        <v>240</v>
      </c>
      <c r="C186" s="13" t="s">
        <v>243</v>
      </c>
      <c r="D186" s="13" t="s">
        <v>254</v>
      </c>
      <c r="E186" s="54">
        <v>31.5</v>
      </c>
      <c r="F186" s="33">
        <v>-111.62</v>
      </c>
      <c r="G186" s="32">
        <v>712.20297905614518</v>
      </c>
      <c r="H186" s="31">
        <v>0.76790000000000003</v>
      </c>
      <c r="I186" s="31">
        <v>0.11</v>
      </c>
      <c r="J186" s="31">
        <v>0.80095642</v>
      </c>
      <c r="K186" s="33">
        <f t="shared" si="15"/>
        <v>0.84391198243074295</v>
      </c>
      <c r="L186" s="61" t="s">
        <v>21</v>
      </c>
      <c r="M186" s="61"/>
      <c r="N186" s="61"/>
      <c r="O186" s="63"/>
      <c r="P186" s="78"/>
      <c r="Q186" s="62"/>
      <c r="R186" s="62"/>
    </row>
    <row r="187" spans="1:18" s="13" customFormat="1">
      <c r="A187" s="19" t="s">
        <v>97</v>
      </c>
      <c r="B187" s="13" t="s">
        <v>240</v>
      </c>
      <c r="C187" s="13" t="s">
        <v>243</v>
      </c>
      <c r="D187" s="13" t="s">
        <v>255</v>
      </c>
      <c r="E187" s="54">
        <v>31.5</v>
      </c>
      <c r="F187" s="33">
        <v>-111.62</v>
      </c>
      <c r="G187" s="32">
        <v>706.81942073104983</v>
      </c>
      <c r="H187" s="31">
        <v>0.42029999999999995</v>
      </c>
      <c r="I187" s="31">
        <v>0.27</v>
      </c>
      <c r="J187" s="31">
        <v>0.64818594000000007</v>
      </c>
      <c r="K187" s="33">
        <f t="shared" si="15"/>
        <v>0.19219562584644967</v>
      </c>
      <c r="L187" s="61" t="s">
        <v>76</v>
      </c>
      <c r="M187" s="61"/>
      <c r="N187" s="61"/>
      <c r="O187" s="63"/>
      <c r="P187" s="78"/>
      <c r="Q187" s="62"/>
      <c r="R187" s="62"/>
    </row>
    <row r="188" spans="1:18" s="13" customFormat="1">
      <c r="A188" s="19" t="s">
        <v>97</v>
      </c>
      <c r="B188" s="13" t="s">
        <v>240</v>
      </c>
      <c r="C188" s="13" t="s">
        <v>243</v>
      </c>
      <c r="D188" s="13" t="s">
        <v>256</v>
      </c>
      <c r="E188" s="54">
        <v>31.5</v>
      </c>
      <c r="F188" s="33">
        <v>-111.62</v>
      </c>
      <c r="G188" s="32">
        <v>673.65727563806206</v>
      </c>
      <c r="H188" s="31">
        <v>0.59460000000000002</v>
      </c>
      <c r="I188" s="31">
        <v>0.14000000000000001</v>
      </c>
      <c r="J188" s="31">
        <v>0.67502108000000005</v>
      </c>
      <c r="K188" s="33">
        <f t="shared" si="15"/>
        <v>0.62809686919068086</v>
      </c>
      <c r="L188" s="61" t="s">
        <v>21</v>
      </c>
      <c r="M188" s="61"/>
      <c r="N188" s="61"/>
      <c r="O188" s="63"/>
      <c r="P188" s="78"/>
      <c r="Q188" s="62"/>
      <c r="R188" s="62"/>
    </row>
    <row r="189" spans="1:18" s="13" customFormat="1">
      <c r="A189" s="19" t="s">
        <v>97</v>
      </c>
      <c r="B189" s="13" t="s">
        <v>240</v>
      </c>
      <c r="C189" s="13" t="s">
        <v>243</v>
      </c>
      <c r="D189" s="13" t="s">
        <v>257</v>
      </c>
      <c r="E189" s="54">
        <v>31.5</v>
      </c>
      <c r="F189" s="33">
        <v>-111.62</v>
      </c>
      <c r="G189" s="32">
        <v>809.6558579592928</v>
      </c>
      <c r="H189" s="31">
        <v>0.86020000000000008</v>
      </c>
      <c r="I189" s="31">
        <v>0.18</v>
      </c>
      <c r="J189" s="31">
        <v>0.95400796000000021</v>
      </c>
      <c r="K189" s="33">
        <f t="shared" si="15"/>
        <v>0.67932693311476711</v>
      </c>
      <c r="L189" s="61" t="s">
        <v>21</v>
      </c>
      <c r="M189" s="61"/>
      <c r="N189" s="61"/>
      <c r="O189" s="63"/>
      <c r="P189" s="78"/>
      <c r="Q189" s="62"/>
      <c r="R189" s="62"/>
    </row>
    <row r="190" spans="1:18" s="13" customFormat="1">
      <c r="A190" s="19" t="s">
        <v>97</v>
      </c>
      <c r="B190" s="13" t="s">
        <v>240</v>
      </c>
      <c r="C190" s="13" t="s">
        <v>243</v>
      </c>
      <c r="D190" s="13" t="s">
        <v>258</v>
      </c>
      <c r="E190" s="54">
        <v>31.5</v>
      </c>
      <c r="F190" s="33">
        <v>-111.62</v>
      </c>
      <c r="G190" s="32">
        <v>709.95733007742047</v>
      </c>
      <c r="H190" s="31">
        <v>0.46359999999999996</v>
      </c>
      <c r="I190" s="31">
        <v>0.24</v>
      </c>
      <c r="J190" s="31">
        <v>0.65714728</v>
      </c>
      <c r="K190" s="33">
        <f t="shared" si="15"/>
        <v>0.28593218557995237</v>
      </c>
      <c r="L190" s="61" t="s">
        <v>76</v>
      </c>
      <c r="M190" s="61"/>
      <c r="N190" s="61"/>
      <c r="O190" s="63"/>
      <c r="P190" s="78"/>
      <c r="Q190" s="62"/>
      <c r="R190" s="62"/>
    </row>
    <row r="191" spans="1:18" s="13" customFormat="1">
      <c r="A191" s="19" t="s">
        <v>97</v>
      </c>
      <c r="B191" s="13" t="s">
        <v>240</v>
      </c>
      <c r="C191" s="13" t="s">
        <v>243</v>
      </c>
      <c r="D191" s="13" t="s">
        <v>259</v>
      </c>
      <c r="E191" s="54">
        <v>31.5</v>
      </c>
      <c r="F191" s="33">
        <v>-111.62</v>
      </c>
      <c r="G191" s="32">
        <v>725.3337178574983</v>
      </c>
      <c r="H191" s="31">
        <v>0.4879</v>
      </c>
      <c r="I191" s="31">
        <v>0.11</v>
      </c>
      <c r="J191" s="31">
        <v>0.54901242000000006</v>
      </c>
      <c r="K191" s="33">
        <f t="shared" si="15"/>
        <v>0.64693813295404123</v>
      </c>
      <c r="L191" s="61" t="s">
        <v>21</v>
      </c>
      <c r="M191" s="61"/>
      <c r="N191" s="61"/>
      <c r="O191" s="63"/>
      <c r="P191" s="78"/>
      <c r="Q191" s="62"/>
      <c r="R191" s="62"/>
    </row>
    <row r="192" spans="1:18" s="13" customFormat="1">
      <c r="A192" s="19" t="s">
        <v>97</v>
      </c>
      <c r="B192" s="13" t="s">
        <v>240</v>
      </c>
      <c r="C192" s="13" t="s">
        <v>243</v>
      </c>
      <c r="D192" s="13" t="s">
        <v>260</v>
      </c>
      <c r="E192" s="54">
        <v>31.5</v>
      </c>
      <c r="F192" s="33">
        <v>-111.62</v>
      </c>
      <c r="G192" s="32">
        <v>802.71850102697465</v>
      </c>
      <c r="H192" s="31">
        <v>0.82360000000000011</v>
      </c>
      <c r="I192" s="31">
        <v>0.24</v>
      </c>
      <c r="J192" s="31">
        <v>0.98107528000000011</v>
      </c>
      <c r="K192" s="33">
        <f t="shared" si="15"/>
        <v>0.5355050962343878</v>
      </c>
      <c r="L192" s="61" t="s">
        <v>21</v>
      </c>
      <c r="M192" s="61"/>
      <c r="N192" s="61"/>
      <c r="O192" s="63"/>
      <c r="P192" s="78"/>
      <c r="Q192" s="62"/>
      <c r="R192" s="62"/>
    </row>
    <row r="193" spans="1:18" s="13" customFormat="1">
      <c r="A193" s="19" t="s">
        <v>97</v>
      </c>
      <c r="B193" s="13" t="s">
        <v>240</v>
      </c>
      <c r="C193" s="13" t="s">
        <v>243</v>
      </c>
      <c r="D193" s="13" t="s">
        <v>261</v>
      </c>
      <c r="E193" s="54">
        <v>31.5</v>
      </c>
      <c r="F193" s="33">
        <v>-111.62</v>
      </c>
      <c r="G193" s="32">
        <v>693.57693722854151</v>
      </c>
      <c r="H193" s="31">
        <v>2.2499999999999964E-2</v>
      </c>
      <c r="I193" s="31">
        <v>0.25</v>
      </c>
      <c r="J193" s="31">
        <v>0.27024549999999997</v>
      </c>
      <c r="K193" s="33">
        <f t="shared" si="15"/>
        <v>-1.0457574905606759</v>
      </c>
      <c r="L193" s="61" t="s">
        <v>30</v>
      </c>
      <c r="M193" s="61"/>
      <c r="N193" s="61"/>
      <c r="O193" s="63"/>
      <c r="P193" s="78"/>
      <c r="Q193" s="62"/>
      <c r="R193" s="62"/>
    </row>
    <row r="194" spans="1:18" s="13" customFormat="1">
      <c r="A194" s="19" t="s">
        <v>97</v>
      </c>
      <c r="B194" s="13" t="s">
        <v>240</v>
      </c>
      <c r="C194" s="13" t="s">
        <v>243</v>
      </c>
      <c r="D194" s="13" t="s">
        <v>262</v>
      </c>
      <c r="E194" s="54">
        <v>31.5</v>
      </c>
      <c r="F194" s="33">
        <v>-111.62</v>
      </c>
      <c r="G194" s="32">
        <v>645.80711665525087</v>
      </c>
      <c r="H194" s="31">
        <v>0.19359999999999999</v>
      </c>
      <c r="I194" s="31">
        <v>0.24</v>
      </c>
      <c r="J194" s="31">
        <v>0.41420128000000001</v>
      </c>
      <c r="K194" s="33">
        <f t="shared" si="15"/>
        <v>-9.330588873923118E-2</v>
      </c>
      <c r="L194" s="61" t="s">
        <v>15</v>
      </c>
      <c r="M194" s="61"/>
      <c r="N194" s="61"/>
      <c r="O194" s="63"/>
      <c r="P194" s="78"/>
      <c r="Q194" s="62"/>
      <c r="R194" s="62"/>
    </row>
    <row r="195" spans="1:18" s="13" customFormat="1">
      <c r="A195" s="19" t="s">
        <v>97</v>
      </c>
      <c r="B195" s="13" t="s">
        <v>240</v>
      </c>
      <c r="C195" s="13" t="s">
        <v>243</v>
      </c>
      <c r="D195" s="13" t="s">
        <v>263</v>
      </c>
      <c r="E195" s="54">
        <v>31.5</v>
      </c>
      <c r="F195" s="33">
        <v>-111.62</v>
      </c>
      <c r="G195" s="32">
        <v>786.70237698576227</v>
      </c>
      <c r="H195" s="31">
        <v>0.73899999999999999</v>
      </c>
      <c r="I195" s="31">
        <v>0.1</v>
      </c>
      <c r="J195" s="31">
        <v>0.76495219999999997</v>
      </c>
      <c r="K195" s="33">
        <f t="shared" si="15"/>
        <v>0.86864443839482575</v>
      </c>
      <c r="L195" s="61" t="s">
        <v>21</v>
      </c>
      <c r="M195" s="61"/>
      <c r="N195" s="61"/>
      <c r="O195" s="63"/>
      <c r="P195" s="78"/>
      <c r="Q195" s="62"/>
      <c r="R195" s="62"/>
    </row>
    <row r="196" spans="1:18" s="13" customFormat="1">
      <c r="A196" s="19" t="s">
        <v>97</v>
      </c>
      <c r="B196" s="13" t="s">
        <v>240</v>
      </c>
      <c r="C196" s="13" t="s">
        <v>243</v>
      </c>
      <c r="D196" s="13" t="s">
        <v>264</v>
      </c>
      <c r="E196" s="54">
        <v>31.5</v>
      </c>
      <c r="F196" s="33">
        <v>-111.62</v>
      </c>
      <c r="G196" s="32">
        <v>714.55741688666239</v>
      </c>
      <c r="H196" s="31">
        <v>0.32240000000000002</v>
      </c>
      <c r="I196" s="31">
        <v>0.16</v>
      </c>
      <c r="J196" s="31">
        <v>0.45009552000000008</v>
      </c>
      <c r="K196" s="33">
        <f t="shared" si="15"/>
        <v>0.30427505047712827</v>
      </c>
      <c r="L196" s="61" t="s">
        <v>76</v>
      </c>
      <c r="M196" s="61"/>
      <c r="N196" s="61"/>
      <c r="O196" s="63"/>
      <c r="P196" s="78"/>
      <c r="Q196" s="62"/>
      <c r="R196" s="62"/>
    </row>
    <row r="197" spans="1:18" s="13" customFormat="1">
      <c r="A197" s="19" t="s">
        <v>97</v>
      </c>
      <c r="B197" s="13" t="s">
        <v>240</v>
      </c>
      <c r="C197" s="13" t="s">
        <v>243</v>
      </c>
      <c r="D197" s="13" t="s">
        <v>265</v>
      </c>
      <c r="E197" s="54">
        <v>31.5</v>
      </c>
      <c r="F197" s="33">
        <v>-111.62</v>
      </c>
      <c r="G197" s="32">
        <v>705.03796443138572</v>
      </c>
      <c r="H197" s="31">
        <v>0.23699999999999993</v>
      </c>
      <c r="I197" s="31">
        <v>0.3</v>
      </c>
      <c r="J197" s="31">
        <v>0.51325259999999995</v>
      </c>
      <c r="K197" s="33">
        <f t="shared" si="15"/>
        <v>-0.10237290870955867</v>
      </c>
      <c r="L197" s="61" t="s">
        <v>15</v>
      </c>
      <c r="M197" s="61"/>
      <c r="N197" s="61"/>
      <c r="O197" s="63"/>
      <c r="P197" s="78"/>
      <c r="Q197" s="62"/>
      <c r="R197" s="62"/>
    </row>
    <row r="198" spans="1:18" s="13" customFormat="1">
      <c r="A198" s="19" t="s">
        <v>97</v>
      </c>
      <c r="B198" s="13" t="s">
        <v>240</v>
      </c>
      <c r="C198" s="13" t="s">
        <v>243</v>
      </c>
      <c r="D198" s="13" t="s">
        <v>266</v>
      </c>
      <c r="E198" s="54">
        <v>31.5</v>
      </c>
      <c r="F198" s="33">
        <v>-111.62</v>
      </c>
      <c r="G198" s="32">
        <v>684.9931198497128</v>
      </c>
      <c r="H198" s="31">
        <v>0.45789999999999997</v>
      </c>
      <c r="I198" s="31">
        <v>0.11</v>
      </c>
      <c r="J198" s="31">
        <v>0.52201841999999998</v>
      </c>
      <c r="K198" s="33">
        <f t="shared" si="15"/>
        <v>0.61937795836947229</v>
      </c>
      <c r="L198" s="61" t="s">
        <v>21</v>
      </c>
      <c r="M198" s="61"/>
      <c r="N198" s="61"/>
      <c r="O198" s="63"/>
      <c r="P198" s="78"/>
      <c r="Q198" s="62"/>
      <c r="R198" s="62"/>
    </row>
    <row r="199" spans="1:18" s="13" customFormat="1">
      <c r="A199" s="19" t="s">
        <v>97</v>
      </c>
      <c r="B199" s="13" t="s">
        <v>240</v>
      </c>
      <c r="C199" s="13" t="s">
        <v>243</v>
      </c>
      <c r="D199" s="13" t="s">
        <v>267</v>
      </c>
      <c r="E199" s="54">
        <v>31.5</v>
      </c>
      <c r="F199" s="33">
        <v>-111.62</v>
      </c>
      <c r="G199" s="32">
        <v>725.97548322731836</v>
      </c>
      <c r="H199" s="31">
        <v>0.3412</v>
      </c>
      <c r="I199" s="31">
        <v>0.08</v>
      </c>
      <c r="J199" s="31">
        <v>0.38701176000000004</v>
      </c>
      <c r="K199" s="33">
        <f t="shared" si="15"/>
        <v>0.62991903550354178</v>
      </c>
      <c r="L199" s="61" t="s">
        <v>21</v>
      </c>
      <c r="M199" s="61"/>
      <c r="N199" s="61"/>
      <c r="O199" s="63"/>
      <c r="P199" s="78"/>
      <c r="Q199" s="62"/>
      <c r="R199" s="62"/>
    </row>
    <row r="200" spans="1:18" s="13" customFormat="1">
      <c r="A200" s="19" t="s">
        <v>97</v>
      </c>
      <c r="B200" s="13" t="s">
        <v>240</v>
      </c>
      <c r="C200" s="13" t="s">
        <v>243</v>
      </c>
      <c r="D200" s="13" t="s">
        <v>268</v>
      </c>
      <c r="E200" s="54">
        <v>31.5</v>
      </c>
      <c r="F200" s="33">
        <v>-111.62</v>
      </c>
      <c r="G200" s="32">
        <v>723.82485268714106</v>
      </c>
      <c r="H200" s="31">
        <v>0.31129999999999997</v>
      </c>
      <c r="I200" s="31">
        <v>0.17</v>
      </c>
      <c r="J200" s="31">
        <v>0.45010773999999998</v>
      </c>
      <c r="K200" s="33">
        <f t="shared" si="15"/>
        <v>0.2627301993042413</v>
      </c>
      <c r="L200" s="61" t="s">
        <v>76</v>
      </c>
      <c r="M200" s="61"/>
      <c r="N200" s="61"/>
      <c r="O200" s="63"/>
      <c r="P200" s="78"/>
      <c r="Q200" s="62"/>
      <c r="R200" s="62"/>
    </row>
    <row r="201" spans="1:18" s="13" customFormat="1">
      <c r="A201" s="19" t="s">
        <v>97</v>
      </c>
      <c r="B201" s="13" t="s">
        <v>240</v>
      </c>
      <c r="C201" s="13" t="s">
        <v>243</v>
      </c>
      <c r="D201" s="13" t="s">
        <v>269</v>
      </c>
      <c r="E201" s="54">
        <v>31.5</v>
      </c>
      <c r="F201" s="33">
        <v>-111.62</v>
      </c>
      <c r="G201" s="32">
        <v>740.23474220937032</v>
      </c>
      <c r="H201" s="31">
        <v>0.4504999999999999</v>
      </c>
      <c r="I201" s="31">
        <v>0.45</v>
      </c>
      <c r="J201" s="31">
        <v>0.85535989999999995</v>
      </c>
      <c r="K201" s="33">
        <f t="shared" si="15"/>
        <v>4.8228153973798227E-4</v>
      </c>
      <c r="L201" s="61" t="s">
        <v>76</v>
      </c>
      <c r="M201" s="61"/>
      <c r="N201" s="61"/>
      <c r="O201" s="63"/>
      <c r="P201" s="78"/>
      <c r="Q201" s="62"/>
      <c r="R201" s="62"/>
    </row>
    <row r="202" spans="1:18" s="13" customFormat="1">
      <c r="A202" s="19" t="s">
        <v>97</v>
      </c>
      <c r="B202" s="13" t="s">
        <v>240</v>
      </c>
      <c r="C202" s="13" t="s">
        <v>243</v>
      </c>
      <c r="D202" s="13" t="s">
        <v>270</v>
      </c>
      <c r="E202" s="54">
        <v>31.5</v>
      </c>
      <c r="F202" s="33">
        <v>-111.62</v>
      </c>
      <c r="G202" s="32">
        <v>721.16309828955093</v>
      </c>
      <c r="H202" s="31">
        <v>0.38570000000000004</v>
      </c>
      <c r="I202" s="31">
        <v>0.13</v>
      </c>
      <c r="J202" s="31">
        <v>0.47705286000000008</v>
      </c>
      <c r="K202" s="33">
        <f t="shared" si="15"/>
        <v>0.47230628655920515</v>
      </c>
      <c r="L202" s="61" t="s">
        <v>76</v>
      </c>
      <c r="M202" s="61"/>
      <c r="N202" s="61"/>
      <c r="O202" s="63"/>
      <c r="P202" s="78"/>
      <c r="Q202" s="62"/>
      <c r="R202" s="62"/>
    </row>
    <row r="203" spans="1:18" s="13" customFormat="1">
      <c r="A203" s="19" t="s">
        <v>97</v>
      </c>
      <c r="B203" s="13" t="s">
        <v>240</v>
      </c>
      <c r="C203" s="13" t="s">
        <v>243</v>
      </c>
      <c r="D203" s="13" t="s">
        <v>271</v>
      </c>
      <c r="E203" s="54">
        <v>31.5</v>
      </c>
      <c r="F203" s="33">
        <v>-111.62</v>
      </c>
      <c r="G203" s="32">
        <v>689.59294799906661</v>
      </c>
      <c r="H203" s="31">
        <v>0.13009999999999999</v>
      </c>
      <c r="I203" s="31">
        <v>0.09</v>
      </c>
      <c r="J203" s="31">
        <v>0.20706397999999998</v>
      </c>
      <c r="K203" s="33">
        <f t="shared" si="15"/>
        <v>0.16003478712226135</v>
      </c>
      <c r="L203" s="61" t="s">
        <v>76</v>
      </c>
      <c r="M203" s="61"/>
      <c r="N203" s="61"/>
      <c r="O203" s="63"/>
      <c r="P203" s="78"/>
      <c r="Q203" s="62"/>
      <c r="R203" s="62"/>
    </row>
    <row r="204" spans="1:18" s="13" customFormat="1">
      <c r="A204" s="19" t="s">
        <v>97</v>
      </c>
      <c r="B204" s="13" t="s">
        <v>240</v>
      </c>
      <c r="C204" s="13" t="s">
        <v>243</v>
      </c>
      <c r="D204" s="13" t="s">
        <v>272</v>
      </c>
      <c r="E204" s="54">
        <v>31.5</v>
      </c>
      <c r="F204" s="33">
        <v>-111.62</v>
      </c>
      <c r="G204" s="32">
        <v>701.61447244501051</v>
      </c>
      <c r="H204" s="31">
        <v>0.44789999999999996</v>
      </c>
      <c r="I204" s="31">
        <v>0.11</v>
      </c>
      <c r="J204" s="31">
        <v>0.51302042000000003</v>
      </c>
      <c r="K204" s="33">
        <f t="shared" si="15"/>
        <v>0.60978837728646273</v>
      </c>
      <c r="L204" s="61" t="s">
        <v>21</v>
      </c>
      <c r="M204" s="61"/>
      <c r="N204" s="61"/>
      <c r="O204" s="63"/>
      <c r="P204" s="78"/>
      <c r="Q204" s="62"/>
      <c r="R204" s="62"/>
    </row>
    <row r="205" spans="1:18" s="13" customFormat="1">
      <c r="A205" s="19" t="s">
        <v>97</v>
      </c>
      <c r="B205" s="13" t="s">
        <v>240</v>
      </c>
      <c r="C205" s="13" t="s">
        <v>243</v>
      </c>
      <c r="D205" s="13" t="s">
        <v>273</v>
      </c>
      <c r="E205" s="54">
        <v>31.5</v>
      </c>
      <c r="F205" s="33">
        <v>-111.62</v>
      </c>
      <c r="G205" s="32">
        <v>679.45920833466664</v>
      </c>
      <c r="H205" s="31">
        <v>0.18349999999999997</v>
      </c>
      <c r="I205" s="31">
        <v>0.15</v>
      </c>
      <c r="J205" s="31">
        <v>0.31511329999999999</v>
      </c>
      <c r="K205" s="33">
        <f t="shared" si="15"/>
        <v>8.754480953242684E-2</v>
      </c>
      <c r="L205" s="61" t="s">
        <v>76</v>
      </c>
      <c r="M205" s="61"/>
      <c r="N205" s="61"/>
      <c r="O205" s="63"/>
      <c r="P205" s="78"/>
      <c r="Q205" s="62"/>
      <c r="R205" s="62"/>
    </row>
    <row r="206" spans="1:18" s="13" customFormat="1">
      <c r="A206" s="19" t="s">
        <v>97</v>
      </c>
      <c r="B206" s="13" t="s">
        <v>240</v>
      </c>
      <c r="C206" s="13" t="s">
        <v>243</v>
      </c>
      <c r="D206" s="13" t="s">
        <v>274</v>
      </c>
      <c r="E206" s="54">
        <v>31.5</v>
      </c>
      <c r="F206" s="33">
        <v>-111.62</v>
      </c>
      <c r="G206" s="32">
        <v>614.44009981632757</v>
      </c>
      <c r="H206" s="31">
        <v>0.58230000000000004</v>
      </c>
      <c r="I206" s="31">
        <v>7.0000000000000007E-2</v>
      </c>
      <c r="J206" s="31">
        <v>0.59395354</v>
      </c>
      <c r="K206" s="33">
        <f t="shared" si="15"/>
        <v>0.92004875009376841</v>
      </c>
      <c r="L206" s="61" t="s">
        <v>21</v>
      </c>
      <c r="M206" s="61"/>
      <c r="N206" s="61"/>
      <c r="O206" s="63"/>
      <c r="P206" s="78"/>
      <c r="Q206" s="62"/>
      <c r="R206" s="62"/>
    </row>
    <row r="207" spans="1:18" s="13" customFormat="1">
      <c r="A207" s="19" t="s">
        <v>97</v>
      </c>
      <c r="B207" s="13" t="s">
        <v>240</v>
      </c>
      <c r="C207" s="13" t="s">
        <v>243</v>
      </c>
      <c r="D207" s="13" t="s">
        <v>275</v>
      </c>
      <c r="E207" s="54">
        <v>31.5</v>
      </c>
      <c r="F207" s="33">
        <v>-111.62</v>
      </c>
      <c r="G207" s="32">
        <v>655.98258562167098</v>
      </c>
      <c r="H207" s="31">
        <v>0.18899999999999997</v>
      </c>
      <c r="I207" s="31">
        <v>0.1</v>
      </c>
      <c r="J207" s="31">
        <v>0.27006220000000003</v>
      </c>
      <c r="K207" s="33">
        <f t="shared" si="15"/>
        <v>0.27646180417324406</v>
      </c>
      <c r="L207" s="61" t="s">
        <v>76</v>
      </c>
      <c r="M207" s="61"/>
      <c r="N207" s="61"/>
      <c r="O207" s="63"/>
      <c r="P207" s="78"/>
      <c r="Q207" s="62"/>
      <c r="R207" s="62"/>
    </row>
    <row r="208" spans="1:18" s="13" customFormat="1">
      <c r="A208" s="19" t="s">
        <v>97</v>
      </c>
      <c r="B208" s="13" t="s">
        <v>240</v>
      </c>
      <c r="C208" s="13" t="s">
        <v>243</v>
      </c>
      <c r="D208" s="13" t="s">
        <v>276</v>
      </c>
      <c r="E208" s="54">
        <v>31.5</v>
      </c>
      <c r="F208" s="33">
        <v>-111.62</v>
      </c>
      <c r="G208" s="32">
        <v>784.44200863407343</v>
      </c>
      <c r="H208" s="31">
        <v>0.74780000000000002</v>
      </c>
      <c r="I208" s="31">
        <v>0.02</v>
      </c>
      <c r="J208" s="31">
        <v>0.69287044000000009</v>
      </c>
      <c r="K208" s="33">
        <f t="shared" si="15"/>
        <v>1.5727554651542197</v>
      </c>
      <c r="L208" s="61" t="s">
        <v>21</v>
      </c>
      <c r="M208" s="61"/>
      <c r="N208" s="61"/>
      <c r="O208" s="63"/>
      <c r="P208" s="78"/>
      <c r="Q208" s="62"/>
      <c r="R208" s="62"/>
    </row>
    <row r="209" spans="1:18" s="13" customFormat="1">
      <c r="A209" s="19" t="s">
        <v>97</v>
      </c>
      <c r="B209" s="13" t="s">
        <v>240</v>
      </c>
      <c r="C209" s="13" t="s">
        <v>243</v>
      </c>
      <c r="D209" s="13" t="s">
        <v>277</v>
      </c>
      <c r="E209" s="54">
        <v>31.5</v>
      </c>
      <c r="F209" s="33">
        <v>-111.62</v>
      </c>
      <c r="G209" s="32">
        <v>709.15234321221624</v>
      </c>
      <c r="H209" s="31">
        <v>0.13789999999999999</v>
      </c>
      <c r="I209" s="31">
        <v>0.11</v>
      </c>
      <c r="J209" s="31">
        <v>0.23408242000000001</v>
      </c>
      <c r="K209" s="33">
        <f t="shared" si="15"/>
        <v>9.8171581017624729E-2</v>
      </c>
      <c r="L209" s="61" t="s">
        <v>76</v>
      </c>
      <c r="M209" s="61"/>
      <c r="N209" s="61"/>
      <c r="O209" s="63"/>
      <c r="P209" s="78"/>
      <c r="Q209" s="62"/>
      <c r="R209" s="62"/>
    </row>
    <row r="210" spans="1:18" s="13" customFormat="1">
      <c r="A210" s="19" t="s">
        <v>97</v>
      </c>
      <c r="B210" s="13" t="s">
        <v>240</v>
      </c>
      <c r="C210" s="13" t="s">
        <v>243</v>
      </c>
      <c r="D210" s="13" t="s">
        <v>278</v>
      </c>
      <c r="E210" s="54">
        <v>31.5</v>
      </c>
      <c r="F210" s="33">
        <v>-111.62</v>
      </c>
      <c r="G210" s="32">
        <v>663.15598386635895</v>
      </c>
      <c r="H210" s="31">
        <v>0.24789999999999998</v>
      </c>
      <c r="I210" s="31">
        <v>0.11</v>
      </c>
      <c r="J210" s="31">
        <v>0.33306041999999997</v>
      </c>
      <c r="K210" s="33">
        <f t="shared" si="15"/>
        <v>0.35288384160959635</v>
      </c>
      <c r="L210" s="61" t="s">
        <v>76</v>
      </c>
      <c r="M210" s="61"/>
      <c r="N210" s="61"/>
      <c r="O210" s="63"/>
      <c r="P210" s="78"/>
      <c r="Q210" s="62"/>
      <c r="R210" s="62"/>
    </row>
    <row r="211" spans="1:18" s="13" customFormat="1">
      <c r="A211" s="19" t="s">
        <v>97</v>
      </c>
      <c r="B211" s="13" t="s">
        <v>240</v>
      </c>
      <c r="C211" s="13" t="s">
        <v>243</v>
      </c>
      <c r="D211" s="13" t="s">
        <v>279</v>
      </c>
      <c r="E211" s="54">
        <v>31.5</v>
      </c>
      <c r="F211" s="33">
        <v>-111.62</v>
      </c>
      <c r="G211" s="32">
        <v>699.9373741966408</v>
      </c>
      <c r="H211" s="31">
        <v>0.38900000000000001</v>
      </c>
      <c r="I211" s="31">
        <v>0.1</v>
      </c>
      <c r="J211" s="31">
        <v>0.45002220000000004</v>
      </c>
      <c r="K211" s="33">
        <f t="shared" si="15"/>
        <v>0.58994960132570773</v>
      </c>
      <c r="L211" s="61" t="s">
        <v>21</v>
      </c>
      <c r="M211" s="61"/>
      <c r="N211" s="61"/>
      <c r="O211" s="63"/>
      <c r="P211" s="78"/>
      <c r="Q211" s="62"/>
      <c r="R211" s="62"/>
    </row>
    <row r="212" spans="1:18" s="13" customFormat="1">
      <c r="A212" s="19" t="s">
        <v>97</v>
      </c>
      <c r="B212" s="13" t="s">
        <v>240</v>
      </c>
      <c r="C212" s="13" t="s">
        <v>243</v>
      </c>
      <c r="D212" s="13" t="s">
        <v>280</v>
      </c>
      <c r="E212" s="54">
        <v>31.5</v>
      </c>
      <c r="F212" s="33">
        <v>-111.62</v>
      </c>
      <c r="G212" s="32">
        <v>674.27439552684382</v>
      </c>
      <c r="H212" s="31">
        <v>0.1401</v>
      </c>
      <c r="I212" s="31">
        <v>0.09</v>
      </c>
      <c r="J212" s="31">
        <v>0.21606198000000001</v>
      </c>
      <c r="K212" s="33">
        <f t="shared" si="15"/>
        <v>0.19219562584644972</v>
      </c>
      <c r="L212" s="61" t="s">
        <v>76</v>
      </c>
      <c r="M212" s="61"/>
      <c r="N212" s="61"/>
      <c r="O212" s="63"/>
      <c r="P212" s="78"/>
      <c r="Q212" s="62"/>
      <c r="R212" s="62"/>
    </row>
    <row r="213" spans="1:18" s="13" customFormat="1">
      <c r="A213" s="19" t="s">
        <v>97</v>
      </c>
      <c r="B213" s="13" t="s">
        <v>240</v>
      </c>
      <c r="C213" s="13" t="s">
        <v>243</v>
      </c>
      <c r="D213" s="13" t="s">
        <v>281</v>
      </c>
      <c r="E213" s="54">
        <v>31.5</v>
      </c>
      <c r="F213" s="33">
        <v>-111.62</v>
      </c>
      <c r="G213" s="32">
        <v>766.70881680187551</v>
      </c>
      <c r="H213" s="31">
        <v>0.62009999999999998</v>
      </c>
      <c r="I213" s="31">
        <v>0.09</v>
      </c>
      <c r="J213" s="31">
        <v>0.64796597999999994</v>
      </c>
      <c r="K213" s="33">
        <f t="shared" si="15"/>
        <v>0.83821922190762577</v>
      </c>
      <c r="L213" s="61" t="s">
        <v>21</v>
      </c>
      <c r="M213" s="61"/>
      <c r="N213" s="61"/>
      <c r="O213" s="63"/>
      <c r="P213" s="78"/>
      <c r="Q213" s="62"/>
      <c r="R213" s="62"/>
    </row>
    <row r="214" spans="1:18" s="13" customFormat="1">
      <c r="A214" s="19" t="s">
        <v>97</v>
      </c>
      <c r="B214" s="13" t="s">
        <v>240</v>
      </c>
      <c r="C214" s="13" t="s">
        <v>243</v>
      </c>
      <c r="D214" s="13" t="s">
        <v>282</v>
      </c>
      <c r="E214" s="54">
        <v>31.5</v>
      </c>
      <c r="F214" s="33">
        <v>-111.62</v>
      </c>
      <c r="G214" s="32">
        <v>653.3932031612062</v>
      </c>
      <c r="H214" s="31">
        <v>0.1802</v>
      </c>
      <c r="I214" s="31">
        <v>0.18</v>
      </c>
      <c r="J214" s="31">
        <v>0.34214396000000002</v>
      </c>
      <c r="K214" s="33">
        <f t="shared" si="15"/>
        <v>4.822815397380786E-4</v>
      </c>
      <c r="L214" s="61" t="s">
        <v>76</v>
      </c>
      <c r="M214" s="61"/>
      <c r="N214" s="61"/>
      <c r="O214" s="63"/>
      <c r="P214" s="78"/>
      <c r="Q214" s="62"/>
      <c r="R214" s="62"/>
    </row>
    <row r="215" spans="1:18" s="13" customFormat="1">
      <c r="A215" s="19" t="s">
        <v>97</v>
      </c>
      <c r="B215" s="13" t="s">
        <v>240</v>
      </c>
      <c r="C215" s="13" t="s">
        <v>243</v>
      </c>
      <c r="D215" s="13" t="s">
        <v>283</v>
      </c>
      <c r="E215" s="54">
        <v>31.5</v>
      </c>
      <c r="F215" s="33">
        <v>-111.62</v>
      </c>
      <c r="G215" s="32">
        <v>774.82570245007162</v>
      </c>
      <c r="H215" s="31">
        <v>0.51900000000000002</v>
      </c>
      <c r="I215" s="31">
        <v>0.1</v>
      </c>
      <c r="J215" s="31">
        <v>0.56699620000000006</v>
      </c>
      <c r="K215" s="33">
        <f t="shared" si="15"/>
        <v>0.71516735784845786</v>
      </c>
      <c r="L215" s="61" t="s">
        <v>21</v>
      </c>
      <c r="M215" s="61"/>
      <c r="N215" s="61"/>
      <c r="O215" s="63"/>
      <c r="P215" s="78"/>
      <c r="Q215" s="62"/>
      <c r="R215" s="62"/>
    </row>
    <row r="216" spans="1:18" s="13" customFormat="1">
      <c r="A216" s="19" t="s">
        <v>97</v>
      </c>
      <c r="B216" s="13" t="s">
        <v>240</v>
      </c>
      <c r="C216" s="13" t="s">
        <v>243</v>
      </c>
      <c r="D216" s="13" t="s">
        <v>284</v>
      </c>
      <c r="E216" s="54">
        <v>31.5</v>
      </c>
      <c r="F216" s="33">
        <v>-111.62</v>
      </c>
      <c r="G216" s="32">
        <v>728.50896496413452</v>
      </c>
      <c r="H216" s="31">
        <v>0.55690000000000006</v>
      </c>
      <c r="I216" s="31">
        <v>0.21</v>
      </c>
      <c r="J216" s="31">
        <v>0.71109862000000001</v>
      </c>
      <c r="K216" s="33">
        <f t="shared" si="15"/>
        <v>0.4235579231558399</v>
      </c>
      <c r="L216" s="61" t="s">
        <v>76</v>
      </c>
      <c r="M216" s="61"/>
      <c r="N216" s="61"/>
      <c r="O216" s="63"/>
      <c r="P216" s="78"/>
      <c r="Q216" s="62"/>
      <c r="R216" s="62"/>
    </row>
    <row r="217" spans="1:18" s="13" customFormat="1" ht="16.5" thickBot="1">
      <c r="A217" s="20" t="s">
        <v>97</v>
      </c>
      <c r="B217" s="45" t="s">
        <v>240</v>
      </c>
      <c r="C217" s="45" t="s">
        <v>243</v>
      </c>
      <c r="D217" s="45" t="s">
        <v>285</v>
      </c>
      <c r="E217" s="55">
        <v>31.5</v>
      </c>
      <c r="F217" s="46">
        <v>-111.62</v>
      </c>
      <c r="G217" s="47">
        <v>694.20259240813243</v>
      </c>
      <c r="H217" s="48">
        <v>0.29360000000000003</v>
      </c>
      <c r="I217" s="48">
        <v>0.24</v>
      </c>
      <c r="J217" s="48">
        <v>0.50418128000000006</v>
      </c>
      <c r="K217" s="46">
        <f t="shared" si="15"/>
        <v>8.7544809532426923E-2</v>
      </c>
      <c r="L217" s="72" t="s">
        <v>76</v>
      </c>
      <c r="M217" s="72"/>
      <c r="N217" s="72"/>
      <c r="O217" s="73"/>
      <c r="P217" s="79"/>
      <c r="Q217" s="62"/>
      <c r="R217" s="62"/>
    </row>
    <row r="218" spans="1:18">
      <c r="F218" s="22"/>
      <c r="G218" s="23"/>
    </row>
  </sheetData>
  <mergeCells count="2">
    <mergeCell ref="M2:P2"/>
    <mergeCell ref="M49:P49"/>
  </mergeCells>
  <phoneticPr fontId="1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CABA8-C963-754C-97CE-6AC6A4E63D1B}">
  <dimension ref="A1:A23"/>
  <sheetViews>
    <sheetView workbookViewId="0">
      <selection activeCell="A2" sqref="A2"/>
    </sheetView>
  </sheetViews>
  <sheetFormatPr defaultColWidth="10.875" defaultRowHeight="15.75"/>
  <cols>
    <col min="1" max="16384" width="10.875" style="81"/>
  </cols>
  <sheetData>
    <row r="1" spans="1:1" ht="18.75">
      <c r="A1" s="84" t="s">
        <v>300</v>
      </c>
    </row>
    <row r="3" spans="1:1">
      <c r="A3" s="82" t="s">
        <v>304</v>
      </c>
    </row>
    <row r="4" spans="1:1">
      <c r="A4" s="82"/>
    </row>
    <row r="5" spans="1:1">
      <c r="A5" s="83" t="s">
        <v>306</v>
      </c>
    </row>
    <row r="6" spans="1:1">
      <c r="A6" s="83"/>
    </row>
    <row r="7" spans="1:1">
      <c r="A7" s="82" t="s">
        <v>305</v>
      </c>
    </row>
    <row r="8" spans="1:1">
      <c r="A8" s="82"/>
    </row>
    <row r="9" spans="1:1">
      <c r="A9" s="83" t="s">
        <v>302</v>
      </c>
    </row>
    <row r="10" spans="1:1">
      <c r="A10" s="83"/>
    </row>
    <row r="11" spans="1:1">
      <c r="A11" s="82" t="s">
        <v>303</v>
      </c>
    </row>
    <row r="12" spans="1:1">
      <c r="A12" s="82"/>
    </row>
    <row r="13" spans="1:1">
      <c r="A13" s="83" t="s">
        <v>307</v>
      </c>
    </row>
    <row r="14" spans="1:1">
      <c r="A14" s="83"/>
    </row>
    <row r="15" spans="1:1">
      <c r="A15" s="83" t="s">
        <v>308</v>
      </c>
    </row>
    <row r="16" spans="1:1">
      <c r="A16" s="83"/>
    </row>
    <row r="17" spans="1:1">
      <c r="A17" s="83" t="s">
        <v>309</v>
      </c>
    </row>
    <row r="18" spans="1:1">
      <c r="A18" s="83"/>
    </row>
    <row r="19" spans="1:1">
      <c r="A19" s="83" t="s">
        <v>310</v>
      </c>
    </row>
    <row r="20" spans="1:1">
      <c r="A20" s="83"/>
    </row>
    <row r="21" spans="1:1">
      <c r="A21" s="82" t="s">
        <v>301</v>
      </c>
    </row>
    <row r="22" spans="1:1">
      <c r="A22" s="82"/>
    </row>
    <row r="23" spans="1:1">
      <c r="A23" s="83" t="s">
        <v>311</v>
      </c>
    </row>
  </sheetData>
  <sortState xmlns:xlrd2="http://schemas.microsoft.com/office/spreadsheetml/2017/richdata2" ref="A3:A23">
    <sortCondition ref="A3:A2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46AE1-7634-4282-A5AA-3AAD80FD617B}">
  <dimension ref="A1"/>
  <sheetViews>
    <sheetView workbookViewId="0">
      <selection activeCell="A2" sqref="A2"/>
    </sheetView>
  </sheetViews>
  <sheetFormatPr defaultRowHeight="15.75"/>
  <sheetData>
    <row r="1" spans="1:1">
      <c r="A1" t="s">
        <v>312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4 data</vt:lpstr>
      <vt:lpstr>References</vt:lpstr>
      <vt:lpstr>G49801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Jennifer Olivarez</cp:lastModifiedBy>
  <dcterms:created xsi:type="dcterms:W3CDTF">2021-06-26T20:05:13Z</dcterms:created>
  <dcterms:modified xsi:type="dcterms:W3CDTF">2022-03-22T20:45:28Z</dcterms:modified>
</cp:coreProperties>
</file>