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pril-2022\G49372sBrophy\1-Data Repo\"/>
    </mc:Choice>
  </mc:AlternateContent>
  <xr:revisionPtr revIDLastSave="0" documentId="13_ncr:1_{983CC569-5E80-4836-BA91-335988DAA1E9}" xr6:coauthVersionLast="47" xr6:coauthVersionMax="47" xr10:uidLastSave="{00000000-0000-0000-0000-000000000000}"/>
  <bookViews>
    <workbookView xWindow="-120" yWindow="-120" windowWidth="20730" windowHeight="10215" xr2:uid="{BCF91E5B-F26B-B84A-B615-83A79182A9E2}"/>
  </bookViews>
  <sheets>
    <sheet name="Raw and Standardized Abundance" sheetId="1" r:id="rId1"/>
    <sheet name="G49372" sheetId="8" r:id="rId2"/>
    <sheet name="3504A combined" sheetId="4" r:id="rId3"/>
    <sheet name="Standard Error on Abundance" sheetId="5" r:id="rId4"/>
    <sheet name="Simpson's D Standardized to Max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5" l="1"/>
  <c r="J6" i="7"/>
  <c r="G6" i="7"/>
  <c r="P64" i="7"/>
  <c r="R64" i="7" s="1"/>
  <c r="P63" i="7"/>
  <c r="R63" i="7" s="1"/>
  <c r="R62" i="7"/>
  <c r="P62" i="7"/>
  <c r="R61" i="7"/>
  <c r="P61" i="7"/>
  <c r="P60" i="7"/>
  <c r="R60" i="7" s="1"/>
  <c r="P59" i="7"/>
  <c r="R59" i="7" s="1"/>
  <c r="R58" i="7"/>
  <c r="P58" i="7"/>
  <c r="Q57" i="7" s="1"/>
  <c r="P57" i="7"/>
  <c r="R57" i="7" s="1"/>
  <c r="R54" i="7"/>
  <c r="P54" i="7"/>
  <c r="R53" i="7"/>
  <c r="P53" i="7"/>
  <c r="P52" i="7"/>
  <c r="R52" i="7" s="1"/>
  <c r="S52" i="7" s="1"/>
  <c r="R49" i="7"/>
  <c r="P49" i="7"/>
  <c r="P48" i="7"/>
  <c r="R48" i="7" s="1"/>
  <c r="P47" i="7"/>
  <c r="R47" i="7" s="1"/>
  <c r="R46" i="7"/>
  <c r="P46" i="7"/>
  <c r="Q46" i="7" s="1"/>
  <c r="P43" i="7"/>
  <c r="R43" i="7" s="1"/>
  <c r="R42" i="7"/>
  <c r="P42" i="7"/>
  <c r="R41" i="7"/>
  <c r="P41" i="7"/>
  <c r="P40" i="7"/>
  <c r="R40" i="7" s="1"/>
  <c r="P39" i="7"/>
  <c r="R39" i="7" s="1"/>
  <c r="R38" i="7"/>
  <c r="P38" i="7"/>
  <c r="P37" i="7"/>
  <c r="R37" i="7" s="1"/>
  <c r="S37" i="7" s="1"/>
  <c r="R34" i="7"/>
  <c r="P34" i="7"/>
  <c r="Q33" i="7" s="1"/>
  <c r="R33" i="7"/>
  <c r="S33" i="7" s="1"/>
  <c r="T33" i="7" s="1"/>
  <c r="U33" i="7" s="1"/>
  <c r="P30" i="7"/>
  <c r="P29" i="7"/>
  <c r="T28" i="7"/>
  <c r="U28" i="7" s="1"/>
  <c r="P28" i="7"/>
  <c r="P19" i="7"/>
  <c r="R19" i="7" s="1"/>
  <c r="Q18" i="7"/>
  <c r="P18" i="7"/>
  <c r="R18" i="7" s="1"/>
  <c r="P10" i="7"/>
  <c r="T9" i="7"/>
  <c r="U9" i="7" s="1"/>
  <c r="P9" i="7"/>
  <c r="T6" i="7"/>
  <c r="R6" i="7"/>
  <c r="G119" i="7"/>
  <c r="E119" i="7"/>
  <c r="G118" i="7"/>
  <c r="H118" i="7" s="1"/>
  <c r="I118" i="7" s="1"/>
  <c r="J118" i="7" s="1"/>
  <c r="F118" i="7"/>
  <c r="G115" i="7"/>
  <c r="E115" i="7"/>
  <c r="G114" i="7"/>
  <c r="H114" i="7" s="1"/>
  <c r="I114" i="7" s="1"/>
  <c r="J114" i="7" s="1"/>
  <c r="F114" i="7"/>
  <c r="E111" i="7"/>
  <c r="G111" i="7" s="1"/>
  <c r="G110" i="7"/>
  <c r="E110" i="7"/>
  <c r="E109" i="7"/>
  <c r="G109" i="7" s="1"/>
  <c r="G108" i="7"/>
  <c r="E108" i="7"/>
  <c r="E107" i="7"/>
  <c r="G107" i="7" s="1"/>
  <c r="G106" i="7"/>
  <c r="E106" i="7"/>
  <c r="E105" i="7"/>
  <c r="G105" i="7" s="1"/>
  <c r="E104" i="7"/>
  <c r="G104" i="7" s="1"/>
  <c r="E103" i="7"/>
  <c r="G103" i="7" s="1"/>
  <c r="G100" i="7"/>
  <c r="E100" i="7"/>
  <c r="E99" i="7"/>
  <c r="G99" i="7" s="1"/>
  <c r="G98" i="7"/>
  <c r="E98" i="7"/>
  <c r="E97" i="7"/>
  <c r="G97" i="7" s="1"/>
  <c r="E96" i="7"/>
  <c r="G96" i="7" s="1"/>
  <c r="E95" i="7"/>
  <c r="G95" i="7" s="1"/>
  <c r="E94" i="7"/>
  <c r="G94" i="7" s="1"/>
  <c r="E91" i="7"/>
  <c r="F88" i="7" s="1"/>
  <c r="G90" i="7"/>
  <c r="E90" i="7"/>
  <c r="E89" i="7"/>
  <c r="G89" i="7" s="1"/>
  <c r="G88" i="7"/>
  <c r="E88" i="7"/>
  <c r="E85" i="7"/>
  <c r="G85" i="7" s="1"/>
  <c r="E84" i="7"/>
  <c r="G84" i="7" s="1"/>
  <c r="E83" i="7"/>
  <c r="G83" i="7" s="1"/>
  <c r="G82" i="7"/>
  <c r="E82" i="7"/>
  <c r="E81" i="7"/>
  <c r="G81" i="7" s="1"/>
  <c r="E80" i="7"/>
  <c r="G80" i="7" s="1"/>
  <c r="E79" i="7"/>
  <c r="G79" i="7" s="1"/>
  <c r="E76" i="7"/>
  <c r="G76" i="7" s="1"/>
  <c r="E75" i="7"/>
  <c r="F72" i="7" s="1"/>
  <c r="G74" i="7"/>
  <c r="E74" i="7"/>
  <c r="E73" i="7"/>
  <c r="G73" i="7" s="1"/>
  <c r="G72" i="7"/>
  <c r="E72" i="7"/>
  <c r="E67" i="7"/>
  <c r="G67" i="7" s="1"/>
  <c r="E66" i="7"/>
  <c r="G66" i="7" s="1"/>
  <c r="E65" i="7"/>
  <c r="G65" i="7" s="1"/>
  <c r="G64" i="7"/>
  <c r="E64" i="7"/>
  <c r="E63" i="7"/>
  <c r="G63" i="7" s="1"/>
  <c r="E62" i="7"/>
  <c r="G62" i="7" s="1"/>
  <c r="E61" i="7"/>
  <c r="F58" i="7" s="1"/>
  <c r="G60" i="7"/>
  <c r="E60" i="7"/>
  <c r="E59" i="7"/>
  <c r="G59" i="7" s="1"/>
  <c r="G58" i="7"/>
  <c r="E58" i="7"/>
  <c r="E55" i="7"/>
  <c r="G55" i="7" s="1"/>
  <c r="E54" i="7"/>
  <c r="G54" i="7" s="1"/>
  <c r="E53" i="7"/>
  <c r="G53" i="7" s="1"/>
  <c r="G52" i="7"/>
  <c r="E52" i="7"/>
  <c r="E51" i="7"/>
  <c r="G51" i="7" s="1"/>
  <c r="E50" i="7"/>
  <c r="G50" i="7" s="1"/>
  <c r="E49" i="7"/>
  <c r="G49" i="7" s="1"/>
  <c r="E46" i="7"/>
  <c r="G46" i="7" s="1"/>
  <c r="E45" i="7"/>
  <c r="F42" i="7" s="1"/>
  <c r="G44" i="7"/>
  <c r="E44" i="7"/>
  <c r="E43" i="7"/>
  <c r="G43" i="7" s="1"/>
  <c r="G42" i="7"/>
  <c r="E42" i="7"/>
  <c r="E39" i="7"/>
  <c r="F39" i="7" s="1"/>
  <c r="H39" i="7" s="1"/>
  <c r="E38" i="7"/>
  <c r="F38" i="7" s="1"/>
  <c r="H37" i="7"/>
  <c r="F37" i="7"/>
  <c r="E37" i="7"/>
  <c r="H36" i="7"/>
  <c r="F36" i="7"/>
  <c r="E36" i="7"/>
  <c r="E33" i="7"/>
  <c r="F33" i="7" s="1"/>
  <c r="H33" i="7" s="1"/>
  <c r="E32" i="7"/>
  <c r="F32" i="7" s="1"/>
  <c r="H32" i="7" s="1"/>
  <c r="E31" i="7"/>
  <c r="F31" i="7" s="1"/>
  <c r="H31" i="7" s="1"/>
  <c r="E30" i="7"/>
  <c r="F30" i="7" s="1"/>
  <c r="H30" i="7" s="1"/>
  <c r="F29" i="7"/>
  <c r="H29" i="7" s="1"/>
  <c r="E29" i="7"/>
  <c r="E28" i="7"/>
  <c r="F28" i="7" s="1"/>
  <c r="H28" i="7" s="1"/>
  <c r="E27" i="7"/>
  <c r="F27" i="7" s="1"/>
  <c r="H27" i="7" s="1"/>
  <c r="H26" i="7"/>
  <c r="F26" i="7"/>
  <c r="E26" i="7"/>
  <c r="E25" i="7"/>
  <c r="F25" i="7" s="1"/>
  <c r="H25" i="7" s="1"/>
  <c r="E24" i="7"/>
  <c r="F24" i="7" s="1"/>
  <c r="H24" i="7" s="1"/>
  <c r="E23" i="7"/>
  <c r="F23" i="7" s="1"/>
  <c r="H23" i="7" s="1"/>
  <c r="E22" i="7"/>
  <c r="F22" i="7" s="1"/>
  <c r="H22" i="7" s="1"/>
  <c r="E21" i="7"/>
  <c r="F21" i="7" s="1"/>
  <c r="E18" i="7"/>
  <c r="F18" i="7" s="1"/>
  <c r="H18" i="7" s="1"/>
  <c r="E17" i="7"/>
  <c r="F17" i="7" s="1"/>
  <c r="H17" i="7" s="1"/>
  <c r="E16" i="7"/>
  <c r="F16" i="7" s="1"/>
  <c r="H16" i="7" s="1"/>
  <c r="F15" i="7"/>
  <c r="H15" i="7" s="1"/>
  <c r="E15" i="7"/>
  <c r="E14" i="7"/>
  <c r="F14" i="7" s="1"/>
  <c r="H14" i="7" s="1"/>
  <c r="E13" i="7"/>
  <c r="F13" i="7" s="1"/>
  <c r="H13" i="7" s="1"/>
  <c r="H12" i="7"/>
  <c r="F12" i="7"/>
  <c r="E12" i="7"/>
  <c r="E11" i="7"/>
  <c r="F11" i="7" s="1"/>
  <c r="H11" i="7" s="1"/>
  <c r="E10" i="7"/>
  <c r="F10" i="7" s="1"/>
  <c r="H10" i="7" s="1"/>
  <c r="E9" i="7"/>
  <c r="F9" i="7" s="1"/>
  <c r="H9" i="7" s="1"/>
  <c r="E8" i="7"/>
  <c r="F8" i="7" s="1"/>
  <c r="H8" i="7" s="1"/>
  <c r="F7" i="7"/>
  <c r="H7" i="7" s="1"/>
  <c r="E7" i="7"/>
  <c r="E6" i="7"/>
  <c r="F6" i="7" s="1"/>
  <c r="S46" i="7" l="1"/>
  <c r="T46" i="7" s="1"/>
  <c r="U46" i="7" s="1"/>
  <c r="S57" i="7"/>
  <c r="T57" i="7" s="1"/>
  <c r="U57" i="7" s="1"/>
  <c r="S18" i="7"/>
  <c r="T18" i="7" s="1"/>
  <c r="U18" i="7" s="1"/>
  <c r="Q52" i="7"/>
  <c r="T52" i="7" s="1"/>
  <c r="U51" i="7" s="1"/>
  <c r="Q37" i="7"/>
  <c r="T37" i="7" s="1"/>
  <c r="U37" i="7" s="1"/>
  <c r="H49" i="7"/>
  <c r="I49" i="7" s="1"/>
  <c r="J49" i="7" s="1"/>
  <c r="H103" i="7"/>
  <c r="H79" i="7"/>
  <c r="H72" i="7"/>
  <c r="I72" i="7" s="1"/>
  <c r="J72" i="7" s="1"/>
  <c r="H38" i="7"/>
  <c r="G36" i="7"/>
  <c r="H6" i="7"/>
  <c r="I6" i="7" s="1"/>
  <c r="G22" i="7"/>
  <c r="H21" i="7"/>
  <c r="I21" i="7" s="1"/>
  <c r="H94" i="7"/>
  <c r="I94" i="7" s="1"/>
  <c r="J94" i="7" s="1"/>
  <c r="I36" i="7"/>
  <c r="J36" i="7" s="1"/>
  <c r="K36" i="7" s="1"/>
  <c r="H88" i="7"/>
  <c r="I88" i="7" s="1"/>
  <c r="J88" i="7" s="1"/>
  <c r="G45" i="7"/>
  <c r="H42" i="7" s="1"/>
  <c r="I42" i="7" s="1"/>
  <c r="J42" i="7" s="1"/>
  <c r="G61" i="7"/>
  <c r="H58" i="7" s="1"/>
  <c r="I58" i="7" s="1"/>
  <c r="J58" i="7" s="1"/>
  <c r="G75" i="7"/>
  <c r="G91" i="7"/>
  <c r="F94" i="7"/>
  <c r="F49" i="7"/>
  <c r="F79" i="7"/>
  <c r="F103" i="7"/>
  <c r="K6" i="7" l="1"/>
  <c r="I79" i="7"/>
  <c r="J79" i="7" s="1"/>
  <c r="J21" i="7"/>
  <c r="K21" i="7" s="1"/>
  <c r="I103" i="7"/>
  <c r="J103" i="7" s="1"/>
  <c r="B13" i="1" l="1"/>
  <c r="B12" i="1"/>
  <c r="B11" i="1"/>
  <c r="B10" i="1"/>
  <c r="B9" i="1"/>
  <c r="B8" i="1"/>
  <c r="I17" i="1" l="1"/>
  <c r="D6" i="5"/>
  <c r="I350" i="1" l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28" i="1"/>
  <c r="J328" i="1" s="1"/>
  <c r="I327" i="1"/>
  <c r="J327" i="1" s="1"/>
  <c r="I326" i="1"/>
  <c r="J326" i="1" s="1"/>
  <c r="I325" i="1"/>
  <c r="J325" i="1" s="1"/>
  <c r="J324" i="1"/>
  <c r="I324" i="1"/>
  <c r="I323" i="1"/>
  <c r="J323" i="1" s="1"/>
  <c r="I322" i="1"/>
  <c r="J322" i="1" s="1"/>
  <c r="I321" i="1"/>
  <c r="J321" i="1" s="1"/>
  <c r="I318" i="1"/>
  <c r="J318" i="1" s="1"/>
  <c r="I317" i="1"/>
  <c r="J317" i="1" s="1"/>
  <c r="I316" i="1"/>
  <c r="J316" i="1" s="1"/>
  <c r="J315" i="1"/>
  <c r="I315" i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5" i="1"/>
  <c r="J305" i="1" s="1"/>
  <c r="I304" i="1"/>
  <c r="J304" i="1" s="1"/>
  <c r="I303" i="1"/>
  <c r="J303" i="1" s="1"/>
  <c r="L303" i="1" s="1"/>
  <c r="I300" i="1"/>
  <c r="J300" i="1" s="1"/>
  <c r="I299" i="1"/>
  <c r="J299" i="1" s="1"/>
  <c r="I298" i="1"/>
  <c r="J298" i="1" s="1"/>
  <c r="I297" i="1"/>
  <c r="J297" i="1" s="1"/>
  <c r="I296" i="1"/>
  <c r="J296" i="1" s="1"/>
  <c r="I293" i="1"/>
  <c r="J293" i="1" s="1"/>
  <c r="I292" i="1"/>
  <c r="J292" i="1" s="1"/>
  <c r="I291" i="1"/>
  <c r="J291" i="1" s="1"/>
  <c r="I287" i="1"/>
  <c r="J287" i="1" s="1"/>
  <c r="I286" i="1"/>
  <c r="J286" i="1" s="1"/>
  <c r="I283" i="1"/>
  <c r="J283" i="1" s="1"/>
  <c r="I282" i="1"/>
  <c r="J282" i="1" s="1"/>
  <c r="I281" i="1"/>
  <c r="J281" i="1" s="1"/>
  <c r="I280" i="1"/>
  <c r="J280" i="1" s="1"/>
  <c r="I277" i="1"/>
  <c r="J277" i="1" s="1"/>
  <c r="I276" i="1"/>
  <c r="J276" i="1" s="1"/>
  <c r="I275" i="1"/>
  <c r="J275" i="1" s="1"/>
  <c r="I274" i="1"/>
  <c r="J274" i="1" s="1"/>
  <c r="I270" i="1"/>
  <c r="J270" i="1" s="1"/>
  <c r="K270" i="1" s="1"/>
  <c r="I266" i="1"/>
  <c r="J266" i="1" s="1"/>
  <c r="I265" i="1"/>
  <c r="J265" i="1" s="1"/>
  <c r="I264" i="1"/>
  <c r="J264" i="1" s="1"/>
  <c r="I263" i="1"/>
  <c r="J263" i="1" s="1"/>
  <c r="I262" i="1"/>
  <c r="J262" i="1" s="1"/>
  <c r="I259" i="1"/>
  <c r="J259" i="1" s="1"/>
  <c r="I258" i="1"/>
  <c r="J258" i="1" s="1"/>
  <c r="I257" i="1"/>
  <c r="J257" i="1" s="1"/>
  <c r="I248" i="1"/>
  <c r="I247" i="1"/>
  <c r="I246" i="1"/>
  <c r="I245" i="1"/>
  <c r="I244" i="1"/>
  <c r="J244" i="1" s="1"/>
  <c r="I241" i="1"/>
  <c r="I240" i="1"/>
  <c r="J239" i="1" s="1"/>
  <c r="I239" i="1"/>
  <c r="I236" i="1"/>
  <c r="I235" i="1"/>
  <c r="I234" i="1"/>
  <c r="I233" i="1"/>
  <c r="I232" i="1"/>
  <c r="I231" i="1"/>
  <c r="K231" i="1" s="1"/>
  <c r="I228" i="1"/>
  <c r="I227" i="1"/>
  <c r="I226" i="1"/>
  <c r="I225" i="1"/>
  <c r="I224" i="1"/>
  <c r="I223" i="1"/>
  <c r="I222" i="1"/>
  <c r="I221" i="1"/>
  <c r="I218" i="1"/>
  <c r="I217" i="1"/>
  <c r="I216" i="1"/>
  <c r="I215" i="1"/>
  <c r="K214" i="1" s="1"/>
  <c r="I214" i="1"/>
  <c r="I211" i="1"/>
  <c r="I210" i="1"/>
  <c r="I209" i="1"/>
  <c r="I206" i="1"/>
  <c r="I205" i="1"/>
  <c r="I204" i="1"/>
  <c r="I203" i="1"/>
  <c r="K203" i="1" s="1"/>
  <c r="I200" i="1"/>
  <c r="I199" i="1"/>
  <c r="I198" i="1"/>
  <c r="I197" i="1"/>
  <c r="I196" i="1"/>
  <c r="I193" i="1"/>
  <c r="I192" i="1"/>
  <c r="I191" i="1"/>
  <c r="I190" i="1"/>
  <c r="I189" i="1"/>
  <c r="I186" i="1"/>
  <c r="I185" i="1"/>
  <c r="I184" i="1"/>
  <c r="I183" i="1"/>
  <c r="I182" i="1"/>
  <c r="I181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88" i="5"/>
  <c r="I80" i="5"/>
  <c r="I70" i="5"/>
  <c r="I57" i="5"/>
  <c r="I52" i="5"/>
  <c r="I45" i="5"/>
  <c r="I40" i="5"/>
  <c r="I35" i="5"/>
  <c r="I29" i="5"/>
  <c r="I23" i="5"/>
  <c r="I11" i="5"/>
  <c r="D161" i="5"/>
  <c r="D154" i="5"/>
  <c r="D139" i="5"/>
  <c r="D126" i="5"/>
  <c r="D118" i="5"/>
  <c r="D106" i="5"/>
  <c r="D96" i="5"/>
  <c r="D82" i="5"/>
  <c r="D71" i="5"/>
  <c r="D58" i="5"/>
  <c r="D49" i="5"/>
  <c r="D27" i="5"/>
  <c r="J161" i="1" l="1"/>
  <c r="J189" i="1"/>
  <c r="J231" i="1"/>
  <c r="J214" i="1"/>
  <c r="L321" i="1"/>
  <c r="J181" i="1"/>
  <c r="K286" i="1"/>
  <c r="K189" i="1"/>
  <c r="K196" i="1"/>
  <c r="J209" i="1"/>
  <c r="K221" i="1"/>
  <c r="K181" i="1"/>
  <c r="J141" i="1"/>
  <c r="L274" i="1"/>
  <c r="K274" i="1"/>
  <c r="L331" i="1"/>
  <c r="K331" i="1"/>
  <c r="K339" i="1"/>
  <c r="L257" i="1"/>
  <c r="K257" i="1"/>
  <c r="L280" i="1"/>
  <c r="K280" i="1"/>
  <c r="L296" i="1"/>
  <c r="K296" i="1"/>
  <c r="L262" i="1"/>
  <c r="K262" i="1"/>
  <c r="L291" i="1"/>
  <c r="K291" i="1"/>
  <c r="K308" i="1"/>
  <c r="K303" i="1"/>
  <c r="L308" i="1"/>
  <c r="K321" i="1"/>
  <c r="J203" i="1"/>
  <c r="J196" i="1"/>
  <c r="J221" i="1"/>
  <c r="F50" i="4"/>
  <c r="E50" i="4"/>
  <c r="D51" i="4"/>
  <c r="D52" i="4"/>
  <c r="D53" i="4"/>
  <c r="D54" i="4"/>
  <c r="D55" i="4"/>
  <c r="D56" i="4"/>
  <c r="D50" i="4"/>
  <c r="F28" i="4"/>
  <c r="E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28" i="4"/>
  <c r="F7" i="4"/>
  <c r="E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7" i="4"/>
  <c r="I133" i="1" l="1"/>
  <c r="J133" i="1" s="1"/>
  <c r="I132" i="1"/>
  <c r="J132" i="1" s="1"/>
  <c r="I131" i="1"/>
  <c r="J131" i="1" s="1"/>
  <c r="I130" i="1"/>
  <c r="J130" i="1" s="1"/>
  <c r="L130" i="1" s="1"/>
  <c r="I127" i="1"/>
  <c r="J127" i="1" s="1"/>
  <c r="I126" i="1"/>
  <c r="J126" i="1" s="1"/>
  <c r="I125" i="1"/>
  <c r="J125" i="1" s="1"/>
  <c r="I124" i="1"/>
  <c r="J124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J114" i="1"/>
  <c r="I114" i="1"/>
  <c r="I113" i="1"/>
  <c r="J113" i="1" s="1"/>
  <c r="I112" i="1"/>
  <c r="J112" i="1" s="1"/>
  <c r="I111" i="1"/>
  <c r="J111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99" i="1"/>
  <c r="J99" i="1" s="1"/>
  <c r="I98" i="1"/>
  <c r="J98" i="1" s="1"/>
  <c r="I97" i="1"/>
  <c r="J97" i="1" s="1"/>
  <c r="I96" i="1"/>
  <c r="J96" i="1" s="1"/>
  <c r="L96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3" i="1"/>
  <c r="J73" i="1" s="1"/>
  <c r="I72" i="1"/>
  <c r="J72" i="1" s="1"/>
  <c r="F71" i="1"/>
  <c r="I71" i="1" s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1" i="1"/>
  <c r="J61" i="1" s="1"/>
  <c r="F60" i="1"/>
  <c r="I60" i="1" s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2" i="1"/>
  <c r="J52" i="1" s="1"/>
  <c r="I51" i="1"/>
  <c r="J51" i="1" s="1"/>
  <c r="I50" i="1"/>
  <c r="J50" i="1" s="1"/>
  <c r="I49" i="1"/>
  <c r="J49" i="1" s="1"/>
  <c r="F48" i="1"/>
  <c r="I48" i="1" s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39" i="1"/>
  <c r="J39" i="1" s="1"/>
  <c r="F38" i="1"/>
  <c r="I38" i="1" s="1"/>
  <c r="J38" i="1" s="1"/>
  <c r="I37" i="1"/>
  <c r="J37" i="1" s="1"/>
  <c r="I36" i="1"/>
  <c r="J36" i="1" s="1"/>
  <c r="L36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F26" i="1"/>
  <c r="I26" i="1" s="1"/>
  <c r="J26" i="1" s="1"/>
  <c r="I23" i="1"/>
  <c r="J23" i="1" s="1"/>
  <c r="F22" i="1"/>
  <c r="I22" i="1" s="1"/>
  <c r="J22" i="1" s="1"/>
  <c r="I21" i="1"/>
  <c r="J21" i="1" s="1"/>
  <c r="I20" i="1"/>
  <c r="J20" i="1" s="1"/>
  <c r="I19" i="1"/>
  <c r="J19" i="1" s="1"/>
  <c r="I18" i="1"/>
  <c r="J18" i="1" s="1"/>
  <c r="J17" i="1"/>
  <c r="K17" i="1" l="1"/>
  <c r="L43" i="1"/>
  <c r="K43" i="1"/>
  <c r="L76" i="1"/>
  <c r="K76" i="1"/>
  <c r="L102" i="1"/>
  <c r="K102" i="1"/>
  <c r="L111" i="1"/>
  <c r="K111" i="1"/>
  <c r="L84" i="1"/>
  <c r="L55" i="1"/>
  <c r="K55" i="1"/>
  <c r="L124" i="1"/>
  <c r="K124" i="1"/>
  <c r="L26" i="1"/>
  <c r="K26" i="1"/>
  <c r="L64" i="1"/>
  <c r="K64" i="1"/>
  <c r="K130" i="1"/>
  <c r="K36" i="1"/>
  <c r="K84" i="1"/>
  <c r="K96" i="1"/>
</calcChain>
</file>

<file path=xl/sharedStrings.xml><?xml version="1.0" encoding="utf-8"?>
<sst xmlns="http://schemas.openxmlformats.org/spreadsheetml/2006/main" count="961" uniqueCount="173">
  <si>
    <t>X (to m3)</t>
  </si>
  <si>
    <t>Plus 1</t>
  </si>
  <si>
    <t xml:space="preserve">Total Abundance </t>
  </si>
  <si>
    <t>Species Richness</t>
  </si>
  <si>
    <t>1.0-.875 Above</t>
  </si>
  <si>
    <t>V=.03125</t>
  </si>
  <si>
    <t>N</t>
  </si>
  <si>
    <t xml:space="preserve">Nymphalucina occidentalis </t>
  </si>
  <si>
    <t>Inoceramus altusiformis</t>
  </si>
  <si>
    <t>Baculites compressus</t>
  </si>
  <si>
    <t xml:space="preserve">Baculites sp. </t>
  </si>
  <si>
    <t>Trachytriton vinculum</t>
  </si>
  <si>
    <t xml:space="preserve">Inoceramus sp. </t>
  </si>
  <si>
    <t>0.875-0.75 m Above</t>
  </si>
  <si>
    <t>Nymphalucina occidentalis</t>
  </si>
  <si>
    <t>Gervillia sp.1</t>
  </si>
  <si>
    <t>Syncyclomena halli</t>
  </si>
  <si>
    <t>Euspira obliquata</t>
  </si>
  <si>
    <t>0.75-0.625 m Above</t>
  </si>
  <si>
    <t>0.625-0.5 m Above</t>
  </si>
  <si>
    <t>V=.025</t>
  </si>
  <si>
    <t>Nuculana scitula</t>
  </si>
  <si>
    <t>Ostrea translucida</t>
  </si>
  <si>
    <t>Baculites corrugatus</t>
  </si>
  <si>
    <t xml:space="preserve">gastropod sp. </t>
  </si>
  <si>
    <t>Crab fragment/claw</t>
  </si>
  <si>
    <t xml:space="preserve">Unknowns </t>
  </si>
  <si>
    <t>0.5-0.375 Above</t>
  </si>
  <si>
    <t xml:space="preserve">Nuculana scitula </t>
  </si>
  <si>
    <t>Nuculana gardensis</t>
  </si>
  <si>
    <t>0.375-0.25 m Above</t>
  </si>
  <si>
    <t>Parapholus sp. A?</t>
  </si>
  <si>
    <t xml:space="preserve">Clisocolus (moreauensis?) </t>
  </si>
  <si>
    <t>Bivalve sp. 2</t>
  </si>
  <si>
    <t>0.25-0.125 m Above</t>
  </si>
  <si>
    <t>0.125-0 m Above</t>
  </si>
  <si>
    <t>Solemaya subplicata</t>
  </si>
  <si>
    <t xml:space="preserve">Euspria obliquata </t>
  </si>
  <si>
    <t>Anisomyon borealis</t>
  </si>
  <si>
    <t>Micrabacia americana</t>
  </si>
  <si>
    <t xml:space="preserve">Coral sp 1. </t>
  </si>
  <si>
    <t xml:space="preserve">Hoploscaphites brevis </t>
  </si>
  <si>
    <t>0-0.125 m Below</t>
  </si>
  <si>
    <t xml:space="preserve">Syncyclomena halli </t>
  </si>
  <si>
    <t xml:space="preserve">Cymbophora nitidula </t>
  </si>
  <si>
    <t>0.125-0.25 m Below</t>
  </si>
  <si>
    <t xml:space="preserve">Modiolus sp 1. </t>
  </si>
  <si>
    <t>Inoceramus altus</t>
  </si>
  <si>
    <t>Bivale sp. 1</t>
  </si>
  <si>
    <t>0.25-0.375 m Below</t>
  </si>
  <si>
    <t>Anomia gryphorhyncha</t>
  </si>
  <si>
    <t>0.5-0.375 m Below</t>
  </si>
  <si>
    <t>Raw Abundance</t>
  </si>
  <si>
    <t xml:space="preserve">*corrected for disartuclated bivalves </t>
  </si>
  <si>
    <t xml:space="preserve">Bentonite (0 m) </t>
  </si>
  <si>
    <t>Species Abundance</t>
  </si>
  <si>
    <t>Collection dimensions (meters):  0.5 x 0.5 x 0.125</t>
  </si>
  <si>
    <t>Horizon</t>
  </si>
  <si>
    <t>Collection dimensions: 0.5 x 0.5 x 0.125</t>
  </si>
  <si>
    <t>Collection dimensions (meters): 0.5 x 0.5 x 0.125</t>
  </si>
  <si>
    <t>Collection dimensions (meters): 0.4 x 0.5 x 0.125</t>
  </si>
  <si>
    <t>Collection dimensions (meters) 0.5 x 0.5 x 0.125</t>
  </si>
  <si>
    <t>V=0.025</t>
  </si>
  <si>
    <t>"Cataceramus" gandjaensis</t>
  </si>
  <si>
    <t xml:space="preserve">Nucula sp 1. </t>
  </si>
  <si>
    <t>Hoploscaphites brevis</t>
  </si>
  <si>
    <t>Hoploscaphites nodosus</t>
  </si>
  <si>
    <t xml:space="preserve">Hoploscaphites sp. </t>
  </si>
  <si>
    <t>Astandes densatus</t>
  </si>
  <si>
    <t>Vanikoropsis nebrascensis</t>
  </si>
  <si>
    <t>Cryptorhytis cheyennensis</t>
  </si>
  <si>
    <t>Crab frags, claw/legs</t>
  </si>
  <si>
    <t>Pteria linguiformis</t>
  </si>
  <si>
    <t>Parallelodon sulcatinus</t>
  </si>
  <si>
    <t>Protocardia subquadrata</t>
  </si>
  <si>
    <t>Drepanochilus nebrascensis</t>
  </si>
  <si>
    <t xml:space="preserve">Inoceramus nebrascensis </t>
  </si>
  <si>
    <t>worm tube</t>
  </si>
  <si>
    <t>Crab fragment</t>
  </si>
  <si>
    <t>bryozoan</t>
  </si>
  <si>
    <t>0.75-0.5 m Above</t>
  </si>
  <si>
    <t>0.5-0.375 m Above</t>
  </si>
  <si>
    <t>Limopsis parvula</t>
  </si>
  <si>
    <t>Inoceramus convexus</t>
  </si>
  <si>
    <t>Eutrephoceras dekayi nebrascensis</t>
  </si>
  <si>
    <t>Crytodaria minuta</t>
  </si>
  <si>
    <t xml:space="preserve">Margaritella sp 1. </t>
  </si>
  <si>
    <t xml:space="preserve">Gastropod sp. </t>
  </si>
  <si>
    <t>0.375-0.5 m Below</t>
  </si>
  <si>
    <t>crab fragment</t>
  </si>
  <si>
    <t>Total Volume</t>
  </si>
  <si>
    <t>Standardized</t>
  </si>
  <si>
    <t>Sample dimensions (meters) 0.5 x 0.4 x 0.125</t>
  </si>
  <si>
    <t>Sample dimensions (meters): 1.0 x 0.5 x 0.125</t>
  </si>
  <si>
    <t>Sample dimensions (meters): 0.5 x 0.4 x 0.125</t>
  </si>
  <si>
    <t>Bentonite (0 m)</t>
  </si>
  <si>
    <t xml:space="preserve">Non-Seep: 3504D </t>
  </si>
  <si>
    <t>Seep: 3504A-A (left of main micritic mass)</t>
  </si>
  <si>
    <t>Seep: 3504A-A' (right of main micritic mass)</t>
  </si>
  <si>
    <t>1.0-.875 m Above</t>
  </si>
  <si>
    <t>V=.0675</t>
  </si>
  <si>
    <t xml:space="preserve">Drepanochilus sp. </t>
  </si>
  <si>
    <t>V=.05625</t>
  </si>
  <si>
    <t>V=0.06</t>
  </si>
  <si>
    <t xml:space="preserve">Bivalve sp. </t>
  </si>
  <si>
    <t>Linearia contraca</t>
  </si>
  <si>
    <t xml:space="preserve">Vanikoropsis nebrascensis </t>
  </si>
  <si>
    <t>Bentonite- 0 m</t>
  </si>
  <si>
    <t>0- 0.125 m Below</t>
  </si>
  <si>
    <t xml:space="preserve">Limopsis parvula </t>
  </si>
  <si>
    <t xml:space="preserve">Trachytriton vinculum </t>
  </si>
  <si>
    <t>Drepanochilus scotti</t>
  </si>
  <si>
    <t>Bivalve sp. 1</t>
  </si>
  <si>
    <t xml:space="preserve">Pseudoptera subtortuosa </t>
  </si>
  <si>
    <t>Inoceramus sp.</t>
  </si>
  <si>
    <t>V=0.0625</t>
  </si>
  <si>
    <t xml:space="preserve">Parallelodon sulcatinus </t>
  </si>
  <si>
    <t>Linearia contracta</t>
  </si>
  <si>
    <t>Placenticeras intercalare</t>
  </si>
  <si>
    <t xml:space="preserve">Crab fragment </t>
  </si>
  <si>
    <t>Sample Dimensions (meters): 0.9 x 0.6 x 0.125</t>
  </si>
  <si>
    <t>Sample Dimensions (meters): 0.9 x 0.5 x 0.125</t>
  </si>
  <si>
    <t>Sample Dimensions (meters): 0.8 x 0.6 x 0.125</t>
  </si>
  <si>
    <t>Sample Dimensions (meters): 1.0 x 0.5 x 0.125</t>
  </si>
  <si>
    <t>Other/Indeterminate</t>
  </si>
  <si>
    <t>crab claw</t>
  </si>
  <si>
    <t xml:space="preserve">Bentonite </t>
  </si>
  <si>
    <t>Fragmented ammonite</t>
  </si>
  <si>
    <t>Total halved</t>
  </si>
  <si>
    <t xml:space="preserve">Standardized Abundances </t>
  </si>
  <si>
    <t>*Combined A and A'</t>
  </si>
  <si>
    <t>Final Total Abundance</t>
  </si>
  <si>
    <t>Standardized abundance of A and A' combined</t>
  </si>
  <si>
    <t>Std. Error</t>
  </si>
  <si>
    <t>Abundance</t>
  </si>
  <si>
    <t>Locality</t>
  </si>
  <si>
    <t>Raw Abundance &amp; Abundace Standardization</t>
  </si>
  <si>
    <t>3504 A + A' (Seep)</t>
  </si>
  <si>
    <t>3504D (Non-Seep)</t>
  </si>
  <si>
    <t>Abundance Standard Error</t>
  </si>
  <si>
    <t>Total Volume (cubic meters)</t>
  </si>
  <si>
    <t>INDET bivalves</t>
  </si>
  <si>
    <t xml:space="preserve">INDET. bivalves </t>
  </si>
  <si>
    <t>INDET. bivalves</t>
  </si>
  <si>
    <t>INDET. Gpod</t>
  </si>
  <si>
    <t xml:space="preserve">INDET.  bivalves </t>
  </si>
  <si>
    <t>INDET. gastropod</t>
  </si>
  <si>
    <t xml:space="preserve">INDET bivalves </t>
  </si>
  <si>
    <t>INDET gastropod</t>
  </si>
  <si>
    <t>INDET Bivalves</t>
  </si>
  <si>
    <t>INDET bivalve</t>
  </si>
  <si>
    <t>INDET bivavlve</t>
  </si>
  <si>
    <t xml:space="preserve">x/2 if identifiable at genus level </t>
  </si>
  <si>
    <t>x/3 if indetermiante</t>
  </si>
  <si>
    <t>Methods for Counting Disaarticulated Bivalves</t>
  </si>
  <si>
    <t xml:space="preserve">Methods for counting fragmented inoceramids: </t>
  </si>
  <si>
    <t xml:space="preserve"> 1-2 cm </t>
  </si>
  <si>
    <t>n(n-1)</t>
  </si>
  <si>
    <t>Σ(n(n-1))</t>
  </si>
  <si>
    <t>D</t>
  </si>
  <si>
    <t>1-D</t>
  </si>
  <si>
    <t>Simpson's D- Standardization to the Maximum</t>
  </si>
  <si>
    <t>*most common taxon per sample given value of 1, all other taxa in sample scaled to it.</t>
  </si>
  <si>
    <t xml:space="preserve">n(n-1) </t>
  </si>
  <si>
    <t>*Simpson's D was then calculated</t>
  </si>
  <si>
    <t xml:space="preserve">1 was then added to each standardized abundance to avoid negative abundances </t>
  </si>
  <si>
    <t>2-3 cm</t>
  </si>
  <si>
    <t xml:space="preserve">3-4 cm </t>
  </si>
  <si>
    <t xml:space="preserve">4-5 cm </t>
  </si>
  <si>
    <t>5-6 cm</t>
  </si>
  <si>
    <t xml:space="preserve"> &gt;6</t>
  </si>
  <si>
    <t>1 m/ total volume</t>
  </si>
  <si>
    <t>Brophy, S.K., et al., 2022, Methane seeps as refugia during ash falls in the Late Cretaceous Western Interior Seaway of North America: Geology,  https://doi.org/10.1130/G49372.1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</si>
</sst>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u/>
      <sz val="12"/>
      <color theme="1"/>
      <name val="Calibri (Body)"/>
    </font>
    <font>
      <sz val="12"/>
      <color rgb="FF000000"/>
      <name val="Calibri"/>
      <family val="2"/>
    </font>
    <font>
      <u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0" fontId="1" fillId="2" borderId="0" xfId="0" applyFont="1" applyFill="1"/>
    <xf numFmtId="0" fontId="5" fillId="0" borderId="0" xfId="0" applyFont="1" applyAlignment="1">
      <alignment horizontal="center"/>
    </xf>
    <xf numFmtId="0" fontId="0" fillId="0" borderId="0" xfId="0" applyFill="1"/>
    <xf numFmtId="0" fontId="6" fillId="0" borderId="0" xfId="0" applyFont="1"/>
    <xf numFmtId="0" fontId="4" fillId="0" borderId="0" xfId="0" applyFont="1"/>
    <xf numFmtId="0" fontId="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3" borderId="0" xfId="0" applyFont="1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95B3F-7AFA-1A47-B9B7-42DEB0D7D8E2}">
  <dimension ref="A1:N350"/>
  <sheetViews>
    <sheetView tabSelected="1" workbookViewId="0">
      <selection activeCell="D338" sqref="D338"/>
    </sheetView>
  </sheetViews>
  <sheetFormatPr defaultColWidth="11" defaultRowHeight="15.75"/>
  <cols>
    <col min="1" max="1" width="47" customWidth="1"/>
    <col min="2" max="2" width="9.375" customWidth="1"/>
    <col min="3" max="3" width="42.375" customWidth="1"/>
    <col min="4" max="4" width="54.375" customWidth="1"/>
    <col min="5" max="5" width="27.375" customWidth="1"/>
    <col min="6" max="6" width="38.375" customWidth="1"/>
    <col min="7" max="7" width="28.375" customWidth="1"/>
    <col min="8" max="8" width="12.625" customWidth="1"/>
    <col min="9" max="9" width="15.625" customWidth="1"/>
    <col min="10" max="10" width="13.875" customWidth="1"/>
    <col min="11" max="11" width="18.375" customWidth="1"/>
    <col min="12" max="12" width="18.875" customWidth="1"/>
    <col min="13" max="13" width="19.5" customWidth="1"/>
    <col min="14" max="14" width="59" customWidth="1"/>
  </cols>
  <sheetData>
    <row r="1" spans="1:14" ht="18.75">
      <c r="A1" s="18" t="s">
        <v>136</v>
      </c>
    </row>
    <row r="3" spans="1:14">
      <c r="A3" s="17" t="s">
        <v>154</v>
      </c>
    </row>
    <row r="4" spans="1:14">
      <c r="A4" s="16" t="s">
        <v>152</v>
      </c>
    </row>
    <row r="5" spans="1:14">
      <c r="A5" s="16" t="s">
        <v>153</v>
      </c>
    </row>
    <row r="7" spans="1:14">
      <c r="A7" s="17" t="s">
        <v>155</v>
      </c>
    </row>
    <row r="8" spans="1:14">
      <c r="A8" t="s">
        <v>156</v>
      </c>
      <c r="B8">
        <f>1/6</f>
        <v>0.16666666666666666</v>
      </c>
    </row>
    <row r="9" spans="1:14">
      <c r="A9" t="s">
        <v>166</v>
      </c>
      <c r="B9">
        <f>2/6</f>
        <v>0.33333333333333331</v>
      </c>
    </row>
    <row r="10" spans="1:14">
      <c r="A10" t="s">
        <v>167</v>
      </c>
      <c r="B10">
        <f>3/6</f>
        <v>0.5</v>
      </c>
    </row>
    <row r="11" spans="1:14">
      <c r="A11" t="s">
        <v>168</v>
      </c>
      <c r="B11">
        <f>4/6</f>
        <v>0.66666666666666663</v>
      </c>
    </row>
    <row r="12" spans="1:14">
      <c r="A12" t="s">
        <v>169</v>
      </c>
      <c r="B12">
        <f>5/6</f>
        <v>0.83333333333333337</v>
      </c>
    </row>
    <row r="13" spans="1:14">
      <c r="A13" t="s">
        <v>170</v>
      </c>
      <c r="B13">
        <f>6/6</f>
        <v>1</v>
      </c>
    </row>
    <row r="14" spans="1:14">
      <c r="C14" s="12" t="s">
        <v>135</v>
      </c>
      <c r="F14" s="3" t="s">
        <v>52</v>
      </c>
      <c r="G14" s="2"/>
      <c r="H14" s="2" t="s">
        <v>171</v>
      </c>
      <c r="I14" s="2"/>
      <c r="J14" s="2"/>
      <c r="K14" s="2"/>
      <c r="L14" s="2"/>
      <c r="M14" s="2"/>
    </row>
    <row r="15" spans="1:14">
      <c r="C15" s="8" t="s">
        <v>97</v>
      </c>
      <c r="E15" s="3" t="s">
        <v>57</v>
      </c>
      <c r="F15" s="3" t="s">
        <v>53</v>
      </c>
      <c r="G15" s="3" t="s">
        <v>140</v>
      </c>
      <c r="H15" s="3" t="s">
        <v>0</v>
      </c>
      <c r="I15" s="3" t="s">
        <v>91</v>
      </c>
      <c r="J15" s="3" t="s">
        <v>1</v>
      </c>
      <c r="K15" s="3" t="s">
        <v>2</v>
      </c>
      <c r="L15" s="3" t="s">
        <v>55</v>
      </c>
      <c r="M15" s="3" t="s">
        <v>3</v>
      </c>
      <c r="N15" s="4"/>
    </row>
    <row r="16" spans="1:14">
      <c r="D16" s="2" t="s">
        <v>56</v>
      </c>
      <c r="E16" s="2" t="s">
        <v>4</v>
      </c>
      <c r="G16" t="s">
        <v>5</v>
      </c>
      <c r="H16">
        <v>32</v>
      </c>
    </row>
    <row r="17" spans="4:13">
      <c r="E17" t="s">
        <v>7</v>
      </c>
      <c r="F17">
        <v>30.5</v>
      </c>
      <c r="I17">
        <f>(F17*32)/10</f>
        <v>97.6</v>
      </c>
      <c r="J17">
        <f>I17+1</f>
        <v>98.6</v>
      </c>
      <c r="K17">
        <f>SUM(J17:J23)</f>
        <v>189.27199999999999</v>
      </c>
      <c r="L17">
        <v>111.2</v>
      </c>
      <c r="M17">
        <v>4</v>
      </c>
    </row>
    <row r="18" spans="4:13">
      <c r="E18" t="s">
        <v>8</v>
      </c>
      <c r="F18" s="1">
        <v>1</v>
      </c>
      <c r="I18">
        <f t="shared" ref="I18:I39" si="0">(F18*32)/10</f>
        <v>3.2</v>
      </c>
      <c r="J18">
        <f t="shared" ref="J18:J39" si="1">I18+1</f>
        <v>4.2</v>
      </c>
    </row>
    <row r="19" spans="4:13">
      <c r="E19" t="s">
        <v>9</v>
      </c>
      <c r="F19">
        <v>1</v>
      </c>
      <c r="I19">
        <f t="shared" si="0"/>
        <v>3.2</v>
      </c>
      <c r="J19">
        <f t="shared" si="1"/>
        <v>4.2</v>
      </c>
    </row>
    <row r="20" spans="4:13">
      <c r="E20" t="s">
        <v>10</v>
      </c>
      <c r="F20">
        <v>3</v>
      </c>
      <c r="I20">
        <f t="shared" si="0"/>
        <v>9.6</v>
      </c>
      <c r="J20">
        <f t="shared" si="1"/>
        <v>10.6</v>
      </c>
    </row>
    <row r="21" spans="4:13">
      <c r="E21" t="s">
        <v>11</v>
      </c>
      <c r="F21">
        <v>1</v>
      </c>
      <c r="I21">
        <f t="shared" si="0"/>
        <v>3.2</v>
      </c>
      <c r="J21">
        <f t="shared" si="1"/>
        <v>4.2</v>
      </c>
    </row>
    <row r="22" spans="4:13">
      <c r="E22" t="s">
        <v>12</v>
      </c>
      <c r="F22" s="1">
        <f>1.5+1.36</f>
        <v>2.8600000000000003</v>
      </c>
      <c r="I22">
        <f t="shared" si="0"/>
        <v>9.152000000000001</v>
      </c>
      <c r="J22">
        <f t="shared" si="1"/>
        <v>10.152000000000001</v>
      </c>
    </row>
    <row r="23" spans="4:13">
      <c r="E23" t="s">
        <v>141</v>
      </c>
      <c r="F23" s="1">
        <v>17.600000000000001</v>
      </c>
      <c r="I23">
        <f t="shared" si="0"/>
        <v>56.320000000000007</v>
      </c>
      <c r="J23">
        <f t="shared" si="1"/>
        <v>57.320000000000007</v>
      </c>
    </row>
    <row r="25" spans="4:13">
      <c r="D25" s="2" t="s">
        <v>59</v>
      </c>
      <c r="E25" s="2" t="s">
        <v>13</v>
      </c>
    </row>
    <row r="26" spans="4:13">
      <c r="E26" t="s">
        <v>14</v>
      </c>
      <c r="F26">
        <f>21+19.5</f>
        <v>40.5</v>
      </c>
      <c r="G26" t="s">
        <v>5</v>
      </c>
      <c r="H26">
        <v>32</v>
      </c>
      <c r="I26">
        <f t="shared" si="0"/>
        <v>129.6</v>
      </c>
      <c r="J26">
        <f t="shared" si="1"/>
        <v>130.6</v>
      </c>
      <c r="K26">
        <f>SUM(J26:J33)</f>
        <v>233.11999999999998</v>
      </c>
      <c r="L26">
        <f>SUM(J26:J30)</f>
        <v>147.39999999999995</v>
      </c>
      <c r="M26">
        <v>5</v>
      </c>
    </row>
    <row r="27" spans="4:13">
      <c r="D27" s="2"/>
      <c r="E27" t="s">
        <v>15</v>
      </c>
      <c r="F27">
        <v>1</v>
      </c>
      <c r="I27">
        <f t="shared" si="0"/>
        <v>3.2</v>
      </c>
      <c r="J27">
        <f t="shared" si="1"/>
        <v>4.2</v>
      </c>
    </row>
    <row r="28" spans="4:13">
      <c r="D28" s="2"/>
      <c r="E28" t="s">
        <v>16</v>
      </c>
      <c r="F28">
        <v>1</v>
      </c>
      <c r="I28">
        <f t="shared" si="0"/>
        <v>3.2</v>
      </c>
      <c r="J28">
        <f t="shared" si="1"/>
        <v>4.2</v>
      </c>
    </row>
    <row r="29" spans="4:13">
      <c r="D29" s="2"/>
      <c r="E29" t="s">
        <v>9</v>
      </c>
      <c r="F29">
        <v>1</v>
      </c>
      <c r="I29">
        <f t="shared" si="0"/>
        <v>3.2</v>
      </c>
      <c r="J29">
        <f t="shared" si="1"/>
        <v>4.2</v>
      </c>
    </row>
    <row r="30" spans="4:13">
      <c r="D30" s="2"/>
      <c r="E30" t="s">
        <v>17</v>
      </c>
      <c r="F30">
        <v>1</v>
      </c>
      <c r="I30">
        <f t="shared" si="0"/>
        <v>3.2</v>
      </c>
      <c r="J30">
        <f t="shared" si="1"/>
        <v>4.2</v>
      </c>
    </row>
    <row r="31" spans="4:13">
      <c r="D31" s="2"/>
      <c r="E31" t="s">
        <v>12</v>
      </c>
      <c r="F31">
        <v>2.85</v>
      </c>
      <c r="I31">
        <f t="shared" si="0"/>
        <v>9.120000000000001</v>
      </c>
      <c r="J31">
        <f t="shared" si="1"/>
        <v>10.120000000000001</v>
      </c>
    </row>
    <row r="32" spans="4:13">
      <c r="D32" s="2"/>
      <c r="E32" t="s">
        <v>142</v>
      </c>
      <c r="F32">
        <v>21</v>
      </c>
      <c r="I32">
        <f t="shared" si="0"/>
        <v>67.2</v>
      </c>
      <c r="J32">
        <f t="shared" si="1"/>
        <v>68.2</v>
      </c>
    </row>
    <row r="33" spans="4:13">
      <c r="D33" s="2"/>
      <c r="E33" t="s">
        <v>124</v>
      </c>
      <c r="F33">
        <v>2</v>
      </c>
      <c r="I33">
        <f t="shared" si="0"/>
        <v>6.4</v>
      </c>
      <c r="J33">
        <f t="shared" si="1"/>
        <v>7.4</v>
      </c>
    </row>
    <row r="34" spans="4:13">
      <c r="D34" s="2"/>
    </row>
    <row r="35" spans="4:13">
      <c r="D35" s="2" t="s">
        <v>59</v>
      </c>
      <c r="E35" s="2" t="s">
        <v>18</v>
      </c>
      <c r="G35" t="s">
        <v>5</v>
      </c>
      <c r="H35">
        <v>32</v>
      </c>
    </row>
    <row r="36" spans="4:13">
      <c r="D36" s="2"/>
      <c r="E36" t="s">
        <v>14</v>
      </c>
      <c r="F36">
        <v>4.5</v>
      </c>
      <c r="I36">
        <f t="shared" si="0"/>
        <v>14.4</v>
      </c>
      <c r="J36">
        <f t="shared" si="1"/>
        <v>15.4</v>
      </c>
      <c r="K36">
        <f>SUM(J36:J39)</f>
        <v>78.975999999999999</v>
      </c>
      <c r="L36">
        <f>SUM(J36:J37)</f>
        <v>19.600000000000001</v>
      </c>
      <c r="M36">
        <v>2</v>
      </c>
    </row>
    <row r="37" spans="4:13">
      <c r="D37" s="2"/>
      <c r="E37" t="s">
        <v>9</v>
      </c>
      <c r="F37">
        <v>1</v>
      </c>
      <c r="I37">
        <f t="shared" si="0"/>
        <v>3.2</v>
      </c>
      <c r="J37">
        <f t="shared" si="1"/>
        <v>4.2</v>
      </c>
    </row>
    <row r="38" spans="4:13">
      <c r="E38" t="s">
        <v>12</v>
      </c>
      <c r="F38">
        <f>0.9+3+5.36+4+3</f>
        <v>16.259999999999998</v>
      </c>
      <c r="I38">
        <f t="shared" si="0"/>
        <v>52.031999999999996</v>
      </c>
      <c r="J38">
        <f t="shared" si="1"/>
        <v>53.031999999999996</v>
      </c>
    </row>
    <row r="39" spans="4:13">
      <c r="D39" s="2"/>
      <c r="E39" t="s">
        <v>143</v>
      </c>
      <c r="F39">
        <v>1.67</v>
      </c>
      <c r="I39">
        <f t="shared" si="0"/>
        <v>5.3439999999999994</v>
      </c>
      <c r="J39">
        <f t="shared" si="1"/>
        <v>6.3439999999999994</v>
      </c>
    </row>
    <row r="40" spans="4:13">
      <c r="D40" s="2"/>
      <c r="E40" t="s">
        <v>124</v>
      </c>
      <c r="F40">
        <v>4</v>
      </c>
    </row>
    <row r="41" spans="4:13">
      <c r="D41" s="2"/>
    </row>
    <row r="42" spans="4:13">
      <c r="D42" s="2"/>
      <c r="E42" s="2" t="s">
        <v>19</v>
      </c>
      <c r="G42" t="s">
        <v>20</v>
      </c>
      <c r="H42">
        <v>40</v>
      </c>
    </row>
    <row r="43" spans="4:13">
      <c r="D43" s="2" t="s">
        <v>60</v>
      </c>
      <c r="E43" t="s">
        <v>7</v>
      </c>
      <c r="F43">
        <v>18</v>
      </c>
      <c r="I43">
        <f>(F43*40)/10</f>
        <v>72</v>
      </c>
      <c r="J43">
        <f>I43+1</f>
        <v>73</v>
      </c>
      <c r="K43">
        <f>SUM(J43:J52)</f>
        <v>225.72</v>
      </c>
      <c r="L43">
        <f>SUM(J43:J46)</f>
        <v>96</v>
      </c>
      <c r="M43">
        <v>4</v>
      </c>
    </row>
    <row r="44" spans="4:13">
      <c r="E44" t="s">
        <v>21</v>
      </c>
      <c r="F44">
        <v>3</v>
      </c>
      <c r="I44">
        <f t="shared" ref="I44:I81" si="2">(F44*40)/10</f>
        <v>12</v>
      </c>
      <c r="J44">
        <f t="shared" ref="J44:J81" si="3">I44+1</f>
        <v>13</v>
      </c>
    </row>
    <row r="45" spans="4:13">
      <c r="E45" t="s">
        <v>22</v>
      </c>
      <c r="F45">
        <v>1</v>
      </c>
      <c r="I45">
        <f t="shared" si="2"/>
        <v>4</v>
      </c>
      <c r="J45">
        <f t="shared" si="3"/>
        <v>5</v>
      </c>
    </row>
    <row r="46" spans="4:13">
      <c r="D46" s="2"/>
      <c r="E46" t="s">
        <v>10</v>
      </c>
      <c r="F46">
        <v>1</v>
      </c>
      <c r="I46">
        <f t="shared" si="2"/>
        <v>4</v>
      </c>
      <c r="J46">
        <f t="shared" si="3"/>
        <v>5</v>
      </c>
    </row>
    <row r="47" spans="4:13">
      <c r="D47" s="2"/>
      <c r="E47" t="s">
        <v>23</v>
      </c>
      <c r="F47">
        <v>1</v>
      </c>
      <c r="I47">
        <f t="shared" si="2"/>
        <v>4</v>
      </c>
      <c r="J47">
        <f t="shared" si="3"/>
        <v>5</v>
      </c>
    </row>
    <row r="48" spans="4:13">
      <c r="D48" s="2"/>
      <c r="E48" t="s">
        <v>12</v>
      </c>
      <c r="F48">
        <f>3.06+1.2+0.67</f>
        <v>4.93</v>
      </c>
      <c r="I48">
        <f t="shared" si="2"/>
        <v>19.72</v>
      </c>
      <c r="J48">
        <f t="shared" si="3"/>
        <v>20.72</v>
      </c>
    </row>
    <row r="49" spans="4:13">
      <c r="D49" s="2"/>
      <c r="E49" t="s">
        <v>144</v>
      </c>
      <c r="F49">
        <v>1</v>
      </c>
      <c r="I49">
        <f t="shared" si="2"/>
        <v>4</v>
      </c>
      <c r="J49">
        <f t="shared" si="3"/>
        <v>5</v>
      </c>
    </row>
    <row r="50" spans="4:13">
      <c r="D50" s="2"/>
      <c r="E50" t="s">
        <v>142</v>
      </c>
      <c r="F50">
        <v>14</v>
      </c>
      <c r="I50">
        <f t="shared" si="2"/>
        <v>56</v>
      </c>
      <c r="J50">
        <f t="shared" si="3"/>
        <v>57</v>
      </c>
    </row>
    <row r="51" spans="4:13">
      <c r="D51" s="2"/>
      <c r="E51" t="s">
        <v>25</v>
      </c>
      <c r="F51">
        <v>1</v>
      </c>
      <c r="I51">
        <f t="shared" si="2"/>
        <v>4</v>
      </c>
      <c r="J51">
        <f t="shared" si="3"/>
        <v>5</v>
      </c>
    </row>
    <row r="52" spans="4:13">
      <c r="D52" s="2"/>
      <c r="E52" t="s">
        <v>124</v>
      </c>
      <c r="F52">
        <v>9</v>
      </c>
      <c r="I52">
        <f t="shared" si="2"/>
        <v>36</v>
      </c>
      <c r="J52">
        <f t="shared" si="3"/>
        <v>37</v>
      </c>
    </row>
    <row r="53" spans="4:13">
      <c r="D53" s="2"/>
    </row>
    <row r="54" spans="4:13">
      <c r="D54" s="2" t="s">
        <v>60</v>
      </c>
      <c r="E54" s="2" t="s">
        <v>27</v>
      </c>
      <c r="G54" t="s">
        <v>20</v>
      </c>
      <c r="H54">
        <v>40</v>
      </c>
    </row>
    <row r="55" spans="4:13">
      <c r="E55" t="s">
        <v>7</v>
      </c>
      <c r="F55">
        <v>10.5</v>
      </c>
      <c r="I55">
        <f t="shared" si="2"/>
        <v>42</v>
      </c>
      <c r="J55">
        <f t="shared" si="3"/>
        <v>43</v>
      </c>
      <c r="K55">
        <f>SUM(J55:J61)</f>
        <v>109.8</v>
      </c>
      <c r="L55">
        <f>SUM(J55:J59)</f>
        <v>67</v>
      </c>
      <c r="M55">
        <v>5</v>
      </c>
    </row>
    <row r="56" spans="4:13">
      <c r="E56" t="s">
        <v>28</v>
      </c>
      <c r="F56">
        <v>1</v>
      </c>
      <c r="I56">
        <f t="shared" si="2"/>
        <v>4</v>
      </c>
      <c r="J56">
        <f t="shared" si="3"/>
        <v>5</v>
      </c>
    </row>
    <row r="57" spans="4:13">
      <c r="E57" t="s">
        <v>29</v>
      </c>
      <c r="F57">
        <v>1</v>
      </c>
      <c r="I57">
        <f t="shared" si="2"/>
        <v>4</v>
      </c>
      <c r="J57">
        <f t="shared" si="3"/>
        <v>5</v>
      </c>
    </row>
    <row r="58" spans="4:13">
      <c r="D58" s="2"/>
      <c r="E58" t="s">
        <v>16</v>
      </c>
      <c r="F58">
        <v>1</v>
      </c>
      <c r="I58">
        <f t="shared" si="2"/>
        <v>4</v>
      </c>
      <c r="J58">
        <f t="shared" si="3"/>
        <v>5</v>
      </c>
    </row>
    <row r="59" spans="4:13">
      <c r="D59" s="2"/>
      <c r="E59" t="s">
        <v>22</v>
      </c>
      <c r="F59">
        <v>2</v>
      </c>
      <c r="I59">
        <f t="shared" si="2"/>
        <v>8</v>
      </c>
      <c r="J59">
        <f t="shared" si="3"/>
        <v>9</v>
      </c>
    </row>
    <row r="60" spans="4:13">
      <c r="D60" s="2"/>
      <c r="E60" t="s">
        <v>12</v>
      </c>
      <c r="F60">
        <f>0.5+1.2+0.5</f>
        <v>2.2000000000000002</v>
      </c>
      <c r="I60">
        <f t="shared" si="2"/>
        <v>8.8000000000000007</v>
      </c>
      <c r="J60">
        <f t="shared" si="3"/>
        <v>9.8000000000000007</v>
      </c>
    </row>
    <row r="61" spans="4:13">
      <c r="D61" s="2"/>
      <c r="E61" t="s">
        <v>143</v>
      </c>
      <c r="F61">
        <v>8</v>
      </c>
      <c r="I61">
        <f t="shared" si="2"/>
        <v>32</v>
      </c>
      <c r="J61">
        <f t="shared" si="3"/>
        <v>33</v>
      </c>
    </row>
    <row r="62" spans="4:13">
      <c r="D62" s="2"/>
    </row>
    <row r="63" spans="4:13">
      <c r="D63" s="2" t="s">
        <v>60</v>
      </c>
      <c r="E63" s="2" t="s">
        <v>30</v>
      </c>
      <c r="G63" t="s">
        <v>20</v>
      </c>
      <c r="H63">
        <v>40</v>
      </c>
    </row>
    <row r="64" spans="4:13">
      <c r="E64" t="s">
        <v>7</v>
      </c>
      <c r="F64">
        <v>22</v>
      </c>
      <c r="I64">
        <f t="shared" si="2"/>
        <v>88</v>
      </c>
      <c r="J64">
        <f t="shared" si="3"/>
        <v>89</v>
      </c>
      <c r="K64">
        <f>SUM(J64:J73)</f>
        <v>148.76000000000002</v>
      </c>
      <c r="L64">
        <f>SUM(J64:J70)</f>
        <v>119</v>
      </c>
      <c r="M64">
        <v>7</v>
      </c>
    </row>
    <row r="65" spans="4:13">
      <c r="E65" t="s">
        <v>31</v>
      </c>
      <c r="F65">
        <v>1</v>
      </c>
      <c r="I65">
        <f t="shared" si="2"/>
        <v>4</v>
      </c>
      <c r="J65">
        <f t="shared" si="3"/>
        <v>5</v>
      </c>
    </row>
    <row r="66" spans="4:13">
      <c r="E66" t="s">
        <v>29</v>
      </c>
      <c r="F66">
        <v>1</v>
      </c>
      <c r="I66">
        <f t="shared" si="2"/>
        <v>4</v>
      </c>
      <c r="J66">
        <f t="shared" si="3"/>
        <v>5</v>
      </c>
    </row>
    <row r="67" spans="4:13">
      <c r="D67" s="2"/>
      <c r="E67" t="s">
        <v>16</v>
      </c>
      <c r="F67">
        <v>1</v>
      </c>
      <c r="I67">
        <f t="shared" si="2"/>
        <v>4</v>
      </c>
      <c r="J67">
        <f t="shared" si="3"/>
        <v>5</v>
      </c>
    </row>
    <row r="68" spans="4:13">
      <c r="D68" s="2"/>
      <c r="E68" t="s">
        <v>22</v>
      </c>
      <c r="F68">
        <v>1</v>
      </c>
      <c r="I68">
        <f t="shared" si="2"/>
        <v>4</v>
      </c>
      <c r="J68">
        <f t="shared" si="3"/>
        <v>5</v>
      </c>
    </row>
    <row r="69" spans="4:13">
      <c r="D69" s="2"/>
      <c r="E69" t="s">
        <v>32</v>
      </c>
      <c r="F69">
        <v>1</v>
      </c>
      <c r="I69">
        <f t="shared" si="2"/>
        <v>4</v>
      </c>
      <c r="J69">
        <f t="shared" si="3"/>
        <v>5</v>
      </c>
    </row>
    <row r="70" spans="4:13">
      <c r="D70" s="2"/>
      <c r="E70" t="s">
        <v>33</v>
      </c>
      <c r="F70">
        <v>1</v>
      </c>
      <c r="I70">
        <f t="shared" si="2"/>
        <v>4</v>
      </c>
      <c r="J70">
        <f t="shared" si="3"/>
        <v>5</v>
      </c>
    </row>
    <row r="71" spans="4:13">
      <c r="D71" s="2"/>
      <c r="E71" t="s">
        <v>12</v>
      </c>
      <c r="F71">
        <f>1+1.02+0.3+0.67</f>
        <v>2.9899999999999998</v>
      </c>
      <c r="I71">
        <f t="shared" si="2"/>
        <v>11.959999999999999</v>
      </c>
      <c r="J71">
        <f t="shared" si="3"/>
        <v>12.959999999999999</v>
      </c>
    </row>
    <row r="72" spans="4:13">
      <c r="D72" s="2"/>
      <c r="E72" t="s">
        <v>23</v>
      </c>
      <c r="F72">
        <v>1</v>
      </c>
      <c r="I72">
        <f t="shared" si="2"/>
        <v>4</v>
      </c>
      <c r="J72">
        <f t="shared" si="3"/>
        <v>5</v>
      </c>
    </row>
    <row r="73" spans="4:13">
      <c r="D73" s="2"/>
      <c r="E73" t="s">
        <v>143</v>
      </c>
      <c r="F73">
        <v>2.7</v>
      </c>
      <c r="I73">
        <f t="shared" si="2"/>
        <v>10.8</v>
      </c>
      <c r="J73">
        <f t="shared" si="3"/>
        <v>11.8</v>
      </c>
    </row>
    <row r="74" spans="4:13">
      <c r="D74" s="2"/>
    </row>
    <row r="75" spans="4:13">
      <c r="D75" s="2" t="s">
        <v>60</v>
      </c>
      <c r="E75" s="2" t="s">
        <v>34</v>
      </c>
      <c r="G75" t="s">
        <v>20</v>
      </c>
      <c r="H75">
        <v>40</v>
      </c>
    </row>
    <row r="76" spans="4:13">
      <c r="E76" t="s">
        <v>7</v>
      </c>
      <c r="F76">
        <v>13</v>
      </c>
      <c r="I76">
        <f t="shared" si="2"/>
        <v>52</v>
      </c>
      <c r="J76">
        <f t="shared" si="3"/>
        <v>53</v>
      </c>
      <c r="K76">
        <f>SUM(J76:J81)</f>
        <v>110.16</v>
      </c>
      <c r="L76">
        <f>SUM(J76:J78)</f>
        <v>63</v>
      </c>
      <c r="M76">
        <v>3</v>
      </c>
    </row>
    <row r="77" spans="4:13">
      <c r="E77" t="s">
        <v>21</v>
      </c>
      <c r="F77">
        <v>1</v>
      </c>
      <c r="I77">
        <f t="shared" si="2"/>
        <v>4</v>
      </c>
      <c r="J77">
        <f t="shared" si="3"/>
        <v>5</v>
      </c>
    </row>
    <row r="78" spans="4:13">
      <c r="E78" t="s">
        <v>9</v>
      </c>
      <c r="F78">
        <v>1</v>
      </c>
      <c r="I78">
        <f t="shared" si="2"/>
        <v>4</v>
      </c>
      <c r="J78">
        <f t="shared" si="3"/>
        <v>5</v>
      </c>
    </row>
    <row r="79" spans="4:13">
      <c r="D79" s="2"/>
      <c r="E79" t="s">
        <v>12</v>
      </c>
      <c r="F79">
        <v>2.34</v>
      </c>
      <c r="I79">
        <f t="shared" si="2"/>
        <v>9.36</v>
      </c>
      <c r="J79">
        <f t="shared" si="3"/>
        <v>10.36</v>
      </c>
    </row>
    <row r="80" spans="4:13">
      <c r="D80" s="2"/>
      <c r="E80" t="s">
        <v>143</v>
      </c>
      <c r="F80">
        <v>4.7</v>
      </c>
      <c r="I80">
        <f t="shared" si="2"/>
        <v>18.8</v>
      </c>
      <c r="J80">
        <f t="shared" si="3"/>
        <v>19.8</v>
      </c>
    </row>
    <row r="81" spans="4:13">
      <c r="D81" s="2"/>
      <c r="E81" t="s">
        <v>124</v>
      </c>
      <c r="F81">
        <v>4</v>
      </c>
      <c r="I81">
        <f t="shared" si="2"/>
        <v>16</v>
      </c>
      <c r="J81">
        <f t="shared" si="3"/>
        <v>17</v>
      </c>
    </row>
    <row r="82" spans="4:13">
      <c r="D82" s="2"/>
    </row>
    <row r="83" spans="4:13">
      <c r="D83" s="2" t="s">
        <v>59</v>
      </c>
      <c r="E83" s="2" t="s">
        <v>35</v>
      </c>
      <c r="G83" t="s">
        <v>5</v>
      </c>
      <c r="H83">
        <v>32</v>
      </c>
    </row>
    <row r="84" spans="4:13">
      <c r="E84" t="s">
        <v>7</v>
      </c>
      <c r="F84">
        <v>15</v>
      </c>
      <c r="I84">
        <f>(F84*32)/10</f>
        <v>48</v>
      </c>
      <c r="J84">
        <f>I84+1</f>
        <v>49</v>
      </c>
      <c r="K84">
        <f>SUM(J84:J93)</f>
        <v>174.608</v>
      </c>
      <c r="L84">
        <f>SUM(J84:J90)</f>
        <v>79.000000000000014</v>
      </c>
      <c r="M84">
        <v>7</v>
      </c>
    </row>
    <row r="85" spans="4:13">
      <c r="E85" t="s">
        <v>36</v>
      </c>
      <c r="F85">
        <v>2</v>
      </c>
      <c r="I85">
        <f t="shared" ref="I85:I133" si="4">(F85*32)/10</f>
        <v>6.4</v>
      </c>
      <c r="J85">
        <f t="shared" ref="J85:J133" si="5">I85+1</f>
        <v>7.4</v>
      </c>
    </row>
    <row r="86" spans="4:13">
      <c r="E86" t="s">
        <v>33</v>
      </c>
      <c r="F86">
        <v>0.5</v>
      </c>
      <c r="I86">
        <f t="shared" si="4"/>
        <v>1.6</v>
      </c>
      <c r="J86">
        <f t="shared" si="5"/>
        <v>2.6</v>
      </c>
    </row>
    <row r="87" spans="4:13">
      <c r="D87" s="2"/>
      <c r="E87" t="s">
        <v>37</v>
      </c>
      <c r="F87">
        <v>2</v>
      </c>
      <c r="I87">
        <f t="shared" si="4"/>
        <v>6.4</v>
      </c>
      <c r="J87">
        <f t="shared" si="5"/>
        <v>7.4</v>
      </c>
    </row>
    <row r="88" spans="4:13">
      <c r="D88" s="2"/>
      <c r="E88" t="s">
        <v>38</v>
      </c>
      <c r="F88">
        <v>1</v>
      </c>
      <c r="I88">
        <f t="shared" si="4"/>
        <v>3.2</v>
      </c>
      <c r="J88">
        <f t="shared" si="5"/>
        <v>4.2</v>
      </c>
    </row>
    <row r="89" spans="4:13">
      <c r="D89" s="2"/>
      <c r="E89" t="s">
        <v>39</v>
      </c>
      <c r="F89">
        <v>1</v>
      </c>
      <c r="I89">
        <f t="shared" si="4"/>
        <v>3.2</v>
      </c>
      <c r="J89">
        <f t="shared" si="5"/>
        <v>4.2</v>
      </c>
    </row>
    <row r="90" spans="4:13">
      <c r="D90" s="2"/>
      <c r="E90" t="s">
        <v>40</v>
      </c>
      <c r="F90">
        <v>1</v>
      </c>
      <c r="I90">
        <f>(F90*32)/10</f>
        <v>3.2</v>
      </c>
      <c r="J90">
        <f>I90+1</f>
        <v>4.2</v>
      </c>
    </row>
    <row r="91" spans="4:13">
      <c r="D91" s="2"/>
      <c r="E91" t="s">
        <v>12</v>
      </c>
      <c r="F91">
        <v>1.34</v>
      </c>
      <c r="I91">
        <f>(F91*32)/10</f>
        <v>4.2880000000000003</v>
      </c>
      <c r="J91">
        <f>I91+1</f>
        <v>5.2880000000000003</v>
      </c>
    </row>
    <row r="92" spans="4:13">
      <c r="D92" s="2"/>
      <c r="E92" t="s">
        <v>143</v>
      </c>
      <c r="F92">
        <v>21.6</v>
      </c>
      <c r="I92">
        <f t="shared" si="4"/>
        <v>69.12</v>
      </c>
      <c r="J92">
        <f t="shared" si="5"/>
        <v>70.12</v>
      </c>
    </row>
    <row r="93" spans="4:13">
      <c r="D93" s="2"/>
      <c r="E93" t="s">
        <v>124</v>
      </c>
      <c r="F93">
        <v>6</v>
      </c>
      <c r="I93">
        <f t="shared" si="4"/>
        <v>19.2</v>
      </c>
      <c r="J93">
        <f t="shared" si="5"/>
        <v>20.2</v>
      </c>
    </row>
    <row r="94" spans="4:13">
      <c r="D94" s="2"/>
    </row>
    <row r="95" spans="4:13">
      <c r="D95" s="2" t="s">
        <v>59</v>
      </c>
      <c r="E95" s="2" t="s">
        <v>54</v>
      </c>
      <c r="G95" t="s">
        <v>5</v>
      </c>
      <c r="H95">
        <v>32</v>
      </c>
    </row>
    <row r="96" spans="4:13">
      <c r="E96" t="s">
        <v>7</v>
      </c>
      <c r="F96">
        <v>4</v>
      </c>
      <c r="I96">
        <f t="shared" si="4"/>
        <v>12.8</v>
      </c>
      <c r="J96">
        <f t="shared" si="5"/>
        <v>13.8</v>
      </c>
      <c r="K96">
        <f>SUM(J96:J99)</f>
        <v>26.911999999999999</v>
      </c>
      <c r="L96">
        <f>SUM(J96:J98)</f>
        <v>22.2</v>
      </c>
      <c r="M96">
        <v>3</v>
      </c>
    </row>
    <row r="97" spans="4:13">
      <c r="E97" t="s">
        <v>9</v>
      </c>
      <c r="F97">
        <v>1</v>
      </c>
      <c r="I97">
        <f t="shared" si="4"/>
        <v>3.2</v>
      </c>
      <c r="J97">
        <f t="shared" si="5"/>
        <v>4.2</v>
      </c>
    </row>
    <row r="98" spans="4:13">
      <c r="E98" t="s">
        <v>41</v>
      </c>
      <c r="F98">
        <v>1</v>
      </c>
      <c r="I98">
        <f t="shared" si="4"/>
        <v>3.2</v>
      </c>
      <c r="J98">
        <f t="shared" si="5"/>
        <v>4.2</v>
      </c>
    </row>
    <row r="99" spans="4:13">
      <c r="D99" s="2"/>
      <c r="E99" t="s">
        <v>12</v>
      </c>
      <c r="F99">
        <v>1.1599999999999999</v>
      </c>
      <c r="I99">
        <f t="shared" si="4"/>
        <v>3.7119999999999997</v>
      </c>
      <c r="J99">
        <f t="shared" si="5"/>
        <v>4.7119999999999997</v>
      </c>
    </row>
    <row r="100" spans="4:13">
      <c r="D100" s="2"/>
    </row>
    <row r="101" spans="4:13">
      <c r="D101" s="2" t="s">
        <v>61</v>
      </c>
      <c r="E101" s="2" t="s">
        <v>42</v>
      </c>
      <c r="G101" t="s">
        <v>5</v>
      </c>
      <c r="H101">
        <v>32</v>
      </c>
    </row>
    <row r="102" spans="4:13">
      <c r="E102" t="s">
        <v>7</v>
      </c>
      <c r="F102">
        <v>5</v>
      </c>
      <c r="I102">
        <f t="shared" si="4"/>
        <v>16</v>
      </c>
      <c r="J102">
        <f t="shared" si="5"/>
        <v>17</v>
      </c>
      <c r="K102">
        <f>SUM(J102:J108)</f>
        <v>53.72</v>
      </c>
      <c r="L102">
        <f>SUM(J102:J105)</f>
        <v>29.599999999999998</v>
      </c>
      <c r="M102">
        <v>4</v>
      </c>
    </row>
    <row r="103" spans="4:13">
      <c r="E103" t="s">
        <v>43</v>
      </c>
      <c r="F103">
        <v>1</v>
      </c>
      <c r="I103">
        <f t="shared" si="4"/>
        <v>3.2</v>
      </c>
      <c r="J103">
        <f t="shared" si="5"/>
        <v>4.2</v>
      </c>
    </row>
    <row r="104" spans="4:13">
      <c r="E104" t="s">
        <v>44</v>
      </c>
      <c r="F104">
        <v>1</v>
      </c>
      <c r="I104">
        <f t="shared" si="4"/>
        <v>3.2</v>
      </c>
      <c r="J104">
        <f t="shared" si="5"/>
        <v>4.2</v>
      </c>
    </row>
    <row r="105" spans="4:13">
      <c r="D105" s="2"/>
      <c r="E105" t="s">
        <v>9</v>
      </c>
      <c r="F105">
        <v>1</v>
      </c>
      <c r="I105">
        <f t="shared" si="4"/>
        <v>3.2</v>
      </c>
      <c r="J105">
        <f t="shared" si="5"/>
        <v>4.2</v>
      </c>
    </row>
    <row r="106" spans="4:13">
      <c r="D106" s="2"/>
      <c r="E106" t="s">
        <v>12</v>
      </c>
      <c r="F106">
        <v>0.3</v>
      </c>
      <c r="I106">
        <f t="shared" si="4"/>
        <v>0.96</v>
      </c>
      <c r="J106">
        <f t="shared" si="5"/>
        <v>1.96</v>
      </c>
    </row>
    <row r="107" spans="4:13">
      <c r="D107" s="2"/>
      <c r="E107" t="s">
        <v>143</v>
      </c>
      <c r="F107">
        <v>4.3</v>
      </c>
      <c r="I107">
        <f t="shared" si="4"/>
        <v>13.76</v>
      </c>
      <c r="J107">
        <f t="shared" si="5"/>
        <v>14.76</v>
      </c>
    </row>
    <row r="108" spans="4:13">
      <c r="D108" s="2"/>
      <c r="E108" t="s">
        <v>124</v>
      </c>
      <c r="F108">
        <v>2</v>
      </c>
      <c r="I108">
        <f t="shared" si="4"/>
        <v>6.4</v>
      </c>
      <c r="J108">
        <f t="shared" si="5"/>
        <v>7.4</v>
      </c>
    </row>
    <row r="109" spans="4:13">
      <c r="D109" s="2"/>
    </row>
    <row r="110" spans="4:13">
      <c r="D110" s="2" t="s">
        <v>61</v>
      </c>
      <c r="E110" s="2" t="s">
        <v>45</v>
      </c>
      <c r="G110" t="s">
        <v>5</v>
      </c>
      <c r="H110">
        <v>32</v>
      </c>
    </row>
    <row r="111" spans="4:13">
      <c r="E111" t="s">
        <v>7</v>
      </c>
      <c r="F111">
        <v>11</v>
      </c>
      <c r="I111">
        <f t="shared" si="4"/>
        <v>35.200000000000003</v>
      </c>
      <c r="J111">
        <f t="shared" si="5"/>
        <v>36.200000000000003</v>
      </c>
      <c r="K111">
        <f>SUM(J111:J121)</f>
        <v>145.27200000000002</v>
      </c>
      <c r="L111">
        <f>SUM(J111:J117)</f>
        <v>58.200000000000017</v>
      </c>
      <c r="M111">
        <v>7</v>
      </c>
    </row>
    <row r="112" spans="4:13">
      <c r="E112" t="s">
        <v>21</v>
      </c>
      <c r="F112">
        <v>1</v>
      </c>
      <c r="I112">
        <f t="shared" si="4"/>
        <v>3.2</v>
      </c>
      <c r="J112">
        <f t="shared" si="5"/>
        <v>4.2</v>
      </c>
    </row>
    <row r="113" spans="4:13">
      <c r="E113" t="s">
        <v>46</v>
      </c>
      <c r="F113">
        <v>1</v>
      </c>
      <c r="I113">
        <f t="shared" si="4"/>
        <v>3.2</v>
      </c>
      <c r="J113">
        <f t="shared" si="5"/>
        <v>4.2</v>
      </c>
    </row>
    <row r="114" spans="4:13">
      <c r="D114" s="2"/>
      <c r="E114" t="s">
        <v>47</v>
      </c>
      <c r="F114">
        <v>1</v>
      </c>
      <c r="I114">
        <f t="shared" si="4"/>
        <v>3.2</v>
      </c>
      <c r="J114">
        <f t="shared" si="5"/>
        <v>4.2</v>
      </c>
    </row>
    <row r="115" spans="4:13">
      <c r="D115" s="2"/>
      <c r="E115" t="s">
        <v>9</v>
      </c>
      <c r="F115">
        <v>1</v>
      </c>
      <c r="I115">
        <f t="shared" si="4"/>
        <v>3.2</v>
      </c>
      <c r="J115">
        <f t="shared" si="5"/>
        <v>4.2</v>
      </c>
    </row>
    <row r="116" spans="4:13">
      <c r="D116" s="2"/>
      <c r="E116" t="s">
        <v>48</v>
      </c>
      <c r="F116">
        <v>0.5</v>
      </c>
      <c r="I116">
        <f t="shared" si="4"/>
        <v>1.6</v>
      </c>
      <c r="J116">
        <f t="shared" si="5"/>
        <v>2.6</v>
      </c>
    </row>
    <row r="117" spans="4:13">
      <c r="D117" s="2"/>
      <c r="E117" t="s">
        <v>33</v>
      </c>
      <c r="F117">
        <v>0.5</v>
      </c>
      <c r="I117">
        <f t="shared" si="4"/>
        <v>1.6</v>
      </c>
      <c r="J117">
        <f t="shared" si="5"/>
        <v>2.6</v>
      </c>
    </row>
    <row r="118" spans="4:13">
      <c r="D118" s="2"/>
      <c r="E118" t="s">
        <v>10</v>
      </c>
      <c r="F118">
        <v>1</v>
      </c>
      <c r="I118">
        <f t="shared" si="4"/>
        <v>3.2</v>
      </c>
      <c r="J118">
        <f t="shared" si="5"/>
        <v>4.2</v>
      </c>
    </row>
    <row r="119" spans="4:13">
      <c r="D119" s="2"/>
      <c r="E119" t="s">
        <v>12</v>
      </c>
      <c r="F119">
        <v>4.96</v>
      </c>
      <c r="I119">
        <f t="shared" si="4"/>
        <v>15.872</v>
      </c>
      <c r="J119">
        <f t="shared" si="5"/>
        <v>16.872</v>
      </c>
    </row>
    <row r="120" spans="4:13">
      <c r="D120" s="2"/>
      <c r="E120" t="s">
        <v>143</v>
      </c>
      <c r="F120">
        <v>10</v>
      </c>
      <c r="I120">
        <f t="shared" si="4"/>
        <v>32</v>
      </c>
      <c r="J120">
        <f t="shared" si="5"/>
        <v>33</v>
      </c>
    </row>
    <row r="121" spans="4:13">
      <c r="D121" s="2"/>
      <c r="E121" t="s">
        <v>124</v>
      </c>
      <c r="F121">
        <v>10</v>
      </c>
      <c r="I121">
        <f t="shared" si="4"/>
        <v>32</v>
      </c>
      <c r="J121">
        <f t="shared" si="5"/>
        <v>33</v>
      </c>
    </row>
    <row r="122" spans="4:13">
      <c r="D122" s="2"/>
    </row>
    <row r="123" spans="4:13">
      <c r="D123" s="2" t="s">
        <v>58</v>
      </c>
      <c r="E123" s="2" t="s">
        <v>49</v>
      </c>
      <c r="G123" t="s">
        <v>5</v>
      </c>
      <c r="H123">
        <v>32</v>
      </c>
    </row>
    <row r="124" spans="4:13">
      <c r="E124" t="s">
        <v>7</v>
      </c>
      <c r="F124">
        <v>10</v>
      </c>
      <c r="I124">
        <f t="shared" si="4"/>
        <v>32</v>
      </c>
      <c r="J124">
        <f t="shared" si="5"/>
        <v>33</v>
      </c>
      <c r="K124">
        <f>SUM(J124:J127)</f>
        <v>59.360000000000007</v>
      </c>
      <c r="L124">
        <f>SUM(J124:J125)</f>
        <v>37.200000000000003</v>
      </c>
      <c r="M124">
        <v>2</v>
      </c>
    </row>
    <row r="125" spans="4:13">
      <c r="E125" t="s">
        <v>50</v>
      </c>
      <c r="F125">
        <v>1</v>
      </c>
      <c r="I125">
        <f t="shared" si="4"/>
        <v>3.2</v>
      </c>
      <c r="J125">
        <f t="shared" si="5"/>
        <v>4.2</v>
      </c>
    </row>
    <row r="126" spans="4:13">
      <c r="E126" t="s">
        <v>143</v>
      </c>
      <c r="F126">
        <v>3.3</v>
      </c>
      <c r="I126">
        <f t="shared" si="4"/>
        <v>10.559999999999999</v>
      </c>
      <c r="J126">
        <f t="shared" si="5"/>
        <v>11.559999999999999</v>
      </c>
    </row>
    <row r="127" spans="4:13">
      <c r="D127" s="2"/>
      <c r="E127" t="s">
        <v>124</v>
      </c>
      <c r="F127">
        <v>3</v>
      </c>
      <c r="I127">
        <f t="shared" si="4"/>
        <v>9.6</v>
      </c>
      <c r="J127">
        <f t="shared" si="5"/>
        <v>10.6</v>
      </c>
    </row>
    <row r="128" spans="4:13">
      <c r="D128" s="2"/>
    </row>
    <row r="129" spans="3:13">
      <c r="D129" s="2" t="s">
        <v>59</v>
      </c>
      <c r="E129" s="2" t="s">
        <v>51</v>
      </c>
      <c r="G129" t="s">
        <v>5</v>
      </c>
      <c r="H129">
        <v>32</v>
      </c>
    </row>
    <row r="130" spans="3:13">
      <c r="E130" t="s">
        <v>7</v>
      </c>
      <c r="F130">
        <v>2</v>
      </c>
      <c r="I130">
        <f t="shared" si="4"/>
        <v>6.4</v>
      </c>
      <c r="J130">
        <f t="shared" si="5"/>
        <v>7.4</v>
      </c>
      <c r="K130">
        <f>SUM(J130:J133)</f>
        <v>22.0288</v>
      </c>
      <c r="L130">
        <f>SUM(J130:J131)</f>
        <v>11.600000000000001</v>
      </c>
      <c r="M130">
        <v>2</v>
      </c>
    </row>
    <row r="131" spans="3:13">
      <c r="D131" s="2"/>
      <c r="E131" t="s">
        <v>39</v>
      </c>
      <c r="F131">
        <v>1</v>
      </c>
      <c r="I131">
        <f t="shared" si="4"/>
        <v>3.2</v>
      </c>
      <c r="J131">
        <f t="shared" si="5"/>
        <v>4.2</v>
      </c>
    </row>
    <row r="132" spans="3:13">
      <c r="E132" t="s">
        <v>12</v>
      </c>
      <c r="F132">
        <v>0.33400000000000002</v>
      </c>
      <c r="I132">
        <f t="shared" si="4"/>
        <v>1.0688</v>
      </c>
      <c r="J132">
        <f t="shared" si="5"/>
        <v>2.0688</v>
      </c>
    </row>
    <row r="133" spans="3:13">
      <c r="E133" t="s">
        <v>143</v>
      </c>
      <c r="F133">
        <v>2.2999999999999998</v>
      </c>
      <c r="I133">
        <f t="shared" si="4"/>
        <v>7.3599999999999994</v>
      </c>
      <c r="J133">
        <f t="shared" si="5"/>
        <v>8.36</v>
      </c>
    </row>
    <row r="135" spans="3:13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7" spans="3:13">
      <c r="C137" s="12" t="s">
        <v>135</v>
      </c>
    </row>
    <row r="138" spans="3:13">
      <c r="C138" s="8" t="s">
        <v>98</v>
      </c>
      <c r="F138" s="2" t="s">
        <v>52</v>
      </c>
      <c r="G138" s="2"/>
      <c r="H138" s="2"/>
      <c r="I138" s="2"/>
      <c r="J138" s="2"/>
      <c r="K138" s="2"/>
      <c r="L138" s="2"/>
    </row>
    <row r="139" spans="3:13">
      <c r="E139" s="2" t="s">
        <v>57</v>
      </c>
      <c r="F139" s="2" t="s">
        <v>53</v>
      </c>
      <c r="G139" s="2" t="s">
        <v>140</v>
      </c>
      <c r="H139" s="2" t="s">
        <v>0</v>
      </c>
      <c r="I139" s="2" t="s">
        <v>91</v>
      </c>
      <c r="J139" s="2" t="s">
        <v>2</v>
      </c>
      <c r="K139" s="2" t="s">
        <v>55</v>
      </c>
      <c r="L139" s="2" t="s">
        <v>3</v>
      </c>
    </row>
    <row r="140" spans="3:13">
      <c r="D140" s="2" t="s">
        <v>92</v>
      </c>
      <c r="E140" s="2" t="s">
        <v>4</v>
      </c>
      <c r="F140" s="2"/>
      <c r="G140" s="2" t="s">
        <v>62</v>
      </c>
      <c r="H140" s="2">
        <v>40</v>
      </c>
      <c r="I140" s="2"/>
      <c r="J140" s="2"/>
      <c r="K140" s="2"/>
      <c r="L140" s="2"/>
    </row>
    <row r="141" spans="3:13">
      <c r="E141" t="s">
        <v>14</v>
      </c>
      <c r="F141">
        <v>28</v>
      </c>
      <c r="I141">
        <f>((F141*40)/10)+1</f>
        <v>113</v>
      </c>
      <c r="J141">
        <f>SUM(I141:I157)</f>
        <v>388.59999999999997</v>
      </c>
      <c r="K141">
        <v>260</v>
      </c>
      <c r="L141">
        <v>11</v>
      </c>
    </row>
    <row r="142" spans="3:13">
      <c r="E142" t="s">
        <v>63</v>
      </c>
      <c r="F142">
        <v>1</v>
      </c>
      <c r="I142">
        <f t="shared" ref="I142:I157" si="6">((F142*40)/10)+1</f>
        <v>5</v>
      </c>
    </row>
    <row r="143" spans="3:13">
      <c r="E143" t="s">
        <v>16</v>
      </c>
      <c r="F143">
        <v>1</v>
      </c>
      <c r="I143">
        <f t="shared" si="6"/>
        <v>5</v>
      </c>
    </row>
    <row r="144" spans="3:13">
      <c r="E144" t="s">
        <v>21</v>
      </c>
      <c r="F144">
        <v>1</v>
      </c>
      <c r="I144">
        <f t="shared" si="6"/>
        <v>5</v>
      </c>
    </row>
    <row r="145" spans="4:9">
      <c r="E145" t="s">
        <v>64</v>
      </c>
      <c r="F145">
        <v>1</v>
      </c>
      <c r="I145">
        <f t="shared" si="6"/>
        <v>5</v>
      </c>
    </row>
    <row r="146" spans="4:9">
      <c r="E146" t="s">
        <v>65</v>
      </c>
      <c r="F146">
        <v>1</v>
      </c>
      <c r="I146">
        <f t="shared" si="6"/>
        <v>5</v>
      </c>
    </row>
    <row r="147" spans="4:9">
      <c r="E147" t="s">
        <v>66</v>
      </c>
      <c r="F147">
        <v>2</v>
      </c>
      <c r="I147">
        <f t="shared" si="6"/>
        <v>9</v>
      </c>
    </row>
    <row r="148" spans="4:9">
      <c r="E148" t="s">
        <v>67</v>
      </c>
      <c r="F148">
        <v>3</v>
      </c>
      <c r="I148">
        <f t="shared" si="6"/>
        <v>13</v>
      </c>
    </row>
    <row r="149" spans="4:9">
      <c r="E149" t="s">
        <v>127</v>
      </c>
      <c r="F149">
        <v>1</v>
      </c>
      <c r="I149">
        <f t="shared" si="6"/>
        <v>5</v>
      </c>
    </row>
    <row r="150" spans="4:9">
      <c r="E150" t="s">
        <v>9</v>
      </c>
      <c r="F150">
        <v>7</v>
      </c>
      <c r="I150">
        <f t="shared" si="6"/>
        <v>29</v>
      </c>
    </row>
    <row r="151" spans="4:9">
      <c r="E151" t="s">
        <v>10</v>
      </c>
      <c r="F151">
        <v>10</v>
      </c>
      <c r="I151">
        <f t="shared" si="6"/>
        <v>41</v>
      </c>
    </row>
    <row r="152" spans="4:9">
      <c r="E152" t="s">
        <v>68</v>
      </c>
      <c r="F152">
        <v>1</v>
      </c>
      <c r="I152">
        <f t="shared" si="6"/>
        <v>5</v>
      </c>
    </row>
    <row r="153" spans="4:9">
      <c r="E153" t="s">
        <v>69</v>
      </c>
      <c r="F153">
        <v>3</v>
      </c>
      <c r="I153">
        <f t="shared" si="6"/>
        <v>13</v>
      </c>
    </row>
    <row r="154" spans="4:9">
      <c r="E154" t="s">
        <v>70</v>
      </c>
      <c r="F154">
        <v>1</v>
      </c>
      <c r="I154">
        <f t="shared" si="6"/>
        <v>5</v>
      </c>
    </row>
    <row r="155" spans="4:9">
      <c r="E155" t="s">
        <v>12</v>
      </c>
      <c r="F155">
        <v>17.600000000000001</v>
      </c>
      <c r="I155">
        <f t="shared" si="6"/>
        <v>71.400000000000006</v>
      </c>
    </row>
    <row r="156" spans="4:9">
      <c r="E156" t="s">
        <v>142</v>
      </c>
      <c r="F156">
        <v>11.3</v>
      </c>
      <c r="I156">
        <f t="shared" si="6"/>
        <v>46.2</v>
      </c>
    </row>
    <row r="157" spans="4:9">
      <c r="E157" t="s">
        <v>71</v>
      </c>
      <c r="F157">
        <v>3</v>
      </c>
      <c r="I157">
        <f t="shared" si="6"/>
        <v>13</v>
      </c>
    </row>
    <row r="160" spans="4:9">
      <c r="D160" s="2" t="s">
        <v>93</v>
      </c>
      <c r="E160" s="2" t="s">
        <v>13</v>
      </c>
      <c r="G160">
        <v>6.25E-2</v>
      </c>
      <c r="H160">
        <v>16</v>
      </c>
    </row>
    <row r="161" spans="4:12">
      <c r="E161" t="s">
        <v>14</v>
      </c>
      <c r="F161">
        <v>27</v>
      </c>
      <c r="I161">
        <f>((F161*16)/10)+1</f>
        <v>44.2</v>
      </c>
      <c r="J161">
        <f>SUM(I161:I178)</f>
        <v>222.44799999999995</v>
      </c>
      <c r="K161">
        <v>99</v>
      </c>
      <c r="L161">
        <v>11</v>
      </c>
    </row>
    <row r="162" spans="4:12">
      <c r="D162" s="2"/>
      <c r="E162" t="s">
        <v>72</v>
      </c>
      <c r="F162">
        <v>3</v>
      </c>
      <c r="I162">
        <f t="shared" ref="I162:I178" si="7">((F162*16)/10)+1</f>
        <v>5.8</v>
      </c>
    </row>
    <row r="163" spans="4:12">
      <c r="D163" s="2"/>
      <c r="E163" t="s">
        <v>50</v>
      </c>
      <c r="F163">
        <v>1</v>
      </c>
      <c r="I163">
        <f t="shared" si="7"/>
        <v>2.6</v>
      </c>
    </row>
    <row r="164" spans="4:12">
      <c r="D164" s="2"/>
      <c r="E164" t="s">
        <v>22</v>
      </c>
      <c r="F164">
        <v>1</v>
      </c>
      <c r="I164">
        <f t="shared" si="7"/>
        <v>2.6</v>
      </c>
    </row>
    <row r="165" spans="4:12">
      <c r="D165" s="2"/>
      <c r="E165" t="s">
        <v>73</v>
      </c>
      <c r="F165">
        <v>1</v>
      </c>
      <c r="I165">
        <f t="shared" si="7"/>
        <v>2.6</v>
      </c>
    </row>
    <row r="166" spans="4:12">
      <c r="D166" s="2"/>
      <c r="E166" t="s">
        <v>74</v>
      </c>
      <c r="F166">
        <v>1</v>
      </c>
      <c r="I166">
        <f t="shared" si="7"/>
        <v>2.6</v>
      </c>
    </row>
    <row r="167" spans="4:12">
      <c r="D167" s="2"/>
      <c r="E167" t="s">
        <v>9</v>
      </c>
      <c r="F167">
        <v>15</v>
      </c>
      <c r="I167">
        <f t="shared" si="7"/>
        <v>25</v>
      </c>
    </row>
    <row r="168" spans="4:12">
      <c r="D168" s="2"/>
      <c r="E168" t="s">
        <v>10</v>
      </c>
      <c r="F168">
        <v>1</v>
      </c>
      <c r="I168">
        <f>((F168*16)/10)+1</f>
        <v>2.6</v>
      </c>
    </row>
    <row r="169" spans="4:12">
      <c r="D169" s="2"/>
      <c r="E169" t="s">
        <v>65</v>
      </c>
      <c r="F169">
        <v>3</v>
      </c>
      <c r="I169">
        <f t="shared" si="7"/>
        <v>5.8</v>
      </c>
    </row>
    <row r="170" spans="4:12">
      <c r="D170" s="2"/>
      <c r="E170" t="s">
        <v>75</v>
      </c>
      <c r="F170">
        <v>1</v>
      </c>
      <c r="I170">
        <f t="shared" si="7"/>
        <v>2.6</v>
      </c>
    </row>
    <row r="171" spans="4:12">
      <c r="D171" s="2"/>
      <c r="E171" t="s">
        <v>17</v>
      </c>
      <c r="F171">
        <v>1</v>
      </c>
      <c r="I171">
        <f t="shared" si="7"/>
        <v>2.6</v>
      </c>
    </row>
    <row r="172" spans="4:12">
      <c r="D172" s="2"/>
      <c r="E172" t="s">
        <v>76</v>
      </c>
      <c r="F172">
        <v>1</v>
      </c>
      <c r="I172">
        <f t="shared" si="7"/>
        <v>2.6</v>
      </c>
    </row>
    <row r="173" spans="4:12">
      <c r="D173" s="2"/>
      <c r="E173" t="s">
        <v>12</v>
      </c>
      <c r="F173">
        <v>40.119999999999997</v>
      </c>
      <c r="I173">
        <f t="shared" si="7"/>
        <v>65.191999999999993</v>
      </c>
    </row>
    <row r="174" spans="4:12">
      <c r="D174" s="2"/>
      <c r="E174" t="s">
        <v>77</v>
      </c>
      <c r="F174">
        <v>1</v>
      </c>
      <c r="I174">
        <f t="shared" si="7"/>
        <v>2.6</v>
      </c>
    </row>
    <row r="175" spans="4:12">
      <c r="D175" s="2"/>
      <c r="E175" t="s">
        <v>78</v>
      </c>
      <c r="F175">
        <v>1</v>
      </c>
      <c r="I175">
        <f t="shared" si="7"/>
        <v>2.6</v>
      </c>
    </row>
    <row r="176" spans="4:12">
      <c r="D176" s="2"/>
      <c r="E176" t="s">
        <v>79</v>
      </c>
      <c r="F176">
        <v>1</v>
      </c>
      <c r="I176">
        <f t="shared" si="7"/>
        <v>2.6</v>
      </c>
    </row>
    <row r="177" spans="4:12">
      <c r="D177" s="2"/>
      <c r="E177" t="s">
        <v>143</v>
      </c>
      <c r="F177">
        <v>18.66</v>
      </c>
      <c r="I177">
        <f t="shared" si="7"/>
        <v>30.856000000000002</v>
      </c>
    </row>
    <row r="178" spans="4:12">
      <c r="D178" s="2"/>
      <c r="E178" t="s">
        <v>124</v>
      </c>
      <c r="F178">
        <v>10</v>
      </c>
      <c r="I178">
        <f t="shared" si="7"/>
        <v>17</v>
      </c>
    </row>
    <row r="179" spans="4:12">
      <c r="D179" s="2"/>
    </row>
    <row r="180" spans="4:12">
      <c r="D180" s="2" t="s">
        <v>94</v>
      </c>
      <c r="E180" s="2" t="s">
        <v>80</v>
      </c>
      <c r="G180">
        <v>2.5000000000000001E-2</v>
      </c>
      <c r="H180">
        <v>40</v>
      </c>
    </row>
    <row r="181" spans="4:12">
      <c r="E181" t="s">
        <v>14</v>
      </c>
      <c r="F181">
        <v>11</v>
      </c>
      <c r="I181">
        <f>((F181*40)/10)+1</f>
        <v>45</v>
      </c>
      <c r="J181">
        <f>SUM(I181:I186)</f>
        <v>133.19999999999999</v>
      </c>
      <c r="K181">
        <f>SUM(I181:I183)</f>
        <v>55</v>
      </c>
      <c r="L181">
        <v>3</v>
      </c>
    </row>
    <row r="182" spans="4:12">
      <c r="D182" s="2"/>
      <c r="E182" t="s">
        <v>28</v>
      </c>
      <c r="F182">
        <v>1</v>
      </c>
      <c r="I182">
        <f t="shared" ref="I182:I186" si="8">((F182*40)/10)+1</f>
        <v>5</v>
      </c>
    </row>
    <row r="183" spans="4:12">
      <c r="D183" s="2"/>
      <c r="E183" t="s">
        <v>65</v>
      </c>
      <c r="F183">
        <v>1</v>
      </c>
      <c r="I183">
        <f t="shared" si="8"/>
        <v>5</v>
      </c>
    </row>
    <row r="184" spans="4:12">
      <c r="D184" s="2"/>
      <c r="E184" t="s">
        <v>12</v>
      </c>
      <c r="F184">
        <v>3.2</v>
      </c>
      <c r="I184">
        <f t="shared" si="8"/>
        <v>13.8</v>
      </c>
    </row>
    <row r="185" spans="4:12">
      <c r="D185" s="2"/>
      <c r="E185" t="s">
        <v>143</v>
      </c>
      <c r="F185">
        <v>11.6</v>
      </c>
      <c r="I185">
        <f t="shared" si="8"/>
        <v>47.4</v>
      </c>
    </row>
    <row r="186" spans="4:12">
      <c r="D186" s="2"/>
      <c r="E186" t="s">
        <v>124</v>
      </c>
      <c r="F186">
        <v>4</v>
      </c>
      <c r="I186">
        <f t="shared" si="8"/>
        <v>17</v>
      </c>
    </row>
    <row r="187" spans="4:12">
      <c r="D187" s="2"/>
    </row>
    <row r="188" spans="4:12">
      <c r="D188" s="2" t="s">
        <v>93</v>
      </c>
      <c r="E188" s="2" t="s">
        <v>81</v>
      </c>
      <c r="G188">
        <v>6.25E-2</v>
      </c>
      <c r="H188">
        <v>16</v>
      </c>
    </row>
    <row r="189" spans="4:12">
      <c r="E189" t="s">
        <v>22</v>
      </c>
      <c r="F189">
        <v>2</v>
      </c>
      <c r="I189">
        <f>((F189*16)/10)+1</f>
        <v>4.2</v>
      </c>
      <c r="J189">
        <f>SUM(I189:I193)</f>
        <v>51.527999999999999</v>
      </c>
      <c r="K189">
        <f>SUM(I189:I191)</f>
        <v>9.4</v>
      </c>
      <c r="L189">
        <v>3</v>
      </c>
    </row>
    <row r="190" spans="4:12">
      <c r="D190" s="2"/>
      <c r="E190" t="s">
        <v>82</v>
      </c>
      <c r="F190">
        <v>1</v>
      </c>
      <c r="I190">
        <f t="shared" ref="I190:I218" si="9">((F190*16)/10)+1</f>
        <v>2.6</v>
      </c>
    </row>
    <row r="191" spans="4:12">
      <c r="D191" s="2"/>
      <c r="E191" t="s">
        <v>83</v>
      </c>
      <c r="F191">
        <v>1</v>
      </c>
      <c r="I191">
        <f t="shared" si="9"/>
        <v>2.6</v>
      </c>
    </row>
    <row r="192" spans="4:12">
      <c r="D192" s="2"/>
      <c r="E192" t="s">
        <v>12</v>
      </c>
      <c r="F192">
        <v>11.78</v>
      </c>
      <c r="I192">
        <f t="shared" si="9"/>
        <v>19.847999999999999</v>
      </c>
    </row>
    <row r="193" spans="4:12">
      <c r="D193" s="2"/>
      <c r="E193" t="s">
        <v>143</v>
      </c>
      <c r="F193">
        <v>13.3</v>
      </c>
      <c r="I193">
        <f t="shared" si="9"/>
        <v>22.28</v>
      </c>
    </row>
    <row r="194" spans="4:12">
      <c r="D194" s="2"/>
    </row>
    <row r="195" spans="4:12">
      <c r="D195" s="2" t="s">
        <v>93</v>
      </c>
      <c r="E195" s="2" t="s">
        <v>30</v>
      </c>
      <c r="G195">
        <v>6.25E-2</v>
      </c>
      <c r="H195">
        <v>16</v>
      </c>
    </row>
    <row r="196" spans="4:12">
      <c r="E196" t="s">
        <v>14</v>
      </c>
      <c r="F196">
        <v>4.5</v>
      </c>
      <c r="I196">
        <f t="shared" si="9"/>
        <v>8.1999999999999993</v>
      </c>
      <c r="J196">
        <f>SUM(I196:I200)</f>
        <v>35.4</v>
      </c>
      <c r="K196">
        <f>SUM(I196:I198)</f>
        <v>13.399999999999999</v>
      </c>
      <c r="L196">
        <v>3</v>
      </c>
    </row>
    <row r="197" spans="4:12">
      <c r="D197" s="2"/>
      <c r="E197" t="s">
        <v>21</v>
      </c>
      <c r="F197">
        <v>1</v>
      </c>
      <c r="I197">
        <f t="shared" si="9"/>
        <v>2.6</v>
      </c>
    </row>
    <row r="198" spans="4:12">
      <c r="D198" s="2"/>
      <c r="E198" t="s">
        <v>72</v>
      </c>
      <c r="F198">
        <v>1</v>
      </c>
      <c r="I198">
        <f t="shared" si="9"/>
        <v>2.6</v>
      </c>
    </row>
    <row r="199" spans="4:12">
      <c r="D199" s="2"/>
      <c r="E199" t="s">
        <v>12</v>
      </c>
      <c r="F199">
        <v>6</v>
      </c>
      <c r="I199">
        <f t="shared" si="9"/>
        <v>10.6</v>
      </c>
    </row>
    <row r="200" spans="4:12">
      <c r="D200" s="2"/>
      <c r="E200" t="s">
        <v>143</v>
      </c>
      <c r="F200">
        <v>6.5</v>
      </c>
      <c r="I200">
        <f t="shared" si="9"/>
        <v>11.4</v>
      </c>
    </row>
    <row r="201" spans="4:12">
      <c r="D201" s="2"/>
    </row>
    <row r="202" spans="4:12">
      <c r="D202" s="2" t="s">
        <v>93</v>
      </c>
      <c r="E202" s="2" t="s">
        <v>34</v>
      </c>
      <c r="G202">
        <v>6.25E-2</v>
      </c>
      <c r="H202">
        <v>16</v>
      </c>
    </row>
    <row r="203" spans="4:12">
      <c r="E203" t="s">
        <v>14</v>
      </c>
      <c r="F203">
        <v>2</v>
      </c>
      <c r="I203">
        <f t="shared" si="9"/>
        <v>4.2</v>
      </c>
      <c r="J203">
        <f>SUM(I203:I206)</f>
        <v>34.304000000000002</v>
      </c>
      <c r="K203">
        <f>SUM(I203:I205)</f>
        <v>9.4</v>
      </c>
      <c r="L203">
        <v>3</v>
      </c>
    </row>
    <row r="204" spans="4:12">
      <c r="D204" s="2"/>
      <c r="E204" t="s">
        <v>65</v>
      </c>
      <c r="F204">
        <v>1</v>
      </c>
      <c r="I204">
        <f t="shared" si="9"/>
        <v>2.6</v>
      </c>
    </row>
    <row r="205" spans="4:12">
      <c r="D205" s="2"/>
      <c r="E205" t="s">
        <v>84</v>
      </c>
      <c r="F205">
        <v>1</v>
      </c>
      <c r="I205">
        <f t="shared" si="9"/>
        <v>2.6</v>
      </c>
    </row>
    <row r="206" spans="4:12">
      <c r="D206" s="2"/>
      <c r="E206" t="s">
        <v>12</v>
      </c>
      <c r="F206">
        <v>14.94</v>
      </c>
      <c r="I206">
        <f t="shared" si="9"/>
        <v>24.904</v>
      </c>
    </row>
    <row r="207" spans="4:12">
      <c r="D207" s="2"/>
    </row>
    <row r="208" spans="4:12">
      <c r="D208" s="2" t="s">
        <v>93</v>
      </c>
      <c r="E208" s="2" t="s">
        <v>35</v>
      </c>
      <c r="G208">
        <v>6.25E-2</v>
      </c>
      <c r="H208">
        <v>16</v>
      </c>
    </row>
    <row r="209" spans="4:12">
      <c r="E209" t="s">
        <v>14</v>
      </c>
      <c r="F209">
        <v>1.5</v>
      </c>
      <c r="I209">
        <f t="shared" si="9"/>
        <v>3.4</v>
      </c>
      <c r="J209">
        <f>SUM(I209:I211)</f>
        <v>36.248000000000005</v>
      </c>
      <c r="K209">
        <v>3.4</v>
      </c>
      <c r="L209">
        <v>1</v>
      </c>
    </row>
    <row r="210" spans="4:12">
      <c r="D210" s="2"/>
      <c r="E210" t="s">
        <v>12</v>
      </c>
      <c r="F210">
        <v>18.28</v>
      </c>
      <c r="I210">
        <f t="shared" si="9"/>
        <v>30.248000000000001</v>
      </c>
    </row>
    <row r="211" spans="4:12">
      <c r="D211" s="2"/>
      <c r="E211" t="s">
        <v>142</v>
      </c>
      <c r="F211">
        <v>1</v>
      </c>
      <c r="I211">
        <f t="shared" si="9"/>
        <v>2.6</v>
      </c>
    </row>
    <row r="212" spans="4:12">
      <c r="D212" s="2"/>
    </row>
    <row r="213" spans="4:12">
      <c r="D213" s="2" t="s">
        <v>93</v>
      </c>
      <c r="E213" s="2" t="s">
        <v>95</v>
      </c>
      <c r="G213">
        <v>6.25E-2</v>
      </c>
      <c r="H213">
        <v>16</v>
      </c>
    </row>
    <row r="214" spans="4:12">
      <c r="E214" t="s">
        <v>14</v>
      </c>
      <c r="F214">
        <v>9.5</v>
      </c>
      <c r="I214">
        <f t="shared" si="9"/>
        <v>16.2</v>
      </c>
      <c r="J214">
        <f>SUM(I214:I218)</f>
        <v>35.345600000000005</v>
      </c>
      <c r="K214">
        <f>SUM(I214:I216)</f>
        <v>21.400000000000002</v>
      </c>
      <c r="L214">
        <v>3</v>
      </c>
    </row>
    <row r="215" spans="4:12">
      <c r="D215" s="2"/>
      <c r="E215" t="s">
        <v>9</v>
      </c>
      <c r="F215">
        <v>1</v>
      </c>
      <c r="I215">
        <f t="shared" si="9"/>
        <v>2.6</v>
      </c>
    </row>
    <row r="216" spans="4:12">
      <c r="D216" s="2"/>
      <c r="E216" t="s">
        <v>39</v>
      </c>
      <c r="F216">
        <v>1</v>
      </c>
      <c r="I216">
        <f t="shared" si="9"/>
        <v>2.6</v>
      </c>
    </row>
    <row r="217" spans="4:12">
      <c r="D217" s="2"/>
      <c r="E217" t="s">
        <v>12</v>
      </c>
      <c r="F217">
        <v>0.16600000000000001</v>
      </c>
      <c r="I217">
        <f t="shared" si="9"/>
        <v>1.2656000000000001</v>
      </c>
    </row>
    <row r="218" spans="4:12">
      <c r="D218" s="2"/>
      <c r="E218" t="s">
        <v>142</v>
      </c>
      <c r="F218">
        <v>7.3</v>
      </c>
      <c r="I218">
        <f t="shared" si="9"/>
        <v>12.68</v>
      </c>
    </row>
    <row r="219" spans="4:12">
      <c r="D219" s="2"/>
    </row>
    <row r="220" spans="4:12">
      <c r="D220" s="2" t="s">
        <v>94</v>
      </c>
      <c r="E220" s="2" t="s">
        <v>42</v>
      </c>
      <c r="G220">
        <v>2.5000000000000001E-2</v>
      </c>
      <c r="H220">
        <v>40</v>
      </c>
    </row>
    <row r="221" spans="4:12">
      <c r="E221" t="s">
        <v>14</v>
      </c>
      <c r="F221">
        <v>11</v>
      </c>
      <c r="I221">
        <f>((F221*40)/10)+1</f>
        <v>45</v>
      </c>
      <c r="J221">
        <f>SUM(I221:I228)</f>
        <v>128.63999999999999</v>
      </c>
      <c r="K221">
        <f>SUM(I221:I224)</f>
        <v>64</v>
      </c>
      <c r="L221">
        <v>4</v>
      </c>
    </row>
    <row r="222" spans="4:12">
      <c r="D222" s="2"/>
      <c r="E222" t="s">
        <v>85</v>
      </c>
      <c r="F222">
        <v>1</v>
      </c>
      <c r="I222">
        <f t="shared" ref="I222:I248" si="10">((F222*40)/10)+1</f>
        <v>5</v>
      </c>
    </row>
    <row r="223" spans="4:12">
      <c r="D223" s="2"/>
      <c r="E223" t="s">
        <v>86</v>
      </c>
      <c r="F223">
        <v>1</v>
      </c>
      <c r="I223">
        <f t="shared" si="10"/>
        <v>5</v>
      </c>
    </row>
    <row r="224" spans="4:12">
      <c r="D224" s="2"/>
      <c r="E224" t="s">
        <v>9</v>
      </c>
      <c r="F224">
        <v>2</v>
      </c>
      <c r="I224">
        <f t="shared" si="10"/>
        <v>9</v>
      </c>
    </row>
    <row r="225" spans="4:12">
      <c r="D225" s="2"/>
      <c r="E225" t="s">
        <v>87</v>
      </c>
      <c r="F225">
        <v>2</v>
      </c>
      <c r="I225">
        <f t="shared" si="10"/>
        <v>9</v>
      </c>
    </row>
    <row r="226" spans="4:12">
      <c r="D226" s="2"/>
      <c r="E226" t="s">
        <v>12</v>
      </c>
      <c r="F226">
        <v>0.16</v>
      </c>
      <c r="I226">
        <f t="shared" si="10"/>
        <v>1.6400000000000001</v>
      </c>
    </row>
    <row r="227" spans="4:12">
      <c r="D227" s="2"/>
      <c r="E227" t="s">
        <v>142</v>
      </c>
      <c r="F227">
        <v>10</v>
      </c>
      <c r="I227">
        <f t="shared" si="10"/>
        <v>41</v>
      </c>
    </row>
    <row r="228" spans="4:12">
      <c r="D228" s="2"/>
      <c r="E228" t="s">
        <v>124</v>
      </c>
      <c r="F228">
        <v>3</v>
      </c>
      <c r="I228">
        <f t="shared" si="10"/>
        <v>13</v>
      </c>
    </row>
    <row r="229" spans="4:12">
      <c r="D229" s="2"/>
    </row>
    <row r="230" spans="4:12">
      <c r="D230" s="2" t="s">
        <v>94</v>
      </c>
      <c r="E230" s="2" t="s">
        <v>45</v>
      </c>
      <c r="G230">
        <v>2.5000000000000001E-2</v>
      </c>
      <c r="H230">
        <v>40</v>
      </c>
    </row>
    <row r="231" spans="4:12">
      <c r="E231" t="s">
        <v>14</v>
      </c>
      <c r="F231">
        <v>9.5</v>
      </c>
      <c r="I231">
        <f t="shared" si="10"/>
        <v>39</v>
      </c>
      <c r="J231">
        <f>SUM(I231:I236)</f>
        <v>84.56</v>
      </c>
      <c r="K231">
        <f>SUM(I231:I234)</f>
        <v>54</v>
      </c>
      <c r="L231">
        <v>4</v>
      </c>
    </row>
    <row r="232" spans="4:12">
      <c r="D232" s="2"/>
      <c r="E232" t="s">
        <v>43</v>
      </c>
      <c r="F232">
        <v>1</v>
      </c>
      <c r="I232">
        <f t="shared" si="10"/>
        <v>5</v>
      </c>
    </row>
    <row r="233" spans="4:12">
      <c r="D233" s="2"/>
      <c r="E233" t="s">
        <v>17</v>
      </c>
      <c r="F233">
        <v>1</v>
      </c>
      <c r="I233">
        <f t="shared" si="10"/>
        <v>5</v>
      </c>
    </row>
    <row r="234" spans="4:12">
      <c r="D234" s="2"/>
      <c r="E234" t="s">
        <v>9</v>
      </c>
      <c r="F234">
        <v>1</v>
      </c>
      <c r="I234">
        <f t="shared" si="10"/>
        <v>5</v>
      </c>
    </row>
    <row r="235" spans="4:12">
      <c r="D235" s="2"/>
      <c r="E235" t="s">
        <v>12</v>
      </c>
      <c r="F235">
        <v>1.1399999999999999</v>
      </c>
      <c r="I235">
        <f t="shared" si="10"/>
        <v>5.56</v>
      </c>
    </row>
    <row r="236" spans="4:12">
      <c r="D236" s="2"/>
      <c r="E236" t="s">
        <v>145</v>
      </c>
      <c r="F236">
        <v>6</v>
      </c>
      <c r="I236">
        <f t="shared" si="10"/>
        <v>25</v>
      </c>
    </row>
    <row r="237" spans="4:12">
      <c r="D237" s="2"/>
    </row>
    <row r="238" spans="4:12">
      <c r="D238" s="2" t="s">
        <v>94</v>
      </c>
      <c r="E238" s="2" t="s">
        <v>49</v>
      </c>
      <c r="G238">
        <v>2.5000000000000001E-2</v>
      </c>
      <c r="H238">
        <v>40</v>
      </c>
    </row>
    <row r="239" spans="4:12">
      <c r="E239" t="s">
        <v>14</v>
      </c>
      <c r="F239">
        <v>3</v>
      </c>
      <c r="I239">
        <f t="shared" si="10"/>
        <v>13</v>
      </c>
      <c r="J239">
        <f>SUM(I239:I241)</f>
        <v>84.039999999999992</v>
      </c>
      <c r="K239">
        <v>13</v>
      </c>
      <c r="L239">
        <v>1</v>
      </c>
    </row>
    <row r="240" spans="4:12">
      <c r="D240" s="2"/>
      <c r="E240" t="s">
        <v>12</v>
      </c>
      <c r="F240">
        <v>15.26</v>
      </c>
      <c r="I240">
        <f t="shared" si="10"/>
        <v>62.04</v>
      </c>
    </row>
    <row r="241" spans="3:14">
      <c r="D241" s="2"/>
      <c r="E241" t="s">
        <v>142</v>
      </c>
      <c r="F241">
        <v>2</v>
      </c>
      <c r="I241">
        <f t="shared" si="10"/>
        <v>9</v>
      </c>
    </row>
    <row r="242" spans="3:14">
      <c r="D242" s="2"/>
    </row>
    <row r="243" spans="3:14">
      <c r="D243" s="2" t="s">
        <v>94</v>
      </c>
      <c r="E243" s="2" t="s">
        <v>88</v>
      </c>
      <c r="G243">
        <v>2.5000000000000001E-2</v>
      </c>
      <c r="H243">
        <v>40</v>
      </c>
    </row>
    <row r="244" spans="3:14">
      <c r="D244" s="2"/>
      <c r="E244" t="s">
        <v>14</v>
      </c>
      <c r="F244">
        <v>1</v>
      </c>
      <c r="I244">
        <f t="shared" si="10"/>
        <v>5</v>
      </c>
      <c r="J244">
        <f>SUM(I244:I248)</f>
        <v>51.64</v>
      </c>
      <c r="K244">
        <v>5</v>
      </c>
      <c r="L244">
        <v>1</v>
      </c>
    </row>
    <row r="245" spans="3:14">
      <c r="E245" t="s">
        <v>12</v>
      </c>
      <c r="F245">
        <v>3.66</v>
      </c>
      <c r="I245">
        <f t="shared" si="10"/>
        <v>15.64</v>
      </c>
    </row>
    <row r="246" spans="3:14">
      <c r="D246" s="2"/>
      <c r="E246" t="s">
        <v>142</v>
      </c>
      <c r="F246">
        <v>4</v>
      </c>
      <c r="I246">
        <f t="shared" si="10"/>
        <v>17</v>
      </c>
    </row>
    <row r="247" spans="3:14">
      <c r="D247" s="2"/>
      <c r="E247" t="s">
        <v>125</v>
      </c>
      <c r="F247">
        <v>2</v>
      </c>
      <c r="I247">
        <f t="shared" si="10"/>
        <v>9</v>
      </c>
    </row>
    <row r="248" spans="3:14">
      <c r="D248" s="2"/>
      <c r="E248" t="s">
        <v>124</v>
      </c>
      <c r="F248">
        <v>1</v>
      </c>
      <c r="I248">
        <f t="shared" si="10"/>
        <v>5</v>
      </c>
    </row>
    <row r="249" spans="3:14">
      <c r="D249" s="2"/>
    </row>
    <row r="250" spans="3:14">
      <c r="C250" s="10"/>
      <c r="D250" s="11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3:14">
      <c r="D251" s="2"/>
    </row>
    <row r="252" spans="3:14">
      <c r="C252" s="12" t="s">
        <v>135</v>
      </c>
      <c r="D252" s="2"/>
    </row>
    <row r="253" spans="3:14">
      <c r="C253" s="8" t="s">
        <v>96</v>
      </c>
    </row>
    <row r="254" spans="3:14">
      <c r="F254" s="3" t="s">
        <v>52</v>
      </c>
      <c r="G254" s="2"/>
      <c r="H254" s="2"/>
      <c r="I254" s="2"/>
      <c r="J254" s="2"/>
      <c r="K254" s="2"/>
      <c r="L254" s="2"/>
      <c r="M254" s="2"/>
    </row>
    <row r="255" spans="3:14">
      <c r="E255" s="3" t="s">
        <v>57</v>
      </c>
      <c r="F255" s="3" t="s">
        <v>53</v>
      </c>
      <c r="G255" s="3" t="s">
        <v>90</v>
      </c>
      <c r="H255" s="3" t="s">
        <v>0</v>
      </c>
      <c r="I255" s="3" t="s">
        <v>91</v>
      </c>
      <c r="J255" s="3" t="s">
        <v>1</v>
      </c>
      <c r="K255" s="3" t="s">
        <v>2</v>
      </c>
      <c r="L255" s="3" t="s">
        <v>55</v>
      </c>
      <c r="M255" s="3" t="s">
        <v>3</v>
      </c>
    </row>
    <row r="256" spans="3:14">
      <c r="D256" s="2" t="s">
        <v>120</v>
      </c>
      <c r="E256" s="2" t="s">
        <v>99</v>
      </c>
      <c r="G256" t="s">
        <v>100</v>
      </c>
      <c r="H256">
        <v>14.81</v>
      </c>
    </row>
    <row r="257" spans="4:13">
      <c r="E257" t="s">
        <v>14</v>
      </c>
      <c r="F257">
        <v>4</v>
      </c>
      <c r="I257">
        <f>(F257*14.81)/10</f>
        <v>5.9240000000000004</v>
      </c>
      <c r="J257" s="5">
        <f>I257+1</f>
        <v>6.9240000000000004</v>
      </c>
      <c r="K257">
        <f>SUM(J257:J259)</f>
        <v>13.855729999999999</v>
      </c>
      <c r="L257">
        <f>J257</f>
        <v>6.9240000000000004</v>
      </c>
      <c r="M257">
        <v>1</v>
      </c>
    </row>
    <row r="258" spans="4:13">
      <c r="E258" t="s">
        <v>12</v>
      </c>
      <c r="F258">
        <v>0.33</v>
      </c>
      <c r="I258">
        <f t="shared" ref="I258:I259" si="11">(F258*14.81)/10</f>
        <v>0.48873000000000005</v>
      </c>
      <c r="J258" s="5">
        <f t="shared" ref="J258:J259" si="12">I258+1</f>
        <v>1.4887300000000001</v>
      </c>
    </row>
    <row r="259" spans="4:13">
      <c r="E259" t="s">
        <v>143</v>
      </c>
      <c r="F259">
        <v>3</v>
      </c>
      <c r="I259">
        <f t="shared" si="11"/>
        <v>4.4429999999999996</v>
      </c>
      <c r="J259" s="5">
        <f t="shared" si="12"/>
        <v>5.4429999999999996</v>
      </c>
    </row>
    <row r="260" spans="4:13">
      <c r="D260" s="2"/>
      <c r="J260" s="5"/>
    </row>
    <row r="261" spans="4:13">
      <c r="D261" s="2" t="s">
        <v>120</v>
      </c>
      <c r="E261" s="2" t="s">
        <v>13</v>
      </c>
      <c r="G261" t="s">
        <v>100</v>
      </c>
      <c r="H261">
        <v>14.81</v>
      </c>
      <c r="J261" s="5"/>
    </row>
    <row r="262" spans="4:13">
      <c r="E262" t="s">
        <v>14</v>
      </c>
      <c r="F262">
        <v>1</v>
      </c>
      <c r="I262">
        <f>(F262*14.81)/10</f>
        <v>1.4810000000000001</v>
      </c>
      <c r="J262" s="5">
        <f>I262+1</f>
        <v>2.4809999999999999</v>
      </c>
      <c r="K262">
        <f>SUM(J262:J266)</f>
        <v>16.581420000000001</v>
      </c>
      <c r="L262">
        <f>SUM(J262:J263)</f>
        <v>4.9619999999999997</v>
      </c>
      <c r="M262">
        <v>2</v>
      </c>
    </row>
    <row r="263" spans="4:13">
      <c r="E263" t="s">
        <v>22</v>
      </c>
      <c r="F263">
        <v>1</v>
      </c>
      <c r="I263">
        <f t="shared" ref="I263:I266" si="13">(F263*14.81)/10</f>
        <v>1.4810000000000001</v>
      </c>
      <c r="J263" s="5">
        <f t="shared" ref="J263:J266" si="14">I263+1</f>
        <v>2.4809999999999999</v>
      </c>
    </row>
    <row r="264" spans="4:13">
      <c r="E264" t="s">
        <v>101</v>
      </c>
      <c r="F264">
        <v>1</v>
      </c>
      <c r="I264">
        <f t="shared" si="13"/>
        <v>1.4810000000000001</v>
      </c>
      <c r="J264" s="5">
        <f t="shared" si="14"/>
        <v>2.4809999999999999</v>
      </c>
    </row>
    <row r="265" spans="4:13">
      <c r="D265" s="2"/>
      <c r="E265" t="s">
        <v>12</v>
      </c>
      <c r="F265">
        <v>0.82</v>
      </c>
      <c r="I265">
        <f t="shared" si="13"/>
        <v>1.2144200000000001</v>
      </c>
      <c r="J265" s="5">
        <f t="shared" si="14"/>
        <v>2.2144200000000001</v>
      </c>
    </row>
    <row r="266" spans="4:13">
      <c r="D266" s="2"/>
      <c r="E266" t="s">
        <v>124</v>
      </c>
      <c r="F266">
        <v>4</v>
      </c>
      <c r="I266">
        <f t="shared" si="13"/>
        <v>5.9240000000000004</v>
      </c>
      <c r="J266" s="5">
        <f t="shared" si="14"/>
        <v>6.9240000000000004</v>
      </c>
    </row>
    <row r="267" spans="4:13">
      <c r="D267" s="2"/>
      <c r="J267" s="5"/>
    </row>
    <row r="268" spans="4:13">
      <c r="D268" s="2"/>
      <c r="J268" s="5"/>
    </row>
    <row r="269" spans="4:13">
      <c r="D269" s="2" t="s">
        <v>121</v>
      </c>
      <c r="E269" s="2" t="s">
        <v>18</v>
      </c>
      <c r="G269" t="s">
        <v>102</v>
      </c>
      <c r="H269">
        <v>17.77</v>
      </c>
      <c r="J269" s="5"/>
    </row>
    <row r="270" spans="4:13">
      <c r="E270" t="s">
        <v>12</v>
      </c>
      <c r="F270">
        <v>2.3159999999999998</v>
      </c>
      <c r="I270">
        <f>(F270*17.77)/10</f>
        <v>4.115532</v>
      </c>
      <c r="J270" s="5">
        <f>I270+1</f>
        <v>5.115532</v>
      </c>
      <c r="K270">
        <f>J270</f>
        <v>5.115532</v>
      </c>
      <c r="L270">
        <v>0</v>
      </c>
      <c r="M270">
        <v>0</v>
      </c>
    </row>
    <row r="271" spans="4:13">
      <c r="J271" s="5"/>
    </row>
    <row r="272" spans="4:13">
      <c r="D272" s="2"/>
      <c r="J272" s="5"/>
    </row>
    <row r="273" spans="4:13">
      <c r="D273" s="2" t="s">
        <v>121</v>
      </c>
      <c r="E273" s="2" t="s">
        <v>19</v>
      </c>
      <c r="G273" t="s">
        <v>102</v>
      </c>
      <c r="H273">
        <v>17.77</v>
      </c>
      <c r="J273" s="5"/>
    </row>
    <row r="274" spans="4:13">
      <c r="E274" t="s">
        <v>14</v>
      </c>
      <c r="F274">
        <v>0.5</v>
      </c>
      <c r="I274">
        <f t="shared" ref="I274:I277" si="15">(F274*17.77)/10</f>
        <v>0.88849999999999996</v>
      </c>
      <c r="J274" s="5">
        <f>I274+1</f>
        <v>1.8885000000000001</v>
      </c>
      <c r="K274">
        <f>SUM(J274:J277)</f>
        <v>13.418099999999999</v>
      </c>
      <c r="L274">
        <f>J274</f>
        <v>1.8885000000000001</v>
      </c>
      <c r="M274">
        <v>1</v>
      </c>
    </row>
    <row r="275" spans="4:13">
      <c r="E275" t="s">
        <v>12</v>
      </c>
      <c r="F275">
        <v>1.8</v>
      </c>
      <c r="I275">
        <f t="shared" si="15"/>
        <v>3.1985999999999999</v>
      </c>
      <c r="J275" s="5">
        <f t="shared" ref="J275:J336" si="16">I275+1</f>
        <v>4.1985999999999999</v>
      </c>
    </row>
    <row r="276" spans="4:13">
      <c r="E276" t="s">
        <v>143</v>
      </c>
      <c r="F276">
        <v>2</v>
      </c>
      <c r="I276">
        <f t="shared" si="15"/>
        <v>3.5539999999999998</v>
      </c>
      <c r="J276" s="5">
        <f t="shared" si="16"/>
        <v>4.5540000000000003</v>
      </c>
    </row>
    <row r="277" spans="4:13">
      <c r="D277" s="2"/>
      <c r="E277" t="s">
        <v>124</v>
      </c>
      <c r="F277">
        <v>1</v>
      </c>
      <c r="I277">
        <f t="shared" si="15"/>
        <v>1.7769999999999999</v>
      </c>
      <c r="J277" s="5">
        <f t="shared" si="16"/>
        <v>2.7770000000000001</v>
      </c>
    </row>
    <row r="278" spans="4:13">
      <c r="D278" s="2"/>
      <c r="J278" s="5"/>
    </row>
    <row r="279" spans="4:13">
      <c r="D279" s="2" t="s">
        <v>122</v>
      </c>
      <c r="E279" s="2" t="s">
        <v>81</v>
      </c>
      <c r="G279" t="s">
        <v>103</v>
      </c>
      <c r="H279">
        <v>16.66</v>
      </c>
      <c r="J279" s="5"/>
    </row>
    <row r="280" spans="4:13">
      <c r="E280" t="s">
        <v>14</v>
      </c>
      <c r="F280">
        <v>1.5</v>
      </c>
      <c r="I280">
        <f>(F280*16.66)/10</f>
        <v>2.4990000000000001</v>
      </c>
      <c r="J280" s="5">
        <f t="shared" si="16"/>
        <v>3.4990000000000001</v>
      </c>
      <c r="K280">
        <f>SUM(J280:J283)</f>
        <v>12.87978</v>
      </c>
      <c r="L280">
        <f>SUM(J280:J281)</f>
        <v>6.165</v>
      </c>
      <c r="M280">
        <v>2</v>
      </c>
    </row>
    <row r="281" spans="4:13">
      <c r="E281" t="s">
        <v>22</v>
      </c>
      <c r="F281">
        <v>1</v>
      </c>
      <c r="I281">
        <f t="shared" ref="I281:I283" si="17">(F281*16.66)/10</f>
        <v>1.6659999999999999</v>
      </c>
      <c r="J281" s="5">
        <f t="shared" si="16"/>
        <v>2.6659999999999999</v>
      </c>
    </row>
    <row r="282" spans="4:13">
      <c r="E282" t="s">
        <v>12</v>
      </c>
      <c r="F282">
        <v>0.83</v>
      </c>
      <c r="I282">
        <f t="shared" si="17"/>
        <v>1.3827799999999999</v>
      </c>
      <c r="J282" s="5">
        <f t="shared" si="16"/>
        <v>2.3827799999999999</v>
      </c>
    </row>
    <row r="283" spans="4:13">
      <c r="D283" s="2"/>
      <c r="E283" t="s">
        <v>143</v>
      </c>
      <c r="F283">
        <v>2</v>
      </c>
      <c r="I283">
        <f t="shared" si="17"/>
        <v>3.3319999999999999</v>
      </c>
      <c r="J283" s="5">
        <f t="shared" si="16"/>
        <v>4.3319999999999999</v>
      </c>
    </row>
    <row r="284" spans="4:13">
      <c r="D284" s="2"/>
      <c r="J284" s="5"/>
    </row>
    <row r="285" spans="4:13">
      <c r="D285" s="2" t="s">
        <v>120</v>
      </c>
      <c r="E285" s="2" t="s">
        <v>30</v>
      </c>
      <c r="G285" t="s">
        <v>100</v>
      </c>
      <c r="H285">
        <v>14.81</v>
      </c>
      <c r="J285" s="5"/>
    </row>
    <row r="286" spans="4:13">
      <c r="E286" t="s">
        <v>12</v>
      </c>
      <c r="F286">
        <v>1.1599999999999999</v>
      </c>
      <c r="I286">
        <f>(F286*14.81)/10</f>
        <v>1.7179600000000002</v>
      </c>
      <c r="J286" s="5">
        <f t="shared" si="16"/>
        <v>2.7179600000000002</v>
      </c>
      <c r="K286">
        <f>SUM(J286:J287)</f>
        <v>7.4204600000000003</v>
      </c>
      <c r="L286">
        <v>0</v>
      </c>
      <c r="M286">
        <v>0</v>
      </c>
    </row>
    <row r="287" spans="4:13">
      <c r="E287" t="s">
        <v>104</v>
      </c>
      <c r="F287">
        <v>2.5</v>
      </c>
      <c r="I287">
        <f>(F287*14.81)/10</f>
        <v>3.7024999999999997</v>
      </c>
      <c r="J287" s="5">
        <f t="shared" si="16"/>
        <v>4.7024999999999997</v>
      </c>
    </row>
    <row r="288" spans="4:13">
      <c r="J288" s="5"/>
    </row>
    <row r="289" spans="4:13">
      <c r="D289" s="2"/>
      <c r="J289" s="5"/>
    </row>
    <row r="290" spans="4:13">
      <c r="D290" s="2" t="s">
        <v>122</v>
      </c>
      <c r="E290" s="2" t="s">
        <v>34</v>
      </c>
      <c r="G290" t="s">
        <v>103</v>
      </c>
      <c r="H290">
        <v>16.66</v>
      </c>
      <c r="J290" s="5"/>
    </row>
    <row r="291" spans="4:13">
      <c r="E291" t="s">
        <v>22</v>
      </c>
      <c r="F291">
        <v>1</v>
      </c>
      <c r="I291">
        <f>(F291*16.66)/10</f>
        <v>1.6659999999999999</v>
      </c>
      <c r="J291" s="5">
        <f t="shared" si="16"/>
        <v>2.6659999999999999</v>
      </c>
      <c r="K291">
        <f>SUM(J291:J293)</f>
        <v>9.0975600000000014</v>
      </c>
      <c r="L291">
        <f>J291</f>
        <v>2.6659999999999999</v>
      </c>
      <c r="M291">
        <v>1</v>
      </c>
    </row>
    <row r="292" spans="4:13">
      <c r="E292" t="s">
        <v>12</v>
      </c>
      <c r="F292">
        <v>0.66</v>
      </c>
      <c r="I292">
        <f t="shared" ref="I292:I336" si="18">(F292*16.66)/10</f>
        <v>1.0995600000000001</v>
      </c>
      <c r="J292" s="5">
        <f t="shared" si="16"/>
        <v>2.0995600000000003</v>
      </c>
    </row>
    <row r="293" spans="4:13">
      <c r="E293" t="s">
        <v>143</v>
      </c>
      <c r="F293">
        <v>2</v>
      </c>
      <c r="I293">
        <f t="shared" si="18"/>
        <v>3.3319999999999999</v>
      </c>
      <c r="J293" s="5">
        <f t="shared" si="16"/>
        <v>4.3319999999999999</v>
      </c>
    </row>
    <row r="294" spans="4:13">
      <c r="D294" s="2"/>
      <c r="J294" s="5"/>
    </row>
    <row r="295" spans="4:13">
      <c r="D295" s="2" t="s">
        <v>122</v>
      </c>
      <c r="E295" s="2" t="s">
        <v>35</v>
      </c>
      <c r="G295" t="s">
        <v>103</v>
      </c>
      <c r="H295">
        <v>16.66</v>
      </c>
      <c r="J295" s="5"/>
    </row>
    <row r="296" spans="4:13">
      <c r="E296" t="s">
        <v>14</v>
      </c>
      <c r="F296">
        <v>1</v>
      </c>
      <c r="I296">
        <f t="shared" si="18"/>
        <v>1.6659999999999999</v>
      </c>
      <c r="J296" s="5">
        <f t="shared" si="16"/>
        <v>2.6659999999999999</v>
      </c>
      <c r="K296">
        <f>SUM(J296:J300)</f>
        <v>13.96308</v>
      </c>
      <c r="L296">
        <f>SUM(J296:J298)</f>
        <v>7.9979999999999993</v>
      </c>
      <c r="M296">
        <v>3</v>
      </c>
    </row>
    <row r="297" spans="4:13">
      <c r="D297" s="2"/>
      <c r="E297" t="s">
        <v>105</v>
      </c>
      <c r="F297">
        <v>1</v>
      </c>
      <c r="I297">
        <f t="shared" si="18"/>
        <v>1.6659999999999999</v>
      </c>
      <c r="J297" s="5">
        <f t="shared" si="16"/>
        <v>2.6659999999999999</v>
      </c>
    </row>
    <row r="298" spans="4:13">
      <c r="E298" t="s">
        <v>106</v>
      </c>
      <c r="F298">
        <v>1</v>
      </c>
      <c r="I298">
        <f t="shared" si="18"/>
        <v>1.6659999999999999</v>
      </c>
      <c r="J298" s="5">
        <f t="shared" si="16"/>
        <v>2.6659999999999999</v>
      </c>
    </row>
    <row r="299" spans="4:13">
      <c r="E299" t="s">
        <v>101</v>
      </c>
      <c r="F299">
        <v>1</v>
      </c>
      <c r="I299">
        <f t="shared" si="18"/>
        <v>1.6659999999999999</v>
      </c>
      <c r="J299" s="5">
        <f t="shared" si="16"/>
        <v>2.6659999999999999</v>
      </c>
    </row>
    <row r="300" spans="4:13">
      <c r="D300" s="2"/>
      <c r="E300" t="s">
        <v>12</v>
      </c>
      <c r="F300">
        <v>1.38</v>
      </c>
      <c r="I300">
        <f t="shared" si="18"/>
        <v>2.29908</v>
      </c>
      <c r="J300" s="5">
        <f t="shared" si="16"/>
        <v>3.29908</v>
      </c>
    </row>
    <row r="301" spans="4:13">
      <c r="D301" s="2"/>
      <c r="J301" s="5"/>
    </row>
    <row r="302" spans="4:13">
      <c r="D302" s="2" t="s">
        <v>122</v>
      </c>
      <c r="E302" s="2" t="s">
        <v>107</v>
      </c>
      <c r="G302" t="s">
        <v>103</v>
      </c>
      <c r="H302">
        <v>16.66</v>
      </c>
      <c r="J302" s="5"/>
    </row>
    <row r="303" spans="4:13">
      <c r="E303" t="s">
        <v>22</v>
      </c>
      <c r="F303">
        <v>2</v>
      </c>
      <c r="I303">
        <f t="shared" si="18"/>
        <v>3.3319999999999999</v>
      </c>
      <c r="J303" s="5">
        <f t="shared" si="16"/>
        <v>4.3319999999999999</v>
      </c>
      <c r="K303">
        <f>SUM(J303:J305)</f>
        <v>9.9355580000000003</v>
      </c>
      <c r="L303">
        <f>SUM(J303:J304)</f>
        <v>6.9979999999999993</v>
      </c>
      <c r="M303">
        <v>2</v>
      </c>
    </row>
    <row r="304" spans="4:13">
      <c r="D304" s="2"/>
      <c r="E304" t="s">
        <v>73</v>
      </c>
      <c r="F304">
        <v>1</v>
      </c>
      <c r="I304">
        <f t="shared" si="18"/>
        <v>1.6659999999999999</v>
      </c>
      <c r="J304" s="5">
        <f t="shared" si="16"/>
        <v>2.6659999999999999</v>
      </c>
    </row>
    <row r="305" spans="4:13">
      <c r="E305" t="s">
        <v>12</v>
      </c>
      <c r="F305">
        <v>1.163</v>
      </c>
      <c r="I305">
        <f t="shared" si="18"/>
        <v>1.9375579999999999</v>
      </c>
      <c r="J305" s="5">
        <f t="shared" si="16"/>
        <v>2.9375580000000001</v>
      </c>
    </row>
    <row r="306" spans="4:13">
      <c r="D306" s="2"/>
      <c r="J306" s="5"/>
    </row>
    <row r="307" spans="4:13">
      <c r="D307" s="2" t="s">
        <v>122</v>
      </c>
      <c r="E307" s="2" t="s">
        <v>108</v>
      </c>
      <c r="G307" t="s">
        <v>103</v>
      </c>
      <c r="H307">
        <v>16.66</v>
      </c>
      <c r="J307" s="5"/>
    </row>
    <row r="308" spans="4:13">
      <c r="E308" t="s">
        <v>14</v>
      </c>
      <c r="F308">
        <v>4.5</v>
      </c>
      <c r="I308">
        <f t="shared" ref="I308:I318" si="19">(F308*16.66)/10</f>
        <v>7.4969999999999999</v>
      </c>
      <c r="J308" s="5">
        <f t="shared" ref="J308:J318" si="20">I308+1</f>
        <v>8.4969999999999999</v>
      </c>
      <c r="K308">
        <f>SUM(J308:J318)</f>
        <v>53.183119999999995</v>
      </c>
      <c r="L308">
        <f>SUM(J308:J314)</f>
        <v>34.489000000000004</v>
      </c>
      <c r="M308">
        <v>7</v>
      </c>
    </row>
    <row r="309" spans="4:13">
      <c r="E309" t="s">
        <v>109</v>
      </c>
      <c r="F309">
        <v>1</v>
      </c>
      <c r="I309">
        <f t="shared" si="19"/>
        <v>1.6659999999999999</v>
      </c>
      <c r="J309" s="5">
        <f t="shared" si="20"/>
        <v>2.6659999999999999</v>
      </c>
    </row>
    <row r="310" spans="4:13">
      <c r="E310" t="s">
        <v>110</v>
      </c>
      <c r="F310">
        <v>1</v>
      </c>
      <c r="I310">
        <f t="shared" si="19"/>
        <v>1.6659999999999999</v>
      </c>
      <c r="J310" s="5">
        <f t="shared" si="20"/>
        <v>2.6659999999999999</v>
      </c>
    </row>
    <row r="311" spans="4:13">
      <c r="E311" t="s">
        <v>69</v>
      </c>
      <c r="F311">
        <v>4</v>
      </c>
      <c r="I311">
        <f t="shared" si="19"/>
        <v>6.6639999999999997</v>
      </c>
      <c r="J311" s="5">
        <f t="shared" si="20"/>
        <v>7.6639999999999997</v>
      </c>
    </row>
    <row r="312" spans="4:13">
      <c r="D312" s="2"/>
      <c r="E312" t="s">
        <v>75</v>
      </c>
      <c r="F312">
        <v>4</v>
      </c>
      <c r="I312">
        <f t="shared" si="19"/>
        <v>6.6639999999999997</v>
      </c>
      <c r="J312" s="5">
        <f t="shared" si="20"/>
        <v>7.6639999999999997</v>
      </c>
    </row>
    <row r="313" spans="4:13">
      <c r="D313" s="2"/>
      <c r="E313" t="s">
        <v>111</v>
      </c>
      <c r="F313">
        <v>1</v>
      </c>
      <c r="I313">
        <f t="shared" si="19"/>
        <v>1.6659999999999999</v>
      </c>
      <c r="J313" s="5">
        <f t="shared" si="20"/>
        <v>2.6659999999999999</v>
      </c>
    </row>
    <row r="314" spans="4:13">
      <c r="D314" s="2"/>
      <c r="E314" t="s">
        <v>112</v>
      </c>
      <c r="F314">
        <v>1</v>
      </c>
      <c r="I314">
        <f t="shared" si="19"/>
        <v>1.6659999999999999</v>
      </c>
      <c r="J314" s="5">
        <f t="shared" si="20"/>
        <v>2.6659999999999999</v>
      </c>
    </row>
    <row r="315" spans="4:13">
      <c r="D315" s="2"/>
      <c r="E315" t="s">
        <v>12</v>
      </c>
      <c r="F315">
        <v>1.82</v>
      </c>
      <c r="I315">
        <f t="shared" si="19"/>
        <v>3.0321199999999999</v>
      </c>
      <c r="J315" s="5">
        <f t="shared" si="20"/>
        <v>4.0321199999999999</v>
      </c>
    </row>
    <row r="316" spans="4:13">
      <c r="D316" s="2"/>
      <c r="E316" t="s">
        <v>87</v>
      </c>
      <c r="F316">
        <v>1</v>
      </c>
      <c r="I316">
        <f t="shared" si="19"/>
        <v>1.6659999999999999</v>
      </c>
      <c r="J316" s="5">
        <f t="shared" si="20"/>
        <v>2.6659999999999999</v>
      </c>
    </row>
    <row r="317" spans="4:13">
      <c r="D317" s="2"/>
      <c r="E317" t="s">
        <v>143</v>
      </c>
      <c r="F317">
        <v>3</v>
      </c>
      <c r="I317">
        <f t="shared" si="19"/>
        <v>4.9980000000000002</v>
      </c>
      <c r="J317" s="5">
        <f t="shared" si="20"/>
        <v>5.9980000000000002</v>
      </c>
    </row>
    <row r="318" spans="4:13">
      <c r="D318" s="2"/>
      <c r="E318" t="s">
        <v>124</v>
      </c>
      <c r="F318">
        <v>3</v>
      </c>
      <c r="I318">
        <f t="shared" si="19"/>
        <v>4.9980000000000002</v>
      </c>
      <c r="J318" s="5">
        <f t="shared" si="20"/>
        <v>5.9980000000000002</v>
      </c>
    </row>
    <row r="319" spans="4:13">
      <c r="D319" s="2"/>
      <c r="J319" s="5"/>
    </row>
    <row r="320" spans="4:13">
      <c r="D320" s="2" t="s">
        <v>122</v>
      </c>
      <c r="E320" s="2" t="s">
        <v>45</v>
      </c>
      <c r="G320" t="s">
        <v>103</v>
      </c>
      <c r="H320">
        <v>16.66</v>
      </c>
      <c r="J320" s="5"/>
    </row>
    <row r="321" spans="4:13">
      <c r="E321" t="s">
        <v>14</v>
      </c>
      <c r="F321">
        <v>5</v>
      </c>
      <c r="I321">
        <f t="shared" si="18"/>
        <v>8.33</v>
      </c>
      <c r="J321" s="5">
        <f t="shared" si="16"/>
        <v>9.33</v>
      </c>
      <c r="K321">
        <f>SUM(J321:J328)</f>
        <v>41.293343999999998</v>
      </c>
      <c r="L321">
        <f>SUM(J321:J324)</f>
        <v>20.66</v>
      </c>
      <c r="M321">
        <v>4</v>
      </c>
    </row>
    <row r="322" spans="4:13">
      <c r="E322" t="s">
        <v>113</v>
      </c>
      <c r="F322">
        <v>1</v>
      </c>
      <c r="I322">
        <f t="shared" si="18"/>
        <v>1.6659999999999999</v>
      </c>
      <c r="J322" s="5">
        <f t="shared" si="16"/>
        <v>2.6659999999999999</v>
      </c>
    </row>
    <row r="323" spans="4:13">
      <c r="E323" t="s">
        <v>21</v>
      </c>
      <c r="F323">
        <v>2</v>
      </c>
      <c r="I323">
        <f t="shared" si="18"/>
        <v>3.3319999999999999</v>
      </c>
      <c r="J323" s="5">
        <f t="shared" si="16"/>
        <v>4.3319999999999999</v>
      </c>
    </row>
    <row r="324" spans="4:13">
      <c r="D324" s="2"/>
      <c r="E324" t="s">
        <v>75</v>
      </c>
      <c r="F324">
        <v>2</v>
      </c>
      <c r="I324">
        <f t="shared" si="18"/>
        <v>3.3319999999999999</v>
      </c>
      <c r="J324" s="5">
        <f t="shared" si="16"/>
        <v>4.3319999999999999</v>
      </c>
    </row>
    <row r="325" spans="4:13">
      <c r="D325" s="2"/>
      <c r="E325" t="s">
        <v>12</v>
      </c>
      <c r="F325">
        <v>2.3239999999999998</v>
      </c>
      <c r="I325">
        <f t="shared" si="18"/>
        <v>3.8717839999999994</v>
      </c>
      <c r="J325" s="5">
        <f t="shared" si="16"/>
        <v>4.8717839999999999</v>
      </c>
    </row>
    <row r="326" spans="4:13">
      <c r="D326" s="2"/>
      <c r="E326" t="s">
        <v>87</v>
      </c>
      <c r="F326">
        <v>2</v>
      </c>
      <c r="I326">
        <f t="shared" si="18"/>
        <v>3.3319999999999999</v>
      </c>
      <c r="J326" s="5">
        <f t="shared" si="16"/>
        <v>4.3319999999999999</v>
      </c>
    </row>
    <row r="327" spans="4:13">
      <c r="D327" s="2"/>
      <c r="E327" t="s">
        <v>143</v>
      </c>
      <c r="F327">
        <v>2.66</v>
      </c>
      <c r="I327">
        <f t="shared" si="18"/>
        <v>4.4315600000000002</v>
      </c>
      <c r="J327" s="5">
        <f t="shared" si="16"/>
        <v>5.4315600000000002</v>
      </c>
    </row>
    <row r="328" spans="4:13">
      <c r="D328" s="2"/>
      <c r="E328" t="s">
        <v>124</v>
      </c>
      <c r="F328">
        <v>3</v>
      </c>
      <c r="I328">
        <f t="shared" si="18"/>
        <v>4.9980000000000002</v>
      </c>
      <c r="J328" s="5">
        <f t="shared" si="16"/>
        <v>5.9980000000000002</v>
      </c>
    </row>
    <row r="329" spans="4:13">
      <c r="D329" s="2"/>
      <c r="J329" s="5"/>
    </row>
    <row r="330" spans="4:13">
      <c r="D330" s="2" t="s">
        <v>122</v>
      </c>
      <c r="E330" s="2" t="s">
        <v>49</v>
      </c>
      <c r="G330" t="s">
        <v>103</v>
      </c>
      <c r="H330">
        <v>16.66</v>
      </c>
      <c r="J330" s="5"/>
    </row>
    <row r="331" spans="4:13">
      <c r="E331" t="s">
        <v>14</v>
      </c>
      <c r="F331">
        <v>3</v>
      </c>
      <c r="I331">
        <f t="shared" si="18"/>
        <v>4.9980000000000002</v>
      </c>
      <c r="J331" s="5">
        <f t="shared" si="16"/>
        <v>5.9980000000000002</v>
      </c>
      <c r="K331">
        <f>SUM(J331:J336)</f>
        <v>27.907899999999998</v>
      </c>
      <c r="L331">
        <f>SUM(J331:J333)</f>
        <v>12.996</v>
      </c>
      <c r="M331">
        <v>3</v>
      </c>
    </row>
    <row r="332" spans="4:13">
      <c r="E332" t="s">
        <v>21</v>
      </c>
      <c r="F332">
        <v>2</v>
      </c>
      <c r="I332">
        <f t="shared" si="18"/>
        <v>3.3319999999999999</v>
      </c>
      <c r="J332" s="5">
        <f t="shared" si="16"/>
        <v>4.3319999999999999</v>
      </c>
    </row>
    <row r="333" spans="4:13">
      <c r="E333" t="s">
        <v>75</v>
      </c>
      <c r="F333">
        <v>1</v>
      </c>
      <c r="I333">
        <f t="shared" si="18"/>
        <v>1.6659999999999999</v>
      </c>
      <c r="J333" s="5">
        <f t="shared" si="16"/>
        <v>2.6659999999999999</v>
      </c>
    </row>
    <row r="334" spans="4:13">
      <c r="D334" s="2"/>
      <c r="E334" t="s">
        <v>114</v>
      </c>
      <c r="F334">
        <v>1.49</v>
      </c>
      <c r="I334">
        <f t="shared" si="18"/>
        <v>2.4823399999999998</v>
      </c>
      <c r="J334" s="5">
        <f t="shared" si="16"/>
        <v>3.4823399999999998</v>
      </c>
    </row>
    <row r="335" spans="4:13">
      <c r="D335" s="2"/>
      <c r="E335" t="s">
        <v>146</v>
      </c>
      <c r="F335">
        <v>2</v>
      </c>
      <c r="I335">
        <f t="shared" si="18"/>
        <v>3.3319999999999999</v>
      </c>
      <c r="J335" s="5">
        <f t="shared" si="16"/>
        <v>4.3319999999999999</v>
      </c>
    </row>
    <row r="336" spans="4:13">
      <c r="D336" s="2"/>
      <c r="E336" t="s">
        <v>143</v>
      </c>
      <c r="F336">
        <v>3.66</v>
      </c>
      <c r="I336">
        <f t="shared" si="18"/>
        <v>6.0975599999999996</v>
      </c>
      <c r="J336" s="5">
        <f t="shared" si="16"/>
        <v>7.0975599999999996</v>
      </c>
    </row>
    <row r="337" spans="4:13">
      <c r="D337" s="2"/>
      <c r="J337" s="5"/>
    </row>
    <row r="338" spans="4:13">
      <c r="D338" s="2" t="s">
        <v>123</v>
      </c>
      <c r="E338" s="2" t="s">
        <v>88</v>
      </c>
      <c r="G338" t="s">
        <v>115</v>
      </c>
      <c r="H338">
        <v>16</v>
      </c>
      <c r="J338" s="5"/>
    </row>
    <row r="339" spans="4:13">
      <c r="E339" t="s">
        <v>14</v>
      </c>
      <c r="F339">
        <v>10</v>
      </c>
      <c r="I339">
        <f>(F339*16)/10</f>
        <v>16</v>
      </c>
      <c r="J339" s="5">
        <f t="shared" ref="J339:J350" si="21">I339+1</f>
        <v>17</v>
      </c>
      <c r="K339">
        <f>SUM(J339:J350)</f>
        <v>95.9392</v>
      </c>
      <c r="L339">
        <v>41.6</v>
      </c>
      <c r="M339">
        <v>7</v>
      </c>
    </row>
    <row r="340" spans="4:13">
      <c r="E340" t="s">
        <v>116</v>
      </c>
      <c r="F340">
        <v>1</v>
      </c>
      <c r="I340">
        <f t="shared" ref="I340:I350" si="22">(F340*16)/10</f>
        <v>1.6</v>
      </c>
      <c r="J340" s="5">
        <f t="shared" si="21"/>
        <v>2.6</v>
      </c>
    </row>
    <row r="341" spans="4:13">
      <c r="E341" t="s">
        <v>117</v>
      </c>
      <c r="F341">
        <v>1</v>
      </c>
      <c r="I341">
        <f t="shared" si="22"/>
        <v>1.6</v>
      </c>
      <c r="J341" s="5">
        <f t="shared" si="21"/>
        <v>2.6</v>
      </c>
    </row>
    <row r="342" spans="4:13">
      <c r="E342" t="s">
        <v>43</v>
      </c>
      <c r="F342">
        <v>1</v>
      </c>
      <c r="I342">
        <f t="shared" si="22"/>
        <v>1.6</v>
      </c>
      <c r="J342" s="5">
        <f t="shared" si="21"/>
        <v>2.6</v>
      </c>
    </row>
    <row r="343" spans="4:13">
      <c r="E343" t="s">
        <v>21</v>
      </c>
      <c r="F343">
        <v>3</v>
      </c>
      <c r="I343">
        <f t="shared" si="22"/>
        <v>4.8</v>
      </c>
      <c r="J343" s="5">
        <f t="shared" si="21"/>
        <v>5.8</v>
      </c>
    </row>
    <row r="344" spans="4:13">
      <c r="E344" t="s">
        <v>22</v>
      </c>
      <c r="F344">
        <v>3</v>
      </c>
      <c r="I344">
        <f t="shared" si="22"/>
        <v>4.8</v>
      </c>
      <c r="J344" s="5">
        <f t="shared" si="21"/>
        <v>5.8</v>
      </c>
    </row>
    <row r="345" spans="4:13">
      <c r="E345" t="s">
        <v>70</v>
      </c>
      <c r="F345">
        <v>1</v>
      </c>
      <c r="I345">
        <f t="shared" si="22"/>
        <v>1.6</v>
      </c>
      <c r="J345" s="5">
        <f t="shared" si="21"/>
        <v>2.6</v>
      </c>
    </row>
    <row r="346" spans="4:13">
      <c r="E346" t="s">
        <v>12</v>
      </c>
      <c r="F346">
        <v>8.1620000000000008</v>
      </c>
      <c r="I346">
        <f t="shared" si="22"/>
        <v>13.059200000000001</v>
      </c>
      <c r="J346" s="5">
        <f t="shared" si="21"/>
        <v>14.059200000000001</v>
      </c>
    </row>
    <row r="347" spans="4:13">
      <c r="E347" t="s">
        <v>118</v>
      </c>
      <c r="F347">
        <v>1</v>
      </c>
      <c r="I347">
        <f t="shared" si="22"/>
        <v>1.6</v>
      </c>
      <c r="J347" s="5">
        <f t="shared" si="21"/>
        <v>2.6</v>
      </c>
    </row>
    <row r="348" spans="4:13">
      <c r="E348" t="s">
        <v>119</v>
      </c>
      <c r="F348">
        <v>1</v>
      </c>
      <c r="I348">
        <f t="shared" si="22"/>
        <v>1.6</v>
      </c>
      <c r="J348" s="5">
        <f t="shared" si="21"/>
        <v>2.6</v>
      </c>
    </row>
    <row r="349" spans="4:13">
      <c r="E349" t="s">
        <v>143</v>
      </c>
      <c r="F349">
        <v>11.3</v>
      </c>
      <c r="I349">
        <f t="shared" si="22"/>
        <v>18.080000000000002</v>
      </c>
      <c r="J349" s="5">
        <f t="shared" si="21"/>
        <v>19.080000000000002</v>
      </c>
    </row>
    <row r="350" spans="4:13">
      <c r="E350" t="s">
        <v>124</v>
      </c>
      <c r="F350">
        <v>11</v>
      </c>
      <c r="I350">
        <f t="shared" si="22"/>
        <v>17.600000000000001</v>
      </c>
      <c r="J350" s="5">
        <f t="shared" si="21"/>
        <v>18.600000000000001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270C1-75D9-46D9-A747-E5C1D394BBD8}">
  <dimension ref="A1"/>
  <sheetViews>
    <sheetView workbookViewId="0">
      <selection activeCell="A2" sqref="A2"/>
    </sheetView>
  </sheetViews>
  <sheetFormatPr defaultRowHeight="15.75"/>
  <sheetData>
    <row r="1" spans="1:1">
      <c r="A1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3C090-08CF-454F-8103-544A48E1BB40}">
  <dimension ref="A1:L167"/>
  <sheetViews>
    <sheetView zoomScale="84" workbookViewId="0">
      <selection activeCell="A20" sqref="A20"/>
    </sheetView>
  </sheetViews>
  <sheetFormatPr defaultColWidth="11" defaultRowHeight="15.75"/>
  <cols>
    <col min="1" max="1" width="40" customWidth="1"/>
    <col min="2" max="2" width="26.875" customWidth="1"/>
    <col min="3" max="3" width="23.125" customWidth="1"/>
    <col min="4" max="4" width="14.625" customWidth="1"/>
    <col min="5" max="5" width="23.125" customWidth="1"/>
    <col min="6" max="6" width="18.5" customWidth="1"/>
    <col min="7" max="7" width="16" customWidth="1"/>
  </cols>
  <sheetData>
    <row r="1" spans="1:12">
      <c r="A1" t="s">
        <v>132</v>
      </c>
    </row>
    <row r="3" spans="1:12">
      <c r="D3" s="6"/>
      <c r="E3" s="6"/>
      <c r="F3" s="6"/>
      <c r="G3" s="6"/>
    </row>
    <row r="5" spans="1:12">
      <c r="B5" s="9" t="s">
        <v>57</v>
      </c>
      <c r="C5" s="8" t="s">
        <v>129</v>
      </c>
      <c r="D5" s="9"/>
      <c r="E5" s="8"/>
      <c r="F5" s="8"/>
      <c r="G5" s="8"/>
      <c r="H5" s="6"/>
      <c r="I5" s="6"/>
      <c r="J5" s="6"/>
      <c r="K5" s="6"/>
      <c r="L5" s="6"/>
    </row>
    <row r="6" spans="1:12">
      <c r="B6" s="7" t="s">
        <v>4</v>
      </c>
      <c r="C6" s="9" t="s">
        <v>130</v>
      </c>
      <c r="D6" s="8" t="s">
        <v>128</v>
      </c>
      <c r="E6" s="9" t="s">
        <v>131</v>
      </c>
      <c r="F6" s="9" t="s">
        <v>55</v>
      </c>
      <c r="G6" s="9" t="s">
        <v>3</v>
      </c>
      <c r="H6" s="6"/>
      <c r="I6" s="6"/>
      <c r="J6" s="6"/>
      <c r="K6" s="6"/>
      <c r="L6" s="6"/>
    </row>
    <row r="7" spans="1:12">
      <c r="B7" s="14" t="s">
        <v>14</v>
      </c>
      <c r="C7" s="6">
        <v>211.6</v>
      </c>
      <c r="D7">
        <f>C7/2</f>
        <v>105.8</v>
      </c>
      <c r="E7">
        <f>SUM(D7:D25)</f>
        <v>288.93600000000004</v>
      </c>
      <c r="F7">
        <f>SUM(D7:D19)</f>
        <v>155.1</v>
      </c>
      <c r="G7" s="6">
        <v>13</v>
      </c>
      <c r="H7" s="6"/>
      <c r="I7" s="6"/>
      <c r="J7" s="6"/>
      <c r="K7" s="6"/>
      <c r="L7" s="6"/>
    </row>
    <row r="8" spans="1:12">
      <c r="B8" s="6" t="s">
        <v>8</v>
      </c>
      <c r="C8" s="6">
        <v>4.2</v>
      </c>
      <c r="D8">
        <f t="shared" ref="D8:D25" si="0">C8/2</f>
        <v>2.1</v>
      </c>
      <c r="F8" s="6"/>
      <c r="G8" s="6"/>
      <c r="H8" s="6"/>
      <c r="I8" s="6"/>
      <c r="J8" s="6"/>
      <c r="K8" s="6"/>
      <c r="L8" s="6"/>
    </row>
    <row r="9" spans="1:12">
      <c r="B9" s="6" t="s">
        <v>63</v>
      </c>
      <c r="C9" s="6">
        <v>5</v>
      </c>
      <c r="D9">
        <f t="shared" si="0"/>
        <v>2.5</v>
      </c>
      <c r="F9" s="6"/>
      <c r="G9" s="6"/>
      <c r="H9" s="6"/>
      <c r="I9" s="6"/>
      <c r="J9" s="6"/>
      <c r="K9" s="6"/>
      <c r="L9" s="6"/>
    </row>
    <row r="10" spans="1:12">
      <c r="B10" s="14" t="s">
        <v>9</v>
      </c>
      <c r="C10" s="6">
        <v>33.200000000000003</v>
      </c>
      <c r="D10">
        <f t="shared" si="0"/>
        <v>16.600000000000001</v>
      </c>
      <c r="F10" s="6"/>
      <c r="G10" s="6"/>
      <c r="H10" s="6"/>
      <c r="I10" s="6"/>
      <c r="J10" s="6"/>
      <c r="K10" s="6"/>
      <c r="L10" s="6"/>
    </row>
    <row r="11" spans="1:12">
      <c r="B11" s="6" t="s">
        <v>11</v>
      </c>
      <c r="C11" s="6">
        <v>4.2</v>
      </c>
      <c r="D11">
        <f t="shared" si="0"/>
        <v>2.1</v>
      </c>
      <c r="F11" s="6"/>
      <c r="G11" s="6"/>
      <c r="H11" s="6"/>
      <c r="I11" s="6"/>
      <c r="J11" s="6"/>
      <c r="K11" s="6"/>
      <c r="L11" s="6"/>
    </row>
    <row r="12" spans="1:12">
      <c r="B12" s="6" t="s">
        <v>16</v>
      </c>
      <c r="C12" s="6">
        <v>5</v>
      </c>
      <c r="D12">
        <f t="shared" si="0"/>
        <v>2.5</v>
      </c>
      <c r="F12" s="6"/>
      <c r="G12" s="6"/>
      <c r="H12" s="6"/>
      <c r="I12" s="6"/>
      <c r="J12" s="6"/>
      <c r="K12" s="6"/>
      <c r="L12" s="6"/>
    </row>
    <row r="13" spans="1:12">
      <c r="B13" s="6" t="s">
        <v>21</v>
      </c>
      <c r="C13" s="6">
        <v>5</v>
      </c>
      <c r="D13">
        <f t="shared" si="0"/>
        <v>2.5</v>
      </c>
      <c r="F13" s="6"/>
      <c r="G13" s="6"/>
      <c r="H13" s="6"/>
      <c r="I13" s="6"/>
      <c r="J13" s="6"/>
      <c r="K13" s="6"/>
      <c r="L13" s="6"/>
    </row>
    <row r="14" spans="1:12">
      <c r="B14" s="6" t="s">
        <v>64</v>
      </c>
      <c r="C14" s="6">
        <v>5</v>
      </c>
      <c r="D14">
        <f t="shared" si="0"/>
        <v>2.5</v>
      </c>
      <c r="F14" s="6"/>
      <c r="G14" s="6"/>
      <c r="H14" s="6"/>
      <c r="I14" s="6"/>
      <c r="J14" s="6"/>
      <c r="K14" s="6"/>
      <c r="L14" s="6"/>
    </row>
    <row r="15" spans="1:12">
      <c r="B15" s="6" t="s">
        <v>65</v>
      </c>
      <c r="C15" s="6">
        <v>5</v>
      </c>
      <c r="D15">
        <f t="shared" si="0"/>
        <v>2.5</v>
      </c>
      <c r="F15" s="6"/>
      <c r="G15" s="6"/>
      <c r="H15" s="6"/>
      <c r="I15" s="6"/>
      <c r="J15" s="6"/>
      <c r="K15" s="6"/>
      <c r="L15" s="6"/>
    </row>
    <row r="16" spans="1:12">
      <c r="B16" s="6" t="s">
        <v>66</v>
      </c>
      <c r="C16" s="6">
        <v>9</v>
      </c>
      <c r="D16">
        <f t="shared" si="0"/>
        <v>4.5</v>
      </c>
      <c r="F16" s="6"/>
      <c r="G16" s="6"/>
      <c r="H16" s="6"/>
      <c r="I16" s="6"/>
      <c r="J16" s="6"/>
      <c r="K16" s="6"/>
      <c r="L16" s="6"/>
    </row>
    <row r="17" spans="2:12">
      <c r="B17" s="6" t="s">
        <v>68</v>
      </c>
      <c r="C17" s="6">
        <v>5</v>
      </c>
      <c r="D17">
        <f t="shared" si="0"/>
        <v>2.5</v>
      </c>
      <c r="F17" s="6"/>
      <c r="G17" s="6"/>
      <c r="H17" s="6"/>
      <c r="I17" s="6"/>
      <c r="J17" s="6"/>
      <c r="K17" s="6"/>
      <c r="L17" s="6"/>
    </row>
    <row r="18" spans="2:12">
      <c r="B18" s="6" t="s">
        <v>69</v>
      </c>
      <c r="C18" s="6">
        <v>13</v>
      </c>
      <c r="D18">
        <f t="shared" si="0"/>
        <v>6.5</v>
      </c>
      <c r="F18" s="6"/>
      <c r="G18" s="6"/>
      <c r="H18" s="6"/>
      <c r="I18" s="6"/>
      <c r="J18" s="6"/>
      <c r="K18" s="6"/>
      <c r="L18" s="6"/>
    </row>
    <row r="19" spans="2:12">
      <c r="B19" s="6" t="s">
        <v>70</v>
      </c>
      <c r="C19" s="6">
        <v>5</v>
      </c>
      <c r="D19">
        <f t="shared" si="0"/>
        <v>2.5</v>
      </c>
      <c r="F19" s="6"/>
      <c r="G19" s="6"/>
      <c r="H19" s="6"/>
      <c r="I19" s="6"/>
      <c r="J19" s="6"/>
      <c r="K19" s="6"/>
      <c r="L19" s="6"/>
    </row>
    <row r="20" spans="2:12">
      <c r="B20" s="6" t="s">
        <v>67</v>
      </c>
      <c r="C20" s="6">
        <v>13</v>
      </c>
      <c r="D20">
        <f t="shared" si="0"/>
        <v>6.5</v>
      </c>
      <c r="F20" s="6"/>
      <c r="G20" s="6"/>
      <c r="H20" s="6"/>
      <c r="I20" s="6"/>
      <c r="J20" s="6"/>
      <c r="K20" s="6"/>
      <c r="L20" s="6"/>
    </row>
    <row r="21" spans="2:12">
      <c r="B21" s="6" t="s">
        <v>71</v>
      </c>
      <c r="C21" s="6">
        <v>13</v>
      </c>
      <c r="D21">
        <f t="shared" si="0"/>
        <v>6.5</v>
      </c>
      <c r="F21" s="6"/>
      <c r="G21" s="6"/>
      <c r="H21" s="6"/>
      <c r="I21" s="6"/>
      <c r="J21" s="6"/>
      <c r="K21" s="6"/>
      <c r="L21" s="6"/>
    </row>
    <row r="22" spans="2:12">
      <c r="B22" s="14" t="s">
        <v>10</v>
      </c>
      <c r="C22" s="6">
        <v>51.6</v>
      </c>
      <c r="D22">
        <f t="shared" si="0"/>
        <v>25.8</v>
      </c>
      <c r="F22" s="6"/>
      <c r="G22" s="6"/>
      <c r="H22" s="6"/>
      <c r="I22" s="6"/>
      <c r="J22" s="6"/>
      <c r="K22" s="6"/>
      <c r="L22" s="6"/>
    </row>
    <row r="23" spans="2:12">
      <c r="B23" s="14" t="s">
        <v>12</v>
      </c>
      <c r="C23" s="6">
        <v>81.552000000000007</v>
      </c>
      <c r="D23">
        <f t="shared" si="0"/>
        <v>40.776000000000003</v>
      </c>
      <c r="F23" s="6"/>
      <c r="G23" s="6"/>
      <c r="H23" s="6"/>
      <c r="I23" s="6"/>
      <c r="J23" s="6"/>
      <c r="K23" s="6"/>
      <c r="L23" s="6"/>
    </row>
    <row r="24" spans="2:12">
      <c r="B24" s="6" t="s">
        <v>127</v>
      </c>
      <c r="C24" s="6">
        <v>5</v>
      </c>
      <c r="D24">
        <f t="shared" si="0"/>
        <v>2.5</v>
      </c>
      <c r="F24" s="6"/>
      <c r="G24" s="6"/>
      <c r="H24" s="6"/>
      <c r="I24" s="6"/>
      <c r="J24" s="6"/>
      <c r="K24" s="6"/>
      <c r="L24" s="6"/>
    </row>
    <row r="25" spans="2:12">
      <c r="B25" s="14" t="s">
        <v>141</v>
      </c>
      <c r="C25" s="6">
        <v>103.52000000000001</v>
      </c>
      <c r="D25">
        <f t="shared" si="0"/>
        <v>51.760000000000005</v>
      </c>
      <c r="F25" s="6"/>
      <c r="G25" s="6"/>
      <c r="H25" s="6"/>
      <c r="I25" s="6"/>
      <c r="J25" s="6"/>
      <c r="K25" s="6"/>
      <c r="L25" s="6"/>
    </row>
    <row r="26" spans="2:1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2">
      <c r="B27" s="7" t="s">
        <v>13</v>
      </c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>
      <c r="B28" s="14" t="s">
        <v>14</v>
      </c>
      <c r="C28" s="6">
        <v>174.8</v>
      </c>
      <c r="D28">
        <f>C28/2</f>
        <v>87.4</v>
      </c>
      <c r="E28">
        <f>SUM(D28:D47)</f>
        <v>227.78399999999999</v>
      </c>
      <c r="F28" s="6">
        <f>SUM(D28:D40)</f>
        <v>123.19999999999999</v>
      </c>
      <c r="G28" s="6">
        <v>13</v>
      </c>
      <c r="H28" s="6"/>
      <c r="I28" s="6"/>
      <c r="J28" s="6"/>
      <c r="K28" s="6"/>
      <c r="L28" s="6"/>
    </row>
    <row r="29" spans="2:12">
      <c r="B29" s="6" t="s">
        <v>72</v>
      </c>
      <c r="C29" s="6">
        <v>5.8</v>
      </c>
      <c r="D29">
        <f t="shared" ref="D29:D47" si="1">C29/2</f>
        <v>2.9</v>
      </c>
      <c r="E29" s="7"/>
      <c r="F29" s="6"/>
      <c r="G29" s="6"/>
      <c r="H29" s="6"/>
      <c r="I29" s="6"/>
      <c r="J29" s="6"/>
      <c r="K29" s="6"/>
      <c r="L29" s="6"/>
    </row>
    <row r="30" spans="2:12">
      <c r="B30" s="6" t="s">
        <v>50</v>
      </c>
      <c r="C30" s="6">
        <v>2.6</v>
      </c>
      <c r="D30">
        <f t="shared" si="1"/>
        <v>1.3</v>
      </c>
      <c r="E30" s="6"/>
      <c r="F30" s="6"/>
      <c r="G30" s="6"/>
      <c r="H30" s="6"/>
      <c r="I30" s="6"/>
      <c r="J30" s="6"/>
      <c r="K30" s="6"/>
      <c r="L30" s="6"/>
    </row>
    <row r="31" spans="2:12">
      <c r="B31" s="6" t="s">
        <v>22</v>
      </c>
      <c r="C31" s="6">
        <v>2.6</v>
      </c>
      <c r="D31">
        <f t="shared" si="1"/>
        <v>1.3</v>
      </c>
      <c r="E31" s="6"/>
      <c r="F31" s="6"/>
      <c r="G31" s="6"/>
      <c r="H31" s="6"/>
      <c r="I31" s="6"/>
      <c r="J31" s="6"/>
      <c r="K31" s="6"/>
      <c r="L31" s="6"/>
    </row>
    <row r="32" spans="2:12">
      <c r="B32" s="6" t="s">
        <v>73</v>
      </c>
      <c r="C32" s="6">
        <v>2.6</v>
      </c>
      <c r="D32">
        <f t="shared" si="1"/>
        <v>1.3</v>
      </c>
      <c r="E32" s="6"/>
      <c r="F32" s="6"/>
      <c r="G32" s="6"/>
      <c r="H32" s="6"/>
      <c r="I32" s="6"/>
      <c r="J32" s="6"/>
      <c r="K32" s="6"/>
      <c r="L32" s="6"/>
    </row>
    <row r="33" spans="2:12">
      <c r="B33" s="6" t="s">
        <v>74</v>
      </c>
      <c r="C33" s="6">
        <v>2.6</v>
      </c>
      <c r="D33">
        <f t="shared" si="1"/>
        <v>1.3</v>
      </c>
      <c r="E33" s="6"/>
      <c r="F33" s="6"/>
      <c r="G33" s="6"/>
      <c r="H33" s="6"/>
      <c r="I33" s="6"/>
      <c r="J33" s="6"/>
      <c r="K33" s="6"/>
      <c r="L33" s="6"/>
    </row>
    <row r="34" spans="2:12">
      <c r="B34" s="14" t="s">
        <v>9</v>
      </c>
      <c r="C34" s="6">
        <v>29.2</v>
      </c>
      <c r="D34">
        <f t="shared" si="1"/>
        <v>14.6</v>
      </c>
      <c r="E34" s="6"/>
      <c r="F34" s="6"/>
      <c r="G34" s="6"/>
      <c r="H34" s="6"/>
      <c r="I34" s="6"/>
      <c r="J34" s="6"/>
      <c r="K34" s="6"/>
      <c r="L34" s="6"/>
    </row>
    <row r="35" spans="2:12">
      <c r="B35" s="6" t="s">
        <v>15</v>
      </c>
      <c r="C35" s="6">
        <v>4.2</v>
      </c>
      <c r="D35">
        <f t="shared" si="1"/>
        <v>2.1</v>
      </c>
      <c r="E35" s="6"/>
      <c r="F35" s="6"/>
      <c r="G35" s="6"/>
      <c r="H35" s="6"/>
      <c r="I35" s="6"/>
      <c r="J35" s="6"/>
      <c r="K35" s="6"/>
      <c r="L35" s="6"/>
    </row>
    <row r="36" spans="2:12">
      <c r="B36" s="6" t="s">
        <v>65</v>
      </c>
      <c r="C36" s="6">
        <v>5.8</v>
      </c>
      <c r="D36">
        <f t="shared" si="1"/>
        <v>2.9</v>
      </c>
      <c r="E36" s="6"/>
      <c r="F36" s="6"/>
      <c r="G36" s="6"/>
      <c r="H36" s="6"/>
      <c r="I36" s="6"/>
      <c r="J36" s="6"/>
      <c r="K36" s="6"/>
      <c r="L36" s="6"/>
    </row>
    <row r="37" spans="2:12">
      <c r="B37" s="6" t="s">
        <v>75</v>
      </c>
      <c r="C37" s="6">
        <v>2.6</v>
      </c>
      <c r="D37">
        <f t="shared" si="1"/>
        <v>1.3</v>
      </c>
      <c r="E37" s="6"/>
      <c r="F37" s="6"/>
      <c r="G37" s="6"/>
      <c r="H37" s="6"/>
      <c r="I37" s="6"/>
      <c r="J37" s="6"/>
      <c r="K37" s="6"/>
      <c r="L37" s="6"/>
    </row>
    <row r="38" spans="2:12">
      <c r="B38" s="14" t="s">
        <v>17</v>
      </c>
      <c r="C38" s="6">
        <v>6.8000000000000007</v>
      </c>
      <c r="D38">
        <f t="shared" si="1"/>
        <v>3.4000000000000004</v>
      </c>
      <c r="E38" s="6"/>
      <c r="F38" s="6"/>
      <c r="G38" s="6"/>
      <c r="H38" s="6"/>
      <c r="I38" s="6"/>
      <c r="J38" s="6"/>
      <c r="K38" s="6"/>
      <c r="L38" s="6"/>
    </row>
    <row r="39" spans="2:12">
      <c r="B39" s="6" t="s">
        <v>76</v>
      </c>
      <c r="C39" s="6">
        <v>2.6</v>
      </c>
      <c r="D39">
        <f t="shared" si="1"/>
        <v>1.3</v>
      </c>
      <c r="E39" s="6"/>
      <c r="F39" s="6"/>
      <c r="G39" s="6"/>
      <c r="H39" s="6"/>
      <c r="I39" s="6"/>
      <c r="J39" s="6"/>
      <c r="K39" s="6"/>
      <c r="L39" s="6"/>
    </row>
    <row r="40" spans="2:12">
      <c r="B40" s="6" t="s">
        <v>16</v>
      </c>
      <c r="C40" s="6">
        <v>4.2</v>
      </c>
      <c r="D40">
        <f t="shared" si="1"/>
        <v>2.1</v>
      </c>
      <c r="E40" s="6"/>
      <c r="F40" s="6"/>
      <c r="G40" s="6"/>
      <c r="H40" s="6"/>
      <c r="I40" s="6"/>
      <c r="J40" s="6"/>
      <c r="K40" s="6"/>
      <c r="L40" s="6"/>
    </row>
    <row r="41" spans="2:12">
      <c r="B41" s="14" t="s">
        <v>77</v>
      </c>
      <c r="C41" s="6">
        <v>2.6</v>
      </c>
      <c r="D41">
        <f t="shared" si="1"/>
        <v>1.3</v>
      </c>
      <c r="E41" s="6"/>
      <c r="F41" s="6"/>
      <c r="G41" s="6"/>
      <c r="H41" s="6"/>
      <c r="I41" s="6"/>
      <c r="J41" s="6"/>
      <c r="K41" s="6"/>
      <c r="L41" s="6"/>
    </row>
    <row r="42" spans="2:12">
      <c r="B42" s="6" t="s">
        <v>78</v>
      </c>
      <c r="C42" s="6">
        <v>2.6</v>
      </c>
      <c r="D42">
        <f t="shared" si="1"/>
        <v>1.3</v>
      </c>
      <c r="E42" s="6"/>
      <c r="F42" s="6"/>
      <c r="G42" s="6"/>
      <c r="H42" s="6"/>
      <c r="I42" s="6"/>
      <c r="J42" s="6"/>
      <c r="K42" s="6"/>
      <c r="L42" s="6"/>
    </row>
    <row r="43" spans="2:12">
      <c r="B43" s="6" t="s">
        <v>79</v>
      </c>
      <c r="C43" s="6">
        <v>2.6</v>
      </c>
      <c r="D43">
        <f t="shared" si="1"/>
        <v>1.3</v>
      </c>
      <c r="E43" s="6"/>
      <c r="F43" s="6"/>
      <c r="G43" s="6"/>
      <c r="H43" s="6"/>
      <c r="I43" s="6"/>
      <c r="J43" s="6"/>
      <c r="K43" s="6"/>
      <c r="L43" s="6"/>
    </row>
    <row r="44" spans="2:12">
      <c r="B44" s="14" t="s">
        <v>141</v>
      </c>
      <c r="C44" s="6">
        <v>99.056000000000012</v>
      </c>
      <c r="D44">
        <f t="shared" si="1"/>
        <v>49.528000000000006</v>
      </c>
      <c r="E44" s="6"/>
      <c r="F44" s="6"/>
      <c r="G44" s="6"/>
      <c r="H44" s="6"/>
      <c r="I44" s="6"/>
      <c r="J44" s="6"/>
      <c r="K44" s="6"/>
      <c r="L44" s="6"/>
    </row>
    <row r="45" spans="2:12">
      <c r="B45" s="6" t="s">
        <v>10</v>
      </c>
      <c r="C45" s="6">
        <v>2.6</v>
      </c>
      <c r="D45">
        <f t="shared" si="1"/>
        <v>1.3</v>
      </c>
      <c r="E45" s="6"/>
      <c r="F45" s="6"/>
      <c r="G45" s="6"/>
      <c r="H45" s="6"/>
      <c r="I45" s="6"/>
      <c r="J45" s="6"/>
      <c r="K45" s="6"/>
      <c r="L45" s="6"/>
    </row>
    <row r="46" spans="2:12">
      <c r="B46" s="14" t="s">
        <v>12</v>
      </c>
      <c r="C46" s="6">
        <v>75.311999999999998</v>
      </c>
      <c r="D46">
        <f t="shared" si="1"/>
        <v>37.655999999999999</v>
      </c>
      <c r="E46" s="6"/>
      <c r="F46" s="6"/>
      <c r="G46" s="6"/>
      <c r="H46" s="6"/>
      <c r="I46" s="6"/>
      <c r="J46" s="6"/>
      <c r="K46" s="6"/>
      <c r="L46" s="6"/>
    </row>
    <row r="47" spans="2:12">
      <c r="B47" s="14" t="s">
        <v>124</v>
      </c>
      <c r="C47" s="6">
        <v>24.4</v>
      </c>
      <c r="D47">
        <f t="shared" si="1"/>
        <v>12.2</v>
      </c>
      <c r="E47" s="6"/>
      <c r="F47" s="6"/>
      <c r="G47" s="6"/>
      <c r="H47" s="6"/>
      <c r="I47" s="6"/>
      <c r="J47" s="6"/>
      <c r="K47" s="6"/>
      <c r="L47" s="6"/>
    </row>
    <row r="48" spans="2:1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>
      <c r="B49" s="7" t="s">
        <v>18</v>
      </c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2:12">
      <c r="B50" s="14" t="s">
        <v>14</v>
      </c>
      <c r="C50" s="6">
        <v>60.4</v>
      </c>
      <c r="D50" s="6">
        <f>C50/2</f>
        <v>30.2</v>
      </c>
      <c r="E50">
        <f>SUM(D50:D56)</f>
        <v>106.08799999999999</v>
      </c>
      <c r="F50">
        <f>SUM(D50:D53)</f>
        <v>37.299999999999997</v>
      </c>
      <c r="G50" s="6">
        <v>4</v>
      </c>
      <c r="H50" s="6"/>
      <c r="I50" s="6"/>
      <c r="J50" s="6"/>
      <c r="K50" s="6"/>
      <c r="L50" s="6"/>
    </row>
    <row r="51" spans="2:12">
      <c r="B51" s="6" t="s">
        <v>9</v>
      </c>
      <c r="C51" s="6">
        <v>4.2</v>
      </c>
      <c r="D51" s="6">
        <f t="shared" ref="D51:D56" si="2">C51/2</f>
        <v>2.1</v>
      </c>
      <c r="E51" s="6"/>
      <c r="F51" s="6"/>
      <c r="G51" s="6"/>
      <c r="H51" s="6"/>
      <c r="I51" s="6"/>
      <c r="J51" s="6"/>
      <c r="K51" s="6"/>
      <c r="L51" s="6"/>
    </row>
    <row r="52" spans="2:12">
      <c r="B52" s="6" t="s">
        <v>28</v>
      </c>
      <c r="C52" s="6">
        <v>5</v>
      </c>
      <c r="D52" s="6">
        <f t="shared" si="2"/>
        <v>2.5</v>
      </c>
      <c r="E52" s="6"/>
      <c r="F52" s="6"/>
      <c r="G52" s="6"/>
      <c r="H52" s="6"/>
      <c r="I52" s="6"/>
      <c r="J52" s="6"/>
      <c r="K52" s="6"/>
      <c r="L52" s="6"/>
    </row>
    <row r="53" spans="2:12">
      <c r="B53" s="6" t="s">
        <v>65</v>
      </c>
      <c r="C53" s="6">
        <v>5</v>
      </c>
      <c r="D53" s="6">
        <f t="shared" si="2"/>
        <v>2.5</v>
      </c>
      <c r="E53" s="6"/>
      <c r="F53" s="6"/>
      <c r="G53" s="6"/>
      <c r="H53" s="6"/>
      <c r="I53" s="6"/>
      <c r="J53" s="6"/>
      <c r="K53" s="6"/>
      <c r="L53" s="6"/>
    </row>
    <row r="54" spans="2:12">
      <c r="B54" s="14" t="s">
        <v>12</v>
      </c>
      <c r="C54" s="6">
        <v>66.831999999999994</v>
      </c>
      <c r="D54" s="6">
        <f t="shared" si="2"/>
        <v>33.415999999999997</v>
      </c>
      <c r="E54" s="6"/>
      <c r="F54" s="6"/>
      <c r="G54" s="6"/>
      <c r="H54" s="6"/>
      <c r="I54" s="6"/>
      <c r="J54" s="6"/>
      <c r="K54" s="6"/>
      <c r="L54" s="6"/>
    </row>
    <row r="55" spans="2:12">
      <c r="B55" s="14" t="s">
        <v>141</v>
      </c>
      <c r="C55" s="6">
        <v>53.744</v>
      </c>
      <c r="D55" s="6">
        <f t="shared" si="2"/>
        <v>26.872</v>
      </c>
      <c r="E55" s="6"/>
      <c r="F55" s="6"/>
      <c r="G55" s="6"/>
      <c r="H55" s="6"/>
      <c r="I55" s="6"/>
      <c r="J55" s="6"/>
      <c r="K55" s="6"/>
      <c r="L55" s="6"/>
    </row>
    <row r="56" spans="2:12">
      <c r="B56" s="14" t="s">
        <v>124</v>
      </c>
      <c r="C56" s="6">
        <v>17</v>
      </c>
      <c r="D56" s="6">
        <f t="shared" si="2"/>
        <v>8.5</v>
      </c>
      <c r="E56" s="6"/>
      <c r="F56" s="6"/>
      <c r="G56" s="6"/>
      <c r="H56" s="6"/>
      <c r="I56" s="6"/>
      <c r="J56" s="6"/>
      <c r="K56" s="6"/>
      <c r="L56" s="6"/>
    </row>
    <row r="57" spans="2:1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>
      <c r="B58" s="7" t="s">
        <v>19</v>
      </c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>
      <c r="B59" s="14" t="s">
        <v>7</v>
      </c>
      <c r="C59" s="6">
        <v>118</v>
      </c>
      <c r="D59" s="6">
        <v>59</v>
      </c>
      <c r="E59" s="6">
        <v>170.95999999999998</v>
      </c>
      <c r="F59" s="6">
        <v>75.5</v>
      </c>
      <c r="G59" s="6">
        <v>5</v>
      </c>
      <c r="H59" s="6"/>
      <c r="I59" s="6"/>
      <c r="J59" s="6"/>
      <c r="K59" s="6"/>
      <c r="L59" s="6"/>
    </row>
    <row r="60" spans="2:12">
      <c r="B60" s="14" t="s">
        <v>21</v>
      </c>
      <c r="C60" s="6">
        <v>18</v>
      </c>
      <c r="D60" s="6">
        <v>9</v>
      </c>
      <c r="E60" s="6"/>
      <c r="F60" s="6"/>
      <c r="G60" s="6"/>
      <c r="H60" s="6"/>
      <c r="I60" s="6"/>
      <c r="J60" s="6"/>
      <c r="K60" s="6"/>
      <c r="L60" s="6"/>
    </row>
    <row r="61" spans="2:12">
      <c r="B61" s="6" t="s">
        <v>22</v>
      </c>
      <c r="C61" s="6">
        <v>5</v>
      </c>
      <c r="D61" s="6">
        <v>2.5</v>
      </c>
      <c r="E61" s="6"/>
      <c r="F61" s="6"/>
      <c r="G61" s="6"/>
      <c r="H61" s="6"/>
      <c r="I61" s="6"/>
      <c r="J61" s="6"/>
      <c r="K61" s="6"/>
      <c r="L61" s="6"/>
    </row>
    <row r="62" spans="2:12">
      <c r="B62" s="6" t="s">
        <v>65</v>
      </c>
      <c r="C62" s="6">
        <v>5</v>
      </c>
      <c r="D62" s="6">
        <v>2.5</v>
      </c>
      <c r="E62" s="6"/>
      <c r="F62" s="6"/>
      <c r="G62" s="6"/>
      <c r="H62" s="6"/>
      <c r="I62" s="6"/>
      <c r="J62" s="6"/>
      <c r="K62" s="6"/>
      <c r="L62" s="6"/>
    </row>
    <row r="63" spans="2:12">
      <c r="B63" s="6" t="s">
        <v>23</v>
      </c>
      <c r="C63" s="6">
        <v>5</v>
      </c>
      <c r="D63" s="6">
        <v>2.5</v>
      </c>
      <c r="E63" s="6"/>
      <c r="F63" s="6"/>
      <c r="G63" s="6"/>
      <c r="H63" s="6"/>
      <c r="I63" s="6"/>
      <c r="J63" s="6"/>
      <c r="K63" s="6"/>
      <c r="L63" s="6"/>
    </row>
    <row r="64" spans="2:12">
      <c r="B64" s="14" t="s">
        <v>12</v>
      </c>
      <c r="C64" s="6">
        <v>34.519999999999996</v>
      </c>
      <c r="D64" s="6">
        <v>17.259999999999998</v>
      </c>
      <c r="E64" s="6"/>
      <c r="F64" s="6"/>
      <c r="G64" s="6"/>
      <c r="H64" s="6"/>
      <c r="I64" s="6"/>
      <c r="J64" s="6"/>
      <c r="K64" s="6"/>
      <c r="L64" s="6"/>
    </row>
    <row r="65" spans="2:12">
      <c r="B65" s="6" t="s">
        <v>24</v>
      </c>
      <c r="C65" s="6">
        <v>5</v>
      </c>
      <c r="D65" s="6">
        <v>2.5</v>
      </c>
      <c r="E65" s="6"/>
      <c r="F65" s="6"/>
      <c r="G65" s="6"/>
      <c r="H65" s="6"/>
      <c r="I65" s="6"/>
      <c r="J65" s="6"/>
      <c r="K65" s="6"/>
      <c r="L65" s="6"/>
    </row>
    <row r="66" spans="2:12">
      <c r="B66" s="6" t="s">
        <v>10</v>
      </c>
      <c r="C66" s="6">
        <v>5</v>
      </c>
      <c r="D66" s="6">
        <v>2.5</v>
      </c>
      <c r="E66" s="6"/>
      <c r="F66" s="6"/>
      <c r="G66" s="6"/>
      <c r="H66" s="6"/>
      <c r="I66" s="6"/>
      <c r="J66" s="6"/>
      <c r="K66" s="6"/>
      <c r="L66" s="6"/>
    </row>
    <row r="67" spans="2:12">
      <c r="B67" s="14" t="s">
        <v>147</v>
      </c>
      <c r="C67" s="6">
        <v>104.4</v>
      </c>
      <c r="D67" s="6">
        <v>52.2</v>
      </c>
      <c r="E67" s="6"/>
      <c r="F67" s="6"/>
      <c r="G67" s="6"/>
      <c r="H67" s="6"/>
      <c r="I67" s="6"/>
      <c r="J67" s="6"/>
      <c r="K67" s="6"/>
      <c r="L67" s="6"/>
    </row>
    <row r="68" spans="2:12">
      <c r="B68" s="6" t="s">
        <v>25</v>
      </c>
      <c r="C68" s="6">
        <v>5</v>
      </c>
      <c r="D68" s="6">
        <v>2.5</v>
      </c>
      <c r="E68" s="6"/>
      <c r="F68" s="6"/>
      <c r="G68" s="6"/>
      <c r="H68" s="6"/>
      <c r="I68" s="6"/>
      <c r="J68" s="6"/>
      <c r="K68" s="6"/>
      <c r="L68" s="6"/>
    </row>
    <row r="69" spans="2:12">
      <c r="B69" s="14" t="s">
        <v>124</v>
      </c>
      <c r="C69" s="6">
        <v>37</v>
      </c>
      <c r="D69" s="6">
        <v>18.5</v>
      </c>
      <c r="E69" s="6"/>
      <c r="F69" s="6"/>
      <c r="G69" s="6"/>
      <c r="H69" s="6"/>
      <c r="I69" s="6"/>
      <c r="J69" s="6"/>
      <c r="K69" s="6"/>
      <c r="L69" s="6"/>
    </row>
    <row r="70" spans="2:1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>
      <c r="B71" s="7" t="s">
        <v>27</v>
      </c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2:12">
      <c r="B72" s="6" t="s">
        <v>7</v>
      </c>
      <c r="C72" s="6">
        <v>43</v>
      </c>
      <c r="D72" s="6">
        <v>21.5</v>
      </c>
      <c r="E72" s="6">
        <v>80.663999999999987</v>
      </c>
      <c r="F72" s="6">
        <v>76.399999999999991</v>
      </c>
      <c r="G72" s="6">
        <v>7</v>
      </c>
      <c r="H72" s="6"/>
      <c r="I72" s="6"/>
      <c r="J72" s="6"/>
      <c r="K72" s="6"/>
      <c r="L72" s="6"/>
    </row>
    <row r="73" spans="2:12">
      <c r="B73" s="6" t="s">
        <v>28</v>
      </c>
      <c r="C73" s="6">
        <v>5</v>
      </c>
      <c r="D73" s="6">
        <v>2.5</v>
      </c>
      <c r="E73" s="6"/>
      <c r="F73" s="6"/>
      <c r="G73" s="6"/>
      <c r="H73" s="6"/>
      <c r="I73" s="6"/>
      <c r="J73" s="6"/>
      <c r="K73" s="6"/>
      <c r="L73" s="6"/>
    </row>
    <row r="74" spans="2:12">
      <c r="B74" s="6" t="s">
        <v>29</v>
      </c>
      <c r="C74" s="6">
        <v>5</v>
      </c>
      <c r="D74" s="6">
        <v>2.5</v>
      </c>
      <c r="E74" s="6"/>
      <c r="F74" s="6"/>
      <c r="G74" s="6"/>
      <c r="H74" s="6"/>
      <c r="I74" s="6"/>
      <c r="J74" s="6"/>
      <c r="K74" s="6"/>
      <c r="L74" s="6"/>
    </row>
    <row r="75" spans="2:12">
      <c r="B75" s="6" t="s">
        <v>16</v>
      </c>
      <c r="C75" s="6">
        <v>5</v>
      </c>
      <c r="D75" s="6">
        <v>2.5</v>
      </c>
      <c r="E75" s="6"/>
      <c r="F75" s="6"/>
      <c r="G75" s="6"/>
      <c r="H75" s="6"/>
      <c r="I75" s="6"/>
      <c r="J75" s="6"/>
      <c r="K75" s="6"/>
      <c r="L75" s="6"/>
    </row>
    <row r="76" spans="2:12">
      <c r="B76" s="14" t="s">
        <v>22</v>
      </c>
      <c r="C76" s="6">
        <v>13.2</v>
      </c>
      <c r="D76" s="6">
        <v>6.6</v>
      </c>
      <c r="E76" s="6"/>
      <c r="F76" s="6"/>
      <c r="G76" s="6"/>
      <c r="H76" s="6"/>
      <c r="I76" s="6"/>
      <c r="J76" s="6"/>
      <c r="K76" s="6"/>
      <c r="L76" s="6"/>
    </row>
    <row r="77" spans="2:12">
      <c r="B77" s="6" t="s">
        <v>82</v>
      </c>
      <c r="C77" s="6">
        <v>2.6</v>
      </c>
      <c r="D77" s="6">
        <v>1.3</v>
      </c>
      <c r="E77" s="6"/>
      <c r="F77" s="6"/>
      <c r="G77" s="6"/>
      <c r="H77" s="6"/>
      <c r="I77" s="6"/>
      <c r="J77" s="6"/>
      <c r="K77" s="6"/>
      <c r="L77" s="6"/>
    </row>
    <row r="78" spans="2:12">
      <c r="B78" s="6" t="s">
        <v>83</v>
      </c>
      <c r="C78" s="6">
        <v>2.6</v>
      </c>
      <c r="D78" s="6">
        <v>1.3</v>
      </c>
      <c r="E78" s="6"/>
      <c r="F78" s="6"/>
      <c r="G78" s="6"/>
      <c r="H78" s="6"/>
      <c r="I78" s="6"/>
      <c r="J78" s="6"/>
      <c r="K78" s="6"/>
      <c r="L78" s="6"/>
    </row>
    <row r="79" spans="2:12">
      <c r="B79" s="14" t="s">
        <v>12</v>
      </c>
      <c r="C79" s="6">
        <v>29.648</v>
      </c>
      <c r="D79" s="6">
        <v>14.824</v>
      </c>
      <c r="E79" s="6"/>
      <c r="F79" s="6"/>
      <c r="G79" s="6"/>
      <c r="H79" s="6"/>
      <c r="I79" s="6"/>
      <c r="J79" s="6"/>
      <c r="K79" s="6"/>
      <c r="L79" s="6"/>
    </row>
    <row r="80" spans="2:12">
      <c r="B80" s="14" t="s">
        <v>141</v>
      </c>
      <c r="C80" s="6">
        <v>55.28</v>
      </c>
      <c r="D80" s="6">
        <v>27.64</v>
      </c>
      <c r="E80" s="6"/>
      <c r="F80" s="6"/>
      <c r="G80" s="6"/>
      <c r="H80" s="6"/>
      <c r="I80" s="6"/>
      <c r="J80" s="6"/>
      <c r="K80" s="6"/>
      <c r="L80" s="6"/>
    </row>
    <row r="81" spans="2:1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>
      <c r="B82" s="7" t="s">
        <v>30</v>
      </c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>
      <c r="B83" s="14" t="s">
        <v>7</v>
      </c>
      <c r="C83" s="6">
        <v>97.2</v>
      </c>
      <c r="D83" s="6">
        <v>48.6</v>
      </c>
      <c r="E83" s="6">
        <v>91.78</v>
      </c>
      <c r="F83" s="6">
        <v>68.699999999999989</v>
      </c>
      <c r="G83" s="6">
        <v>10</v>
      </c>
      <c r="H83" s="6"/>
      <c r="I83" s="6"/>
      <c r="J83" s="6"/>
      <c r="K83" s="6"/>
      <c r="L83" s="6"/>
    </row>
    <row r="84" spans="2:12">
      <c r="B84" s="6" t="s">
        <v>31</v>
      </c>
      <c r="C84" s="6">
        <v>5</v>
      </c>
      <c r="D84" s="6">
        <v>2.5</v>
      </c>
      <c r="E84" s="6"/>
      <c r="F84" s="6"/>
      <c r="G84" s="6"/>
      <c r="H84" s="6"/>
      <c r="I84" s="6"/>
      <c r="J84" s="6"/>
      <c r="K84" s="6"/>
      <c r="L84" s="6"/>
    </row>
    <row r="85" spans="2:12">
      <c r="B85" s="6" t="s">
        <v>29</v>
      </c>
      <c r="C85" s="6">
        <v>5</v>
      </c>
      <c r="D85" s="6">
        <v>2.5</v>
      </c>
      <c r="E85" s="6"/>
      <c r="F85" s="6"/>
      <c r="G85" s="6"/>
      <c r="H85" s="6"/>
      <c r="I85" s="6"/>
      <c r="J85" s="6"/>
      <c r="K85" s="6"/>
      <c r="L85" s="6"/>
    </row>
    <row r="86" spans="2:12">
      <c r="B86" s="6" t="s">
        <v>21</v>
      </c>
      <c r="C86" s="6">
        <v>2.6</v>
      </c>
      <c r="D86" s="6">
        <v>1.3</v>
      </c>
      <c r="E86" s="6"/>
      <c r="F86" s="6"/>
      <c r="G86" s="6"/>
      <c r="H86" s="6"/>
      <c r="I86" s="6"/>
      <c r="J86" s="6"/>
      <c r="K86" s="6"/>
      <c r="L86" s="6"/>
    </row>
    <row r="87" spans="2:12">
      <c r="B87" s="6" t="s">
        <v>72</v>
      </c>
      <c r="C87" s="6">
        <v>2.6</v>
      </c>
      <c r="D87" s="6">
        <v>1.3</v>
      </c>
      <c r="E87" s="6"/>
      <c r="F87" s="6"/>
      <c r="G87" s="6"/>
      <c r="H87" s="6"/>
      <c r="I87" s="6"/>
      <c r="J87" s="6"/>
      <c r="K87" s="6"/>
      <c r="L87" s="6"/>
    </row>
    <row r="88" spans="2:12">
      <c r="B88" s="6" t="s">
        <v>16</v>
      </c>
      <c r="C88" s="6">
        <v>5</v>
      </c>
      <c r="D88" s="6">
        <v>2.5</v>
      </c>
      <c r="E88" s="6"/>
      <c r="F88" s="6"/>
      <c r="G88" s="6"/>
      <c r="H88" s="6"/>
      <c r="I88" s="6"/>
      <c r="J88" s="6"/>
      <c r="K88" s="6"/>
      <c r="L88" s="6"/>
    </row>
    <row r="89" spans="2:12">
      <c r="B89" s="6" t="s">
        <v>22</v>
      </c>
      <c r="C89" s="6">
        <v>5</v>
      </c>
      <c r="D89" s="6">
        <v>2.5</v>
      </c>
      <c r="E89" s="6"/>
      <c r="F89" s="6"/>
      <c r="G89" s="6"/>
      <c r="H89" s="6"/>
      <c r="I89" s="6"/>
      <c r="J89" s="6"/>
      <c r="K89" s="6"/>
      <c r="L89" s="6"/>
    </row>
    <row r="90" spans="2:12">
      <c r="B90" s="6" t="s">
        <v>32</v>
      </c>
      <c r="C90" s="6">
        <v>5</v>
      </c>
      <c r="D90" s="6">
        <v>2.5</v>
      </c>
      <c r="E90" s="6"/>
      <c r="F90" s="6"/>
      <c r="G90" s="6"/>
      <c r="H90" s="6"/>
      <c r="I90" s="6"/>
      <c r="J90" s="6"/>
      <c r="K90" s="6"/>
      <c r="L90" s="6"/>
    </row>
    <row r="91" spans="2:12">
      <c r="B91" s="6" t="s">
        <v>33</v>
      </c>
      <c r="C91" s="6">
        <v>5</v>
      </c>
      <c r="D91" s="6">
        <v>2.5</v>
      </c>
      <c r="E91" s="6"/>
      <c r="F91" s="6"/>
      <c r="G91" s="6"/>
      <c r="H91" s="6"/>
      <c r="I91" s="6"/>
      <c r="J91" s="6"/>
      <c r="K91" s="6"/>
      <c r="L91" s="6"/>
    </row>
    <row r="92" spans="2:12">
      <c r="B92" s="6" t="s">
        <v>23</v>
      </c>
      <c r="C92" s="6">
        <v>5</v>
      </c>
      <c r="D92" s="6">
        <v>2.5</v>
      </c>
      <c r="E92" s="6"/>
      <c r="F92" s="6"/>
      <c r="G92" s="6"/>
      <c r="H92" s="6"/>
      <c r="I92" s="6"/>
      <c r="J92" s="6"/>
      <c r="K92" s="6"/>
      <c r="L92" s="6"/>
    </row>
    <row r="93" spans="2:12">
      <c r="B93" s="14" t="s">
        <v>12</v>
      </c>
      <c r="C93" s="6">
        <v>22.96</v>
      </c>
      <c r="D93" s="6">
        <v>11.48</v>
      </c>
      <c r="E93" s="6"/>
      <c r="F93" s="6"/>
      <c r="G93" s="6"/>
      <c r="H93" s="6"/>
      <c r="I93" s="6"/>
      <c r="J93" s="6"/>
      <c r="K93" s="6"/>
      <c r="L93" s="6"/>
    </row>
    <row r="94" spans="2:12">
      <c r="B94" s="14" t="s">
        <v>143</v>
      </c>
      <c r="C94" s="6">
        <v>23.200000000000003</v>
      </c>
      <c r="D94" s="6">
        <v>11.600000000000001</v>
      </c>
      <c r="E94" s="6"/>
      <c r="F94" s="6"/>
      <c r="G94" s="6"/>
      <c r="H94" s="6"/>
      <c r="I94" s="6"/>
      <c r="J94" s="6"/>
      <c r="K94" s="6"/>
      <c r="L94" s="6"/>
    </row>
    <row r="95" spans="2:1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2">
      <c r="B96" s="7" t="s">
        <v>34</v>
      </c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2">
      <c r="B97" s="14" t="s">
        <v>7</v>
      </c>
      <c r="C97" s="6">
        <v>57.2</v>
      </c>
      <c r="D97" s="6">
        <v>28.6</v>
      </c>
      <c r="E97" s="6">
        <v>72.231999999999999</v>
      </c>
      <c r="F97" s="6">
        <v>36.199999999999996</v>
      </c>
      <c r="G97" s="6">
        <v>5</v>
      </c>
      <c r="H97" s="6"/>
      <c r="I97" s="6"/>
      <c r="J97" s="6"/>
      <c r="K97" s="6"/>
      <c r="L97" s="6"/>
    </row>
    <row r="98" spans="2:12">
      <c r="B98" s="6" t="s">
        <v>21</v>
      </c>
      <c r="C98" s="6">
        <v>5</v>
      </c>
      <c r="D98" s="6">
        <v>2.5</v>
      </c>
      <c r="E98" s="6"/>
      <c r="F98" s="6"/>
      <c r="G98" s="6"/>
      <c r="H98" s="6"/>
      <c r="I98" s="6"/>
      <c r="J98" s="6"/>
      <c r="K98" s="6"/>
      <c r="L98" s="6"/>
    </row>
    <row r="99" spans="2:12">
      <c r="B99" s="6" t="s">
        <v>9</v>
      </c>
      <c r="C99" s="6">
        <v>5</v>
      </c>
      <c r="D99" s="6">
        <v>2.5</v>
      </c>
      <c r="E99" s="6"/>
      <c r="F99" s="6"/>
      <c r="G99" s="6"/>
      <c r="H99" s="6"/>
      <c r="I99" s="6"/>
      <c r="J99" s="6"/>
      <c r="K99" s="6"/>
      <c r="L99" s="6"/>
    </row>
    <row r="100" spans="2:12">
      <c r="B100" s="6" t="s">
        <v>65</v>
      </c>
      <c r="C100" s="6">
        <v>2.6</v>
      </c>
      <c r="D100" s="6">
        <v>1.3</v>
      </c>
      <c r="E100" s="6"/>
      <c r="F100" s="6"/>
      <c r="G100" s="6"/>
      <c r="H100" s="6"/>
      <c r="I100" s="6"/>
      <c r="J100" s="6"/>
      <c r="K100" s="6"/>
      <c r="L100" s="6"/>
    </row>
    <row r="101" spans="2:12">
      <c r="B101" s="6" t="s">
        <v>84</v>
      </c>
      <c r="C101" s="6">
        <v>2.6</v>
      </c>
      <c r="D101" s="6">
        <v>1.3</v>
      </c>
      <c r="E101" s="6"/>
      <c r="F101" s="6"/>
      <c r="G101" s="6"/>
      <c r="H101" s="6"/>
      <c r="I101" s="6"/>
      <c r="J101" s="6"/>
      <c r="K101" s="6"/>
      <c r="L101" s="6"/>
    </row>
    <row r="102" spans="2:12">
      <c r="B102" s="14" t="s">
        <v>12</v>
      </c>
      <c r="C102" s="6">
        <v>35.263999999999996</v>
      </c>
      <c r="D102" s="6">
        <v>17.631999999999998</v>
      </c>
      <c r="E102" s="6"/>
      <c r="F102" s="6"/>
      <c r="G102" s="6"/>
      <c r="H102" s="6"/>
      <c r="I102" s="6"/>
      <c r="J102" s="6"/>
      <c r="K102" s="6"/>
      <c r="L102" s="6"/>
    </row>
    <row r="103" spans="2:12">
      <c r="B103" s="6" t="s">
        <v>143</v>
      </c>
      <c r="C103" s="6">
        <v>19.8</v>
      </c>
      <c r="D103" s="6">
        <v>9.9</v>
      </c>
      <c r="E103" s="6"/>
      <c r="F103" s="6"/>
      <c r="G103" s="6"/>
      <c r="H103" s="6"/>
      <c r="I103" s="6"/>
      <c r="J103" s="6"/>
      <c r="K103" s="6"/>
      <c r="L103" s="6"/>
    </row>
    <row r="104" spans="2:12">
      <c r="B104" s="6" t="s">
        <v>124</v>
      </c>
      <c r="C104" s="6">
        <v>17</v>
      </c>
      <c r="D104" s="6">
        <v>8.5</v>
      </c>
      <c r="E104" s="6"/>
      <c r="F104" s="6"/>
      <c r="G104" s="6"/>
      <c r="H104" s="6"/>
      <c r="I104" s="6"/>
      <c r="J104" s="6"/>
      <c r="K104" s="6"/>
      <c r="L104" s="6"/>
    </row>
    <row r="105" spans="2:1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2">
      <c r="B106" s="7" t="s">
        <v>35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2">
      <c r="B107" s="14" t="s">
        <v>7</v>
      </c>
      <c r="C107" s="6">
        <v>52.4</v>
      </c>
      <c r="D107" s="6">
        <v>26.2</v>
      </c>
      <c r="E107" s="6">
        <v>105.428</v>
      </c>
      <c r="F107" s="6">
        <v>41.2</v>
      </c>
      <c r="G107" s="6">
        <v>7</v>
      </c>
      <c r="H107" s="6"/>
      <c r="I107" s="6"/>
      <c r="J107" s="6"/>
      <c r="K107" s="6"/>
      <c r="L107" s="6"/>
    </row>
    <row r="108" spans="2:12">
      <c r="B108" s="6" t="s">
        <v>36</v>
      </c>
      <c r="C108" s="6">
        <v>7.4</v>
      </c>
      <c r="D108" s="6">
        <v>3.7</v>
      </c>
      <c r="E108" s="6"/>
      <c r="F108" s="6"/>
      <c r="G108" s="6"/>
      <c r="H108" s="6"/>
      <c r="I108" s="6"/>
      <c r="J108" s="6"/>
      <c r="K108" s="6"/>
      <c r="L108" s="6"/>
    </row>
    <row r="109" spans="2:12">
      <c r="B109" s="6" t="s">
        <v>33</v>
      </c>
      <c r="C109" s="6">
        <v>2.6</v>
      </c>
      <c r="D109" s="6">
        <v>1.3</v>
      </c>
      <c r="E109" s="6"/>
      <c r="F109" s="6"/>
      <c r="G109" s="6"/>
      <c r="H109" s="6"/>
      <c r="I109" s="6"/>
      <c r="J109" s="6"/>
      <c r="K109" s="6"/>
      <c r="L109" s="6"/>
    </row>
    <row r="110" spans="2:12">
      <c r="B110" s="6" t="s">
        <v>37</v>
      </c>
      <c r="C110" s="6">
        <v>7.4</v>
      </c>
      <c r="D110" s="6">
        <v>3.7</v>
      </c>
      <c r="E110" s="6"/>
      <c r="F110" s="6"/>
      <c r="G110" s="6"/>
      <c r="H110" s="6"/>
      <c r="I110" s="6"/>
      <c r="J110" s="6"/>
      <c r="K110" s="6"/>
      <c r="L110" s="6"/>
    </row>
    <row r="111" spans="2:12">
      <c r="B111" s="6" t="s">
        <v>38</v>
      </c>
      <c r="C111" s="6">
        <v>4.2</v>
      </c>
      <c r="D111" s="6">
        <v>2.1</v>
      </c>
      <c r="E111" s="6"/>
      <c r="F111" s="6"/>
      <c r="G111" s="6"/>
      <c r="H111" s="6"/>
      <c r="I111" s="6"/>
      <c r="J111" s="6"/>
      <c r="K111" s="6"/>
      <c r="L111" s="6"/>
    </row>
    <row r="112" spans="2:12">
      <c r="B112" s="6" t="s">
        <v>39</v>
      </c>
      <c r="C112" s="6">
        <v>4.2</v>
      </c>
      <c r="D112" s="6">
        <v>2.1</v>
      </c>
      <c r="E112" s="6"/>
      <c r="F112" s="6"/>
      <c r="G112" s="6"/>
      <c r="H112" s="6"/>
      <c r="I112" s="6"/>
      <c r="J112" s="6"/>
      <c r="K112" s="6"/>
      <c r="L112" s="6"/>
    </row>
    <row r="113" spans="2:12">
      <c r="B113" s="6" t="s">
        <v>40</v>
      </c>
      <c r="C113" s="6">
        <v>4.2</v>
      </c>
      <c r="D113" s="6">
        <v>2.1</v>
      </c>
      <c r="E113" s="6"/>
      <c r="F113" s="6"/>
      <c r="G113" s="6"/>
      <c r="H113" s="6"/>
      <c r="I113" s="6"/>
      <c r="J113" s="6"/>
      <c r="K113" s="6"/>
      <c r="L113" s="6"/>
    </row>
    <row r="114" spans="2:12">
      <c r="B114" s="14" t="s">
        <v>12</v>
      </c>
      <c r="C114" s="6">
        <v>35.536000000000001</v>
      </c>
      <c r="D114" s="6">
        <v>17.768000000000001</v>
      </c>
      <c r="E114" s="6"/>
      <c r="F114" s="6"/>
      <c r="G114" s="6"/>
      <c r="H114" s="6"/>
      <c r="I114" s="6"/>
      <c r="J114" s="6"/>
      <c r="K114" s="6"/>
      <c r="L114" s="6"/>
    </row>
    <row r="115" spans="2:12">
      <c r="B115" s="14" t="s">
        <v>143</v>
      </c>
      <c r="C115" s="6">
        <v>72.72</v>
      </c>
      <c r="D115" s="6">
        <v>36.36</v>
      </c>
      <c r="E115" s="6"/>
      <c r="F115" s="6"/>
      <c r="G115" s="6"/>
      <c r="H115" s="6"/>
      <c r="I115" s="6"/>
      <c r="J115" s="6"/>
      <c r="K115" s="6"/>
      <c r="L115" s="6"/>
    </row>
    <row r="116" spans="2:12">
      <c r="B116" s="6" t="s">
        <v>124</v>
      </c>
      <c r="C116" s="6">
        <v>20.2</v>
      </c>
      <c r="D116" s="6">
        <v>10.1</v>
      </c>
      <c r="E116" s="6"/>
      <c r="F116" s="6"/>
      <c r="G116" s="6"/>
      <c r="H116" s="6"/>
      <c r="I116" s="6"/>
      <c r="J116" s="6"/>
      <c r="K116" s="6"/>
      <c r="L116" s="6"/>
    </row>
    <row r="117" spans="2:1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2:12">
      <c r="B118" s="7" t="s">
        <v>126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2:12">
      <c r="B119" s="14" t="s">
        <v>7</v>
      </c>
      <c r="C119" s="6">
        <v>30</v>
      </c>
      <c r="D119" s="6">
        <v>15</v>
      </c>
      <c r="E119" s="6">
        <v>31.128499999999999</v>
      </c>
      <c r="F119" s="6">
        <v>21.8</v>
      </c>
      <c r="G119" s="6">
        <v>4</v>
      </c>
      <c r="H119" s="6"/>
      <c r="I119" s="6"/>
      <c r="J119" s="6"/>
      <c r="K119" s="6"/>
      <c r="L119" s="6"/>
    </row>
    <row r="120" spans="2:12">
      <c r="B120" s="14" t="s">
        <v>9</v>
      </c>
      <c r="C120" s="6">
        <v>6.8000000000000007</v>
      </c>
      <c r="D120" s="6">
        <v>3.4000000000000004</v>
      </c>
      <c r="E120" s="6"/>
      <c r="F120" s="6"/>
      <c r="G120" s="6"/>
      <c r="H120" s="6"/>
      <c r="I120" s="6"/>
      <c r="J120" s="6"/>
      <c r="K120" s="6"/>
      <c r="L120" s="6"/>
    </row>
    <row r="121" spans="2:12">
      <c r="B121" s="6" t="s">
        <v>41</v>
      </c>
      <c r="C121" s="6">
        <v>4.2</v>
      </c>
      <c r="D121" s="6">
        <v>2.1</v>
      </c>
      <c r="E121" s="6"/>
      <c r="F121" s="6"/>
      <c r="G121" s="6"/>
      <c r="H121" s="6"/>
      <c r="I121" s="6"/>
      <c r="J121" s="6"/>
      <c r="K121" s="6"/>
      <c r="L121" s="6"/>
    </row>
    <row r="122" spans="2:12">
      <c r="B122" s="6" t="s">
        <v>39</v>
      </c>
      <c r="C122" s="6">
        <v>2.6</v>
      </c>
      <c r="D122" s="6">
        <v>1.3</v>
      </c>
      <c r="E122" s="6"/>
      <c r="F122" s="6"/>
      <c r="G122" s="6"/>
      <c r="H122" s="6"/>
      <c r="I122" s="6"/>
      <c r="J122" s="6"/>
      <c r="K122" s="6"/>
      <c r="L122" s="6"/>
    </row>
    <row r="123" spans="2:12">
      <c r="B123" s="14" t="s">
        <v>12</v>
      </c>
      <c r="C123" s="6">
        <v>5.9769999999999994</v>
      </c>
      <c r="D123" s="6">
        <v>2.9884999999999997</v>
      </c>
      <c r="E123" s="6"/>
      <c r="F123" s="6"/>
      <c r="G123" s="6"/>
      <c r="H123" s="6"/>
      <c r="I123" s="6"/>
      <c r="J123" s="6"/>
      <c r="K123" s="6"/>
      <c r="L123" s="6"/>
    </row>
    <row r="124" spans="2:12">
      <c r="B124" s="6" t="s">
        <v>147</v>
      </c>
      <c r="C124" s="6">
        <v>12.68</v>
      </c>
      <c r="D124" s="6">
        <v>6.34</v>
      </c>
      <c r="E124" s="6"/>
      <c r="F124" s="6"/>
      <c r="G124" s="6"/>
      <c r="H124" s="6"/>
      <c r="I124" s="6"/>
      <c r="J124" s="6"/>
      <c r="K124" s="6"/>
      <c r="L124" s="6"/>
    </row>
    <row r="125" spans="2:1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7" t="s">
        <v>42</v>
      </c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>
      <c r="B127" s="14" t="s">
        <v>7</v>
      </c>
      <c r="C127" s="6">
        <v>62</v>
      </c>
      <c r="D127" s="6">
        <v>31</v>
      </c>
      <c r="E127" s="6">
        <v>91.18</v>
      </c>
      <c r="F127" s="6">
        <v>46.800000000000004</v>
      </c>
      <c r="G127" s="6">
        <v>7</v>
      </c>
      <c r="H127" s="6"/>
      <c r="I127" s="6"/>
      <c r="J127" s="6"/>
      <c r="K127" s="6"/>
      <c r="L127" s="6"/>
    </row>
    <row r="128" spans="2:12">
      <c r="B128" s="6" t="s">
        <v>43</v>
      </c>
      <c r="C128" s="6">
        <v>4.2</v>
      </c>
      <c r="D128" s="6">
        <v>2.1</v>
      </c>
      <c r="E128" s="6"/>
      <c r="F128" s="6"/>
      <c r="G128" s="6"/>
      <c r="H128" s="6"/>
      <c r="I128" s="6"/>
      <c r="J128" s="6"/>
      <c r="K128" s="6"/>
      <c r="L128" s="6"/>
    </row>
    <row r="129" spans="2:12">
      <c r="B129" s="6" t="s">
        <v>44</v>
      </c>
      <c r="C129" s="6">
        <v>4.2</v>
      </c>
      <c r="D129" s="6">
        <v>2.1</v>
      </c>
      <c r="E129" s="6"/>
      <c r="F129" s="6"/>
      <c r="G129" s="6"/>
      <c r="H129" s="6"/>
      <c r="I129" s="6"/>
      <c r="J129" s="6"/>
      <c r="K129" s="6"/>
      <c r="L129" s="6"/>
    </row>
    <row r="130" spans="2:12">
      <c r="B130" s="6" t="s">
        <v>9</v>
      </c>
      <c r="C130" s="6">
        <v>4.2</v>
      </c>
      <c r="D130" s="6">
        <v>2.1</v>
      </c>
      <c r="E130" s="6"/>
      <c r="F130" s="6"/>
      <c r="G130" s="6"/>
      <c r="H130" s="6"/>
      <c r="I130" s="6"/>
      <c r="J130" s="6"/>
      <c r="K130" s="6"/>
      <c r="L130" s="6"/>
    </row>
    <row r="131" spans="2:12">
      <c r="B131" s="6" t="s">
        <v>85</v>
      </c>
      <c r="C131" s="6">
        <v>5</v>
      </c>
      <c r="D131" s="6">
        <v>2.5</v>
      </c>
      <c r="E131" s="6"/>
      <c r="F131" s="6"/>
      <c r="G131" s="6"/>
      <c r="H131" s="6"/>
      <c r="I131" s="6"/>
      <c r="J131" s="6"/>
      <c r="K131" s="6"/>
      <c r="L131" s="6"/>
    </row>
    <row r="132" spans="2:12">
      <c r="B132" s="6" t="s">
        <v>86</v>
      </c>
      <c r="C132" s="6">
        <v>5</v>
      </c>
      <c r="D132" s="6">
        <v>2.5</v>
      </c>
      <c r="E132" s="6"/>
      <c r="F132" s="6"/>
      <c r="G132" s="6"/>
      <c r="H132" s="6"/>
      <c r="I132" s="6"/>
      <c r="J132" s="6"/>
      <c r="K132" s="6"/>
      <c r="L132" s="6"/>
    </row>
    <row r="133" spans="2:12">
      <c r="B133" s="14" t="s">
        <v>9</v>
      </c>
      <c r="C133" s="6">
        <v>9</v>
      </c>
      <c r="D133" s="6">
        <v>4.5</v>
      </c>
      <c r="E133" s="6"/>
      <c r="F133" s="6"/>
      <c r="G133" s="6"/>
      <c r="H133" s="6"/>
      <c r="I133" s="6"/>
      <c r="J133" s="6"/>
      <c r="K133" s="6"/>
      <c r="L133" s="6"/>
    </row>
    <row r="134" spans="2:12">
      <c r="B134" s="6" t="s">
        <v>12</v>
      </c>
      <c r="C134" s="6">
        <v>3.5999999999999996</v>
      </c>
      <c r="D134" s="6">
        <v>1.7999999999999998</v>
      </c>
      <c r="E134" s="6"/>
      <c r="F134" s="6"/>
      <c r="G134" s="6"/>
      <c r="H134" s="6"/>
      <c r="I134" s="6"/>
      <c r="J134" s="6"/>
      <c r="K134" s="6"/>
      <c r="L134" s="6"/>
    </row>
    <row r="135" spans="2:12">
      <c r="B135" s="14" t="s">
        <v>141</v>
      </c>
      <c r="C135" s="6">
        <v>55.76</v>
      </c>
      <c r="D135" s="6">
        <v>27.88</v>
      </c>
      <c r="E135" s="6"/>
      <c r="F135" s="6"/>
      <c r="G135" s="6"/>
      <c r="H135" s="6"/>
      <c r="I135" s="6"/>
      <c r="J135" s="6"/>
      <c r="K135" s="6"/>
      <c r="L135" s="6"/>
    </row>
    <row r="136" spans="2:12">
      <c r="B136" s="6" t="s">
        <v>148</v>
      </c>
      <c r="C136" s="6">
        <v>9</v>
      </c>
      <c r="D136" s="6">
        <v>4.5</v>
      </c>
      <c r="E136" s="6"/>
      <c r="F136" s="6"/>
      <c r="G136" s="6"/>
      <c r="H136" s="6"/>
      <c r="I136" s="6"/>
      <c r="J136" s="6"/>
      <c r="K136" s="6"/>
      <c r="L136" s="6"/>
    </row>
    <row r="137" spans="2:12">
      <c r="B137" s="14" t="s">
        <v>124</v>
      </c>
      <c r="C137" s="6">
        <v>20.399999999999999</v>
      </c>
      <c r="D137" s="6">
        <v>10.199999999999999</v>
      </c>
      <c r="E137" s="6"/>
      <c r="F137" s="6"/>
      <c r="G137" s="6"/>
      <c r="H137" s="6"/>
      <c r="I137" s="6"/>
      <c r="J137" s="6"/>
      <c r="K137" s="6"/>
      <c r="L137" s="6"/>
    </row>
    <row r="138" spans="2:1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>
      <c r="B139" s="7" t="s">
        <v>45</v>
      </c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2:12">
      <c r="B140" s="14" t="s">
        <v>7</v>
      </c>
      <c r="C140" s="6">
        <v>75.2</v>
      </c>
      <c r="D140" s="6">
        <v>37.6</v>
      </c>
      <c r="E140" s="6">
        <v>114.916</v>
      </c>
      <c r="F140" s="6">
        <v>56.1</v>
      </c>
      <c r="G140" s="6">
        <v>9</v>
      </c>
      <c r="H140" s="6"/>
      <c r="I140" s="6"/>
      <c r="J140" s="6"/>
      <c r="K140" s="6"/>
      <c r="L140" s="6"/>
    </row>
    <row r="141" spans="2:12">
      <c r="B141" s="6" t="s">
        <v>21</v>
      </c>
      <c r="C141" s="6">
        <v>4.2</v>
      </c>
      <c r="D141" s="6">
        <v>2.1</v>
      </c>
      <c r="E141" s="6"/>
      <c r="F141" s="6"/>
      <c r="G141" s="6"/>
      <c r="H141" s="6"/>
      <c r="I141" s="6"/>
      <c r="J141" s="6"/>
      <c r="K141" s="6"/>
      <c r="L141" s="6"/>
    </row>
    <row r="142" spans="2:12">
      <c r="B142" s="6" t="s">
        <v>46</v>
      </c>
      <c r="C142" s="6">
        <v>4.2</v>
      </c>
      <c r="D142" s="6">
        <v>2.1</v>
      </c>
      <c r="E142" s="6"/>
      <c r="F142" s="6"/>
      <c r="G142" s="6"/>
      <c r="H142" s="6"/>
      <c r="I142" s="6"/>
      <c r="J142" s="6"/>
      <c r="K142" s="6"/>
      <c r="L142" s="6"/>
    </row>
    <row r="143" spans="2:12">
      <c r="B143" s="6" t="s">
        <v>47</v>
      </c>
      <c r="C143" s="6">
        <v>4.2</v>
      </c>
      <c r="D143" s="6">
        <v>2.1</v>
      </c>
      <c r="E143" s="6"/>
      <c r="F143" s="6"/>
      <c r="G143" s="6"/>
      <c r="H143" s="6"/>
      <c r="I143" s="6"/>
      <c r="J143" s="6"/>
      <c r="K143" s="6"/>
      <c r="L143" s="6"/>
    </row>
    <row r="144" spans="2:12">
      <c r="B144" s="14" t="s">
        <v>9</v>
      </c>
      <c r="C144" s="6">
        <v>9.1999999999999993</v>
      </c>
      <c r="D144" s="6">
        <v>4.5999999999999996</v>
      </c>
      <c r="E144" s="6"/>
      <c r="F144" s="6"/>
      <c r="G144" s="6"/>
      <c r="H144" s="6"/>
      <c r="I144" s="6"/>
      <c r="J144" s="6"/>
      <c r="K144" s="6"/>
      <c r="L144" s="6"/>
    </row>
    <row r="145" spans="2:12">
      <c r="B145" s="6" t="s">
        <v>43</v>
      </c>
      <c r="C145" s="6">
        <v>5</v>
      </c>
      <c r="D145" s="6">
        <v>2.5</v>
      </c>
      <c r="E145" s="6"/>
      <c r="F145" s="6"/>
      <c r="G145" s="6"/>
      <c r="H145" s="6"/>
      <c r="I145" s="6"/>
      <c r="J145" s="6"/>
      <c r="K145" s="6"/>
      <c r="L145" s="6"/>
    </row>
    <row r="146" spans="2:12">
      <c r="B146" s="6" t="s">
        <v>17</v>
      </c>
      <c r="C146" s="6">
        <v>5</v>
      </c>
      <c r="D146" s="6">
        <v>2.5</v>
      </c>
      <c r="E146" s="6"/>
      <c r="F146" s="6"/>
      <c r="G146" s="6"/>
      <c r="H146" s="6"/>
      <c r="I146" s="6"/>
      <c r="J146" s="6"/>
      <c r="K146" s="6"/>
      <c r="L146" s="6"/>
    </row>
    <row r="147" spans="2:12">
      <c r="B147" s="6" t="s">
        <v>48</v>
      </c>
      <c r="C147" s="6">
        <v>2.6</v>
      </c>
      <c r="D147" s="6">
        <v>1.3</v>
      </c>
      <c r="E147" s="6"/>
      <c r="F147" s="6"/>
      <c r="G147" s="6"/>
      <c r="H147" s="6"/>
      <c r="I147" s="6"/>
      <c r="J147" s="6"/>
      <c r="K147" s="6"/>
      <c r="L147" s="6"/>
    </row>
    <row r="148" spans="2:12">
      <c r="B148" s="6" t="s">
        <v>33</v>
      </c>
      <c r="C148" s="6">
        <v>2.6</v>
      </c>
      <c r="D148" s="6">
        <v>1.3</v>
      </c>
      <c r="E148" s="6"/>
      <c r="F148" s="6"/>
      <c r="G148" s="6"/>
      <c r="H148" s="6"/>
      <c r="I148" s="6"/>
      <c r="J148" s="6"/>
      <c r="K148" s="6"/>
      <c r="L148" s="6"/>
    </row>
    <row r="149" spans="2:12">
      <c r="B149" s="6" t="s">
        <v>10</v>
      </c>
      <c r="C149" s="6">
        <v>4.2</v>
      </c>
      <c r="D149" s="6">
        <v>2.1</v>
      </c>
      <c r="E149" s="6"/>
      <c r="F149" s="6"/>
      <c r="G149" s="6"/>
      <c r="H149" s="6"/>
      <c r="I149" s="6"/>
      <c r="J149" s="6"/>
      <c r="K149" s="6"/>
      <c r="L149" s="6"/>
    </row>
    <row r="150" spans="2:12">
      <c r="B150" s="14" t="s">
        <v>12</v>
      </c>
      <c r="C150" s="6">
        <v>22.431999999999999</v>
      </c>
      <c r="D150" s="6">
        <v>11.215999999999999</v>
      </c>
      <c r="E150" s="6"/>
      <c r="F150" s="6"/>
      <c r="G150" s="6"/>
      <c r="H150" s="6"/>
      <c r="I150" s="6"/>
      <c r="J150" s="6"/>
      <c r="K150" s="6"/>
      <c r="L150" s="6"/>
    </row>
    <row r="151" spans="2:12">
      <c r="B151" s="14" t="s">
        <v>141</v>
      </c>
      <c r="C151" s="6">
        <v>58</v>
      </c>
      <c r="D151" s="6">
        <v>29</v>
      </c>
      <c r="E151" s="6"/>
      <c r="F151" s="6"/>
      <c r="G151" s="6"/>
      <c r="H151" s="6"/>
      <c r="I151" s="6"/>
      <c r="J151" s="6"/>
      <c r="K151" s="6"/>
      <c r="L151" s="6"/>
    </row>
    <row r="152" spans="2:12">
      <c r="B152" s="6" t="s">
        <v>124</v>
      </c>
      <c r="C152" s="6">
        <v>33</v>
      </c>
      <c r="D152" s="6">
        <v>16.5</v>
      </c>
      <c r="E152" s="6"/>
      <c r="F152" s="6"/>
      <c r="G152" s="6"/>
      <c r="H152" s="6"/>
      <c r="I152" s="6"/>
      <c r="J152" s="6"/>
      <c r="K152" s="6"/>
      <c r="L152" s="6"/>
    </row>
    <row r="153" spans="2:1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2:12">
      <c r="B154" s="7" t="s">
        <v>49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2:12">
      <c r="B155" s="14" t="s">
        <v>7</v>
      </c>
      <c r="C155" s="6">
        <v>46</v>
      </c>
      <c r="D155" s="6">
        <v>23</v>
      </c>
      <c r="E155" s="6">
        <v>71.7</v>
      </c>
      <c r="F155" s="6">
        <v>25.1</v>
      </c>
      <c r="G155" s="6">
        <v>2</v>
      </c>
      <c r="H155" s="6"/>
      <c r="I155" s="6"/>
      <c r="J155" s="6"/>
      <c r="K155" s="6"/>
      <c r="L155" s="6"/>
    </row>
    <row r="156" spans="2:12">
      <c r="B156" s="6" t="s">
        <v>50</v>
      </c>
      <c r="C156" s="6">
        <v>4.2</v>
      </c>
      <c r="D156" s="6">
        <v>2.1</v>
      </c>
      <c r="E156" s="6"/>
      <c r="F156" s="6"/>
      <c r="G156" s="6"/>
      <c r="H156" s="6"/>
      <c r="I156" s="6"/>
      <c r="J156" s="6"/>
      <c r="K156" s="6"/>
      <c r="L156" s="6"/>
    </row>
    <row r="157" spans="2:12">
      <c r="B157" s="6" t="s">
        <v>12</v>
      </c>
      <c r="C157" s="6">
        <v>62.04</v>
      </c>
      <c r="D157" s="6">
        <v>31.02</v>
      </c>
      <c r="E157" s="6"/>
      <c r="F157" s="6"/>
      <c r="G157" s="6"/>
      <c r="H157" s="6"/>
      <c r="I157" s="6"/>
      <c r="J157" s="6"/>
      <c r="K157" s="6"/>
      <c r="L157" s="6"/>
    </row>
    <row r="158" spans="2:12">
      <c r="B158" s="14" t="s">
        <v>141</v>
      </c>
      <c r="C158" s="6">
        <v>20.560000000000002</v>
      </c>
      <c r="D158" s="6">
        <v>10.280000000000001</v>
      </c>
      <c r="E158" s="6"/>
      <c r="F158" s="6"/>
      <c r="G158" s="6"/>
      <c r="H158" s="6"/>
      <c r="I158" s="6"/>
      <c r="J158" s="6"/>
      <c r="K158" s="6"/>
      <c r="L158" s="6"/>
    </row>
    <row r="159" spans="2:12">
      <c r="B159" s="6" t="s">
        <v>124</v>
      </c>
      <c r="C159" s="6">
        <v>10.6</v>
      </c>
      <c r="D159" s="6">
        <v>5.3</v>
      </c>
      <c r="E159" s="6"/>
      <c r="F159" s="6"/>
      <c r="G159" s="6"/>
      <c r="H159" s="6"/>
      <c r="I159" s="6"/>
      <c r="J159" s="6"/>
      <c r="K159" s="6"/>
      <c r="L159" s="6"/>
    </row>
    <row r="160" spans="2:1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2:12">
      <c r="B161" s="7" t="s">
        <v>51</v>
      </c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2:12">
      <c r="B162" s="14" t="s">
        <v>7</v>
      </c>
      <c r="C162" s="6">
        <v>12.4</v>
      </c>
      <c r="D162" s="6">
        <v>6.2</v>
      </c>
      <c r="E162" s="6">
        <v>36.834400000000002</v>
      </c>
      <c r="F162" s="6">
        <v>8.3000000000000007</v>
      </c>
      <c r="G162" s="6">
        <v>2</v>
      </c>
      <c r="H162" s="6"/>
      <c r="I162" s="6"/>
      <c r="J162" s="6"/>
      <c r="K162" s="6"/>
      <c r="L162" s="6"/>
    </row>
    <row r="163" spans="2:12">
      <c r="B163" s="6" t="s">
        <v>39</v>
      </c>
      <c r="C163" s="6">
        <v>4.2</v>
      </c>
      <c r="D163" s="6">
        <v>2.1</v>
      </c>
      <c r="E163" s="6"/>
      <c r="F163" s="6"/>
      <c r="G163" s="6"/>
      <c r="H163" s="6"/>
      <c r="I163" s="6"/>
      <c r="J163" s="6"/>
      <c r="K163" s="6"/>
      <c r="L163" s="6"/>
    </row>
    <row r="164" spans="2:12">
      <c r="B164" s="14" t="s">
        <v>12</v>
      </c>
      <c r="C164" s="6">
        <v>17.7088</v>
      </c>
      <c r="D164" s="6">
        <v>8.8544</v>
      </c>
      <c r="E164" s="6"/>
      <c r="F164" s="6"/>
      <c r="G164" s="6"/>
      <c r="H164" s="6"/>
      <c r="I164" s="6"/>
      <c r="J164" s="6"/>
      <c r="K164" s="6"/>
      <c r="L164" s="6"/>
    </row>
    <row r="165" spans="2:12">
      <c r="B165" s="14" t="s">
        <v>141</v>
      </c>
      <c r="C165" s="6">
        <v>25.36</v>
      </c>
      <c r="D165" s="6">
        <v>12.68</v>
      </c>
      <c r="E165" s="6"/>
      <c r="F165" s="6"/>
      <c r="G165" s="6"/>
      <c r="H165" s="6"/>
      <c r="I165" s="6"/>
      <c r="J165" s="6"/>
      <c r="K165" s="6"/>
      <c r="L165" s="6"/>
    </row>
    <row r="166" spans="2:12">
      <c r="B166" s="6" t="s">
        <v>89</v>
      </c>
      <c r="C166" s="6">
        <v>9</v>
      </c>
      <c r="D166" s="6">
        <v>4.5</v>
      </c>
      <c r="E166" s="6"/>
      <c r="F166" s="6"/>
      <c r="G166" s="6"/>
      <c r="H166" s="6"/>
      <c r="I166" s="6"/>
      <c r="J166" s="6"/>
      <c r="K166" s="6"/>
      <c r="L166" s="6"/>
    </row>
    <row r="167" spans="2:12">
      <c r="B167" s="6" t="s">
        <v>124</v>
      </c>
      <c r="C167" s="6">
        <v>5</v>
      </c>
      <c r="D167" s="6">
        <v>2.5</v>
      </c>
      <c r="E167" s="6"/>
      <c r="F167" s="6"/>
      <c r="G167" s="6"/>
      <c r="H167" s="6"/>
      <c r="I167" s="6"/>
      <c r="J167" s="6"/>
      <c r="K167" s="6"/>
      <c r="L167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9FF5-886C-7147-9C7F-BE404311EFF3}">
  <dimension ref="A1:I167"/>
  <sheetViews>
    <sheetView topLeftCell="C1" workbookViewId="0">
      <selection activeCell="I6" sqref="I6"/>
    </sheetView>
  </sheetViews>
  <sheetFormatPr defaultColWidth="11" defaultRowHeight="15.75"/>
  <cols>
    <col min="1" max="1" width="26" customWidth="1"/>
    <col min="2" max="2" width="28" customWidth="1"/>
    <col min="3" max="3" width="14.375" customWidth="1"/>
    <col min="7" max="7" width="23.125" customWidth="1"/>
  </cols>
  <sheetData>
    <row r="1" spans="1:9" ht="18.75">
      <c r="A1" s="18" t="s">
        <v>139</v>
      </c>
    </row>
    <row r="2" spans="1:9">
      <c r="B2" s="12" t="s">
        <v>135</v>
      </c>
      <c r="G2" s="12" t="s">
        <v>135</v>
      </c>
    </row>
    <row r="3" spans="1:9">
      <c r="B3" s="8" t="s">
        <v>137</v>
      </c>
      <c r="F3" s="2"/>
      <c r="G3" s="8" t="s">
        <v>138</v>
      </c>
    </row>
    <row r="4" spans="1:9">
      <c r="F4" s="2"/>
    </row>
    <row r="5" spans="1:9">
      <c r="B5" s="2" t="s">
        <v>57</v>
      </c>
      <c r="C5" s="2" t="s">
        <v>134</v>
      </c>
      <c r="D5" s="2" t="s">
        <v>133</v>
      </c>
      <c r="E5" s="13"/>
      <c r="G5" s="2" t="s">
        <v>57</v>
      </c>
      <c r="H5" s="2" t="s">
        <v>134</v>
      </c>
      <c r="I5" s="2" t="s">
        <v>133</v>
      </c>
    </row>
    <row r="6" spans="1:9">
      <c r="B6" s="2" t="s">
        <v>4</v>
      </c>
      <c r="D6" s="2">
        <f>STDEV(C7:C25)/(SQRT(COUNT(C7:C25)))</f>
        <v>5.9942819738193736</v>
      </c>
      <c r="E6" s="13"/>
      <c r="G6" s="2" t="s">
        <v>99</v>
      </c>
      <c r="I6" s="2">
        <f>STDEV(H7:H9)/(SQRT(3))</f>
        <v>1.6222715933358522</v>
      </c>
    </row>
    <row r="7" spans="1:9">
      <c r="B7" t="s">
        <v>14</v>
      </c>
      <c r="C7">
        <v>105.8</v>
      </c>
      <c r="D7" s="2"/>
      <c r="E7" s="13"/>
      <c r="G7" t="s">
        <v>14</v>
      </c>
      <c r="H7" s="1">
        <v>6.9240000000000004</v>
      </c>
      <c r="I7" s="2"/>
    </row>
    <row r="8" spans="1:9">
      <c r="B8" t="s">
        <v>8</v>
      </c>
      <c r="C8">
        <v>2.1</v>
      </c>
      <c r="D8" s="2"/>
      <c r="E8" s="13"/>
      <c r="G8" t="s">
        <v>12</v>
      </c>
      <c r="H8" s="1">
        <v>1.4887300000000001</v>
      </c>
      <c r="I8" s="2"/>
    </row>
    <row r="9" spans="1:9">
      <c r="B9" t="s">
        <v>63</v>
      </c>
      <c r="C9">
        <v>2.5</v>
      </c>
      <c r="D9" s="2"/>
      <c r="E9" s="13"/>
      <c r="G9" t="s">
        <v>141</v>
      </c>
      <c r="H9" s="1">
        <v>5.4429999999999996</v>
      </c>
      <c r="I9" s="2"/>
    </row>
    <row r="10" spans="1:9">
      <c r="B10" t="s">
        <v>9</v>
      </c>
      <c r="C10">
        <v>16.600000000000001</v>
      </c>
      <c r="D10" s="2"/>
      <c r="E10" s="13"/>
      <c r="H10" s="1"/>
      <c r="I10" s="2"/>
    </row>
    <row r="11" spans="1:9">
      <c r="B11" t="s">
        <v>11</v>
      </c>
      <c r="C11">
        <v>2.1</v>
      </c>
      <c r="D11" s="2"/>
      <c r="E11" s="13"/>
      <c r="G11" s="2" t="s">
        <v>13</v>
      </c>
      <c r="H11" s="1"/>
      <c r="I11" s="2">
        <f>STDEV(H12:H16)/(SQRT(COUNT(H12:H16)))</f>
        <v>0.90340514424924523</v>
      </c>
    </row>
    <row r="12" spans="1:9">
      <c r="B12" t="s">
        <v>16</v>
      </c>
      <c r="C12">
        <v>2.5</v>
      </c>
      <c r="D12" s="2"/>
      <c r="E12" s="13"/>
      <c r="G12" t="s">
        <v>14</v>
      </c>
      <c r="H12" s="1">
        <v>2.4809999999999999</v>
      </c>
      <c r="I12" s="2"/>
    </row>
    <row r="13" spans="1:9">
      <c r="B13" t="s">
        <v>21</v>
      </c>
      <c r="C13">
        <v>2.5</v>
      </c>
      <c r="D13" s="2"/>
      <c r="E13" s="13"/>
      <c r="G13" t="s">
        <v>22</v>
      </c>
      <c r="H13" s="1">
        <v>2.4809999999999999</v>
      </c>
      <c r="I13" s="2"/>
    </row>
    <row r="14" spans="1:9">
      <c r="B14" t="s">
        <v>64</v>
      </c>
      <c r="C14">
        <v>2.5</v>
      </c>
      <c r="D14" s="2"/>
      <c r="E14" s="13"/>
      <c r="G14" t="s">
        <v>101</v>
      </c>
      <c r="H14" s="1">
        <v>2.4809999999999999</v>
      </c>
      <c r="I14" s="2"/>
    </row>
    <row r="15" spans="1:9">
      <c r="B15" t="s">
        <v>65</v>
      </c>
      <c r="C15">
        <v>2.5</v>
      </c>
      <c r="D15" s="2"/>
      <c r="E15" s="13"/>
      <c r="G15" t="s">
        <v>12</v>
      </c>
      <c r="H15" s="1">
        <v>2.2144200000000001</v>
      </c>
      <c r="I15" s="2"/>
    </row>
    <row r="16" spans="1:9">
      <c r="B16" t="s">
        <v>66</v>
      </c>
      <c r="C16">
        <v>4.5</v>
      </c>
      <c r="D16" s="2"/>
      <c r="E16" s="13"/>
      <c r="G16" t="s">
        <v>124</v>
      </c>
      <c r="H16" s="1">
        <v>6.9240000000000004</v>
      </c>
      <c r="I16" s="2"/>
    </row>
    <row r="17" spans="2:9">
      <c r="B17" t="s">
        <v>68</v>
      </c>
      <c r="C17">
        <v>2.5</v>
      </c>
      <c r="D17" s="2"/>
      <c r="E17" s="13"/>
      <c r="H17" s="1"/>
      <c r="I17" s="2"/>
    </row>
    <row r="18" spans="2:9">
      <c r="B18" t="s">
        <v>69</v>
      </c>
      <c r="C18">
        <v>6.5</v>
      </c>
      <c r="D18" s="2"/>
      <c r="E18" s="13"/>
      <c r="H18" s="1"/>
      <c r="I18" s="2"/>
    </row>
    <row r="19" spans="2:9">
      <c r="B19" t="s">
        <v>70</v>
      </c>
      <c r="C19">
        <v>2.5</v>
      </c>
      <c r="D19" s="2"/>
      <c r="E19" s="13"/>
      <c r="G19" s="2" t="s">
        <v>18</v>
      </c>
      <c r="H19" s="1"/>
      <c r="I19" s="2">
        <v>0</v>
      </c>
    </row>
    <row r="20" spans="2:9">
      <c r="B20" t="s">
        <v>67</v>
      </c>
      <c r="C20">
        <v>6.5</v>
      </c>
      <c r="D20" s="2"/>
      <c r="E20" s="13"/>
      <c r="G20" t="s">
        <v>12</v>
      </c>
      <c r="H20" s="1">
        <v>5.115532</v>
      </c>
      <c r="I20" s="2"/>
    </row>
    <row r="21" spans="2:9">
      <c r="B21" t="s">
        <v>71</v>
      </c>
      <c r="C21">
        <v>6.5</v>
      </c>
      <c r="D21" s="2"/>
      <c r="E21" s="13"/>
      <c r="H21" s="1"/>
      <c r="I21" s="2"/>
    </row>
    <row r="22" spans="2:9">
      <c r="B22" t="s">
        <v>10</v>
      </c>
      <c r="C22">
        <v>25.8</v>
      </c>
      <c r="D22" s="2"/>
      <c r="E22" s="13"/>
      <c r="H22" s="1"/>
      <c r="I22" s="2"/>
    </row>
    <row r="23" spans="2:9">
      <c r="B23" t="s">
        <v>12</v>
      </c>
      <c r="C23">
        <v>40.776000000000003</v>
      </c>
      <c r="D23" s="2"/>
      <c r="E23" s="13"/>
      <c r="G23" s="2" t="s">
        <v>19</v>
      </c>
      <c r="H23" s="1"/>
      <c r="I23" s="2">
        <f>STDEV(H24:H27)/(SQRT(COUNT(H24:H27)))</f>
        <v>0.6214209059016822</v>
      </c>
    </row>
    <row r="24" spans="2:9">
      <c r="B24" t="s">
        <v>127</v>
      </c>
      <c r="C24">
        <v>2.5</v>
      </c>
      <c r="D24" s="2"/>
      <c r="E24" s="13"/>
      <c r="G24" t="s">
        <v>14</v>
      </c>
      <c r="H24" s="1">
        <v>1.8885000000000001</v>
      </c>
      <c r="I24" s="2"/>
    </row>
    <row r="25" spans="2:9">
      <c r="B25" t="s">
        <v>149</v>
      </c>
      <c r="C25">
        <v>51.760000000000005</v>
      </c>
      <c r="D25" s="2"/>
      <c r="E25" s="13"/>
      <c r="G25" t="s">
        <v>12</v>
      </c>
      <c r="H25" s="1">
        <v>4.1985999999999999</v>
      </c>
      <c r="I25" s="2"/>
    </row>
    <row r="26" spans="2:9">
      <c r="D26" s="2"/>
      <c r="E26" s="13"/>
      <c r="G26" t="s">
        <v>141</v>
      </c>
      <c r="H26" s="1">
        <v>4.5540000000000003</v>
      </c>
      <c r="I26" s="2"/>
    </row>
    <row r="27" spans="2:9">
      <c r="B27" s="2" t="s">
        <v>13</v>
      </c>
      <c r="D27" s="2">
        <f>STDEV(C28:C47)/(SQRT((COUNT(C28:C47))))</f>
        <v>4.9554806414078962</v>
      </c>
      <c r="E27" s="13"/>
      <c r="G27" t="s">
        <v>124</v>
      </c>
      <c r="H27" s="1">
        <v>2.7770000000000001</v>
      </c>
      <c r="I27" s="2"/>
    </row>
    <row r="28" spans="2:9">
      <c r="B28" t="s">
        <v>14</v>
      </c>
      <c r="C28">
        <v>87.4</v>
      </c>
      <c r="E28" s="13"/>
      <c r="H28" s="1"/>
      <c r="I28" s="2"/>
    </row>
    <row r="29" spans="2:9">
      <c r="B29" t="s">
        <v>72</v>
      </c>
      <c r="C29">
        <v>2.9</v>
      </c>
      <c r="D29" s="2"/>
      <c r="E29" s="13"/>
      <c r="G29" s="2" t="s">
        <v>81</v>
      </c>
      <c r="H29" s="1"/>
      <c r="I29" s="2">
        <f>STDEV(H30:H33)/(SQRT(COUNT(H30:H33)))</f>
        <v>0.43990892204144511</v>
      </c>
    </row>
    <row r="30" spans="2:9">
      <c r="B30" t="s">
        <v>50</v>
      </c>
      <c r="C30">
        <v>1.3</v>
      </c>
      <c r="D30" s="2"/>
      <c r="E30" s="13"/>
      <c r="G30" t="s">
        <v>14</v>
      </c>
      <c r="H30" s="1">
        <v>3.4990000000000001</v>
      </c>
      <c r="I30" s="2"/>
    </row>
    <row r="31" spans="2:9">
      <c r="B31" t="s">
        <v>22</v>
      </c>
      <c r="C31">
        <v>1.3</v>
      </c>
      <c r="D31" s="2"/>
      <c r="E31" s="13"/>
      <c r="G31" t="s">
        <v>22</v>
      </c>
      <c r="H31" s="1">
        <v>2.6659999999999999</v>
      </c>
      <c r="I31" s="2"/>
    </row>
    <row r="32" spans="2:9">
      <c r="B32" t="s">
        <v>73</v>
      </c>
      <c r="C32">
        <v>1.3</v>
      </c>
      <c r="D32" s="2"/>
      <c r="E32" s="13"/>
      <c r="G32" t="s">
        <v>12</v>
      </c>
      <c r="H32" s="1">
        <v>2.3827799999999999</v>
      </c>
      <c r="I32" s="2"/>
    </row>
    <row r="33" spans="2:9">
      <c r="B33" t="s">
        <v>74</v>
      </c>
      <c r="C33">
        <v>1.3</v>
      </c>
      <c r="D33" s="2"/>
      <c r="E33" s="13"/>
      <c r="G33" t="s">
        <v>141</v>
      </c>
      <c r="H33" s="1">
        <v>4.3319999999999999</v>
      </c>
      <c r="I33" s="2"/>
    </row>
    <row r="34" spans="2:9">
      <c r="B34" t="s">
        <v>9</v>
      </c>
      <c r="C34">
        <v>14.6</v>
      </c>
      <c r="D34" s="2"/>
      <c r="E34" s="13"/>
      <c r="H34" s="1"/>
      <c r="I34" s="2"/>
    </row>
    <row r="35" spans="2:9">
      <c r="B35" t="s">
        <v>15</v>
      </c>
      <c r="C35">
        <v>2.1</v>
      </c>
      <c r="D35" s="2"/>
      <c r="E35" s="13"/>
      <c r="G35" s="2" t="s">
        <v>30</v>
      </c>
      <c r="H35" s="1"/>
      <c r="I35" s="2">
        <f>STDEV(H36:H37)/(SQRT(2))</f>
        <v>0.99226999999999976</v>
      </c>
    </row>
    <row r="36" spans="2:9">
      <c r="B36" t="s">
        <v>65</v>
      </c>
      <c r="C36">
        <v>2.9</v>
      </c>
      <c r="D36" s="2"/>
      <c r="E36" s="13"/>
      <c r="G36" t="s">
        <v>12</v>
      </c>
      <c r="H36" s="1">
        <v>2.7179600000000002</v>
      </c>
      <c r="I36" s="2"/>
    </row>
    <row r="37" spans="2:9">
      <c r="B37" t="s">
        <v>75</v>
      </c>
      <c r="C37">
        <v>1.3</v>
      </c>
      <c r="D37" s="2"/>
      <c r="E37" s="13"/>
      <c r="G37" t="s">
        <v>151</v>
      </c>
      <c r="H37" s="1">
        <v>4.7024999999999997</v>
      </c>
      <c r="I37" s="2"/>
    </row>
    <row r="38" spans="2:9">
      <c r="B38" t="s">
        <v>17</v>
      </c>
      <c r="C38">
        <v>3.4000000000000004</v>
      </c>
      <c r="D38" s="2"/>
      <c r="E38" s="13"/>
      <c r="H38" s="1"/>
      <c r="I38" s="2"/>
    </row>
    <row r="39" spans="2:9">
      <c r="B39" t="s">
        <v>76</v>
      </c>
      <c r="C39">
        <v>1.3</v>
      </c>
      <c r="D39" s="2"/>
      <c r="E39" s="13"/>
      <c r="H39" s="1"/>
      <c r="I39" s="2"/>
    </row>
    <row r="40" spans="2:9">
      <c r="B40" t="s">
        <v>16</v>
      </c>
      <c r="C40">
        <v>2.1</v>
      </c>
      <c r="D40" s="2"/>
      <c r="E40" s="13"/>
      <c r="G40" s="2" t="s">
        <v>34</v>
      </c>
      <c r="H40" s="1"/>
      <c r="I40" s="2">
        <f>STDEV(H41:H43)/(SQRT(3))</f>
        <v>0.66999994308457367</v>
      </c>
    </row>
    <row r="41" spans="2:9">
      <c r="B41" t="s">
        <v>77</v>
      </c>
      <c r="C41">
        <v>1.3</v>
      </c>
      <c r="D41" s="2"/>
      <c r="E41" s="13"/>
      <c r="G41" t="s">
        <v>22</v>
      </c>
      <c r="H41" s="1">
        <v>2.6659999999999999</v>
      </c>
      <c r="I41" s="2"/>
    </row>
    <row r="42" spans="2:9">
      <c r="B42" t="s">
        <v>78</v>
      </c>
      <c r="C42">
        <v>1.3</v>
      </c>
      <c r="D42" s="2"/>
      <c r="E42" s="13"/>
      <c r="G42" t="s">
        <v>12</v>
      </c>
      <c r="H42" s="1">
        <v>2.0995600000000003</v>
      </c>
      <c r="I42" s="2"/>
    </row>
    <row r="43" spans="2:9">
      <c r="B43" t="s">
        <v>79</v>
      </c>
      <c r="C43">
        <v>1.3</v>
      </c>
      <c r="D43" s="2"/>
      <c r="E43" s="13"/>
      <c r="G43" t="s">
        <v>141</v>
      </c>
      <c r="H43" s="1">
        <v>4.3319999999999999</v>
      </c>
      <c r="I43" s="2"/>
    </row>
    <row r="44" spans="2:9">
      <c r="B44" t="s">
        <v>150</v>
      </c>
      <c r="C44">
        <v>49.528000000000006</v>
      </c>
      <c r="D44" s="2"/>
      <c r="E44" s="13"/>
      <c r="H44" s="1"/>
      <c r="I44" s="2"/>
    </row>
    <row r="45" spans="2:9">
      <c r="B45" t="s">
        <v>10</v>
      </c>
      <c r="C45">
        <v>1.3</v>
      </c>
      <c r="D45" s="2"/>
      <c r="E45" s="13"/>
      <c r="G45" s="2" t="s">
        <v>35</v>
      </c>
      <c r="H45" s="1"/>
      <c r="I45" s="2">
        <f>STDEV(H46:H50)/(SQRT(COUNT(H46:H50)))</f>
        <v>0.12661600000000001</v>
      </c>
    </row>
    <row r="46" spans="2:9">
      <c r="B46" t="s">
        <v>12</v>
      </c>
      <c r="C46">
        <v>37.655999999999999</v>
      </c>
      <c r="D46" s="2"/>
      <c r="E46" s="13"/>
      <c r="G46" t="s">
        <v>14</v>
      </c>
      <c r="H46" s="1">
        <v>2.6659999999999999</v>
      </c>
      <c r="I46" s="2"/>
    </row>
    <row r="47" spans="2:9">
      <c r="B47" t="s">
        <v>124</v>
      </c>
      <c r="C47">
        <v>12.2</v>
      </c>
      <c r="D47" s="2"/>
      <c r="E47" s="13"/>
      <c r="G47" t="s">
        <v>105</v>
      </c>
      <c r="H47" s="1">
        <v>2.6659999999999999</v>
      </c>
      <c r="I47" s="2"/>
    </row>
    <row r="48" spans="2:9">
      <c r="D48" s="2"/>
      <c r="E48" s="13"/>
      <c r="G48" t="s">
        <v>106</v>
      </c>
      <c r="H48" s="1">
        <v>2.6659999999999999</v>
      </c>
      <c r="I48" s="2"/>
    </row>
    <row r="49" spans="2:9">
      <c r="B49" s="2" t="s">
        <v>18</v>
      </c>
      <c r="D49" s="2">
        <f>STDEV(C50:C56)/(SQRT(COUNT(C50:C56)))</f>
        <v>5.416298889450613</v>
      </c>
      <c r="E49" s="13"/>
      <c r="G49" t="s">
        <v>101</v>
      </c>
      <c r="H49" s="1">
        <v>2.6659999999999999</v>
      </c>
      <c r="I49" s="2"/>
    </row>
    <row r="50" spans="2:9">
      <c r="B50" t="s">
        <v>14</v>
      </c>
      <c r="C50">
        <v>30.2</v>
      </c>
      <c r="E50" s="13"/>
      <c r="G50" t="s">
        <v>12</v>
      </c>
      <c r="H50" s="1">
        <v>3.29908</v>
      </c>
      <c r="I50" s="2"/>
    </row>
    <row r="51" spans="2:9">
      <c r="B51" t="s">
        <v>9</v>
      </c>
      <c r="C51">
        <v>2.1</v>
      </c>
      <c r="D51" s="2"/>
      <c r="E51" s="13"/>
      <c r="H51" s="1"/>
      <c r="I51" s="2"/>
    </row>
    <row r="52" spans="2:9">
      <c r="B52" t="s">
        <v>28</v>
      </c>
      <c r="C52">
        <v>2.5</v>
      </c>
      <c r="D52" s="2"/>
      <c r="E52" s="13"/>
      <c r="G52" s="2" t="s">
        <v>107</v>
      </c>
      <c r="H52" s="1"/>
      <c r="I52" s="2">
        <f>STDEV(H53:H55)/(SQRT(3))</f>
        <v>0.51606245523881111</v>
      </c>
    </row>
    <row r="53" spans="2:9">
      <c r="B53" t="s">
        <v>65</v>
      </c>
      <c r="C53">
        <v>2.5</v>
      </c>
      <c r="D53" s="2"/>
      <c r="E53" s="13"/>
      <c r="G53" t="s">
        <v>22</v>
      </c>
      <c r="H53" s="1">
        <v>4.3319999999999999</v>
      </c>
      <c r="I53" s="2"/>
    </row>
    <row r="54" spans="2:9">
      <c r="B54" t="s">
        <v>12</v>
      </c>
      <c r="C54">
        <v>33.415999999999997</v>
      </c>
      <c r="D54" s="2"/>
      <c r="E54" s="13"/>
      <c r="G54" t="s">
        <v>73</v>
      </c>
      <c r="H54" s="1">
        <v>2.6659999999999999</v>
      </c>
      <c r="I54" s="2"/>
    </row>
    <row r="55" spans="2:9">
      <c r="B55" t="s">
        <v>141</v>
      </c>
      <c r="C55">
        <v>26.872</v>
      </c>
      <c r="D55" s="2"/>
      <c r="E55" s="13"/>
      <c r="G55" t="s">
        <v>12</v>
      </c>
      <c r="H55" s="1">
        <v>2.9375580000000001</v>
      </c>
      <c r="I55" s="2"/>
    </row>
    <row r="56" spans="2:9">
      <c r="B56" t="s">
        <v>124</v>
      </c>
      <c r="C56">
        <v>8.5</v>
      </c>
      <c r="D56" s="2"/>
      <c r="E56" s="13"/>
      <c r="H56" s="1"/>
      <c r="I56" s="2"/>
    </row>
    <row r="57" spans="2:9">
      <c r="D57" s="2"/>
      <c r="E57" s="13"/>
      <c r="G57" s="2" t="s">
        <v>108</v>
      </c>
      <c r="H57" s="1"/>
      <c r="I57" s="2">
        <f>STDEV(H58:H68)/(SQRT(COUNT(H58:H68)))</f>
        <v>0.71534661003086086</v>
      </c>
    </row>
    <row r="58" spans="2:9">
      <c r="B58" s="2" t="s">
        <v>19</v>
      </c>
      <c r="D58" s="2">
        <f>STDEV(C59:C69)/(SQRT(COUNT(C59:C69)))</f>
        <v>6.2576995218518707</v>
      </c>
      <c r="E58" s="13"/>
      <c r="G58" t="s">
        <v>14</v>
      </c>
      <c r="H58" s="1">
        <v>8.4969999999999999</v>
      </c>
      <c r="I58" s="2"/>
    </row>
    <row r="59" spans="2:9">
      <c r="B59" t="s">
        <v>7</v>
      </c>
      <c r="C59">
        <v>59</v>
      </c>
      <c r="E59" s="13"/>
      <c r="G59" t="s">
        <v>109</v>
      </c>
      <c r="H59" s="1">
        <v>2.6659999999999999</v>
      </c>
      <c r="I59" s="2"/>
    </row>
    <row r="60" spans="2:9">
      <c r="B60" t="s">
        <v>21</v>
      </c>
      <c r="C60">
        <v>9</v>
      </c>
      <c r="D60" s="2"/>
      <c r="E60" s="13"/>
      <c r="G60" t="s">
        <v>110</v>
      </c>
      <c r="H60" s="1">
        <v>2.6659999999999999</v>
      </c>
      <c r="I60" s="2"/>
    </row>
    <row r="61" spans="2:9">
      <c r="B61" t="s">
        <v>22</v>
      </c>
      <c r="C61">
        <v>2.5</v>
      </c>
      <c r="D61" s="2"/>
      <c r="E61" s="13"/>
      <c r="G61" t="s">
        <v>69</v>
      </c>
      <c r="H61" s="1">
        <v>7.6639999999999997</v>
      </c>
      <c r="I61" s="2"/>
    </row>
    <row r="62" spans="2:9">
      <c r="B62" t="s">
        <v>65</v>
      </c>
      <c r="C62">
        <v>2.5</v>
      </c>
      <c r="D62" s="2"/>
      <c r="E62" s="13"/>
      <c r="G62" t="s">
        <v>75</v>
      </c>
      <c r="H62" s="1">
        <v>7.6639999999999997</v>
      </c>
      <c r="I62" s="2"/>
    </row>
    <row r="63" spans="2:9">
      <c r="B63" t="s">
        <v>23</v>
      </c>
      <c r="C63">
        <v>2.5</v>
      </c>
      <c r="D63" s="2"/>
      <c r="E63" s="13"/>
      <c r="G63" t="s">
        <v>111</v>
      </c>
      <c r="H63" s="1">
        <v>2.6659999999999999</v>
      </c>
      <c r="I63" s="2"/>
    </row>
    <row r="64" spans="2:9">
      <c r="B64" t="s">
        <v>12</v>
      </c>
      <c r="C64">
        <v>17.259999999999998</v>
      </c>
      <c r="D64" s="2"/>
      <c r="E64" s="13"/>
      <c r="G64" t="s">
        <v>112</v>
      </c>
      <c r="H64" s="1">
        <v>2.6659999999999999</v>
      </c>
      <c r="I64" s="2"/>
    </row>
    <row r="65" spans="2:9">
      <c r="B65" t="s">
        <v>148</v>
      </c>
      <c r="C65">
        <v>2.5</v>
      </c>
      <c r="D65" s="2"/>
      <c r="E65" s="13"/>
      <c r="G65" t="s">
        <v>12</v>
      </c>
      <c r="H65" s="1">
        <v>4.0321199999999999</v>
      </c>
      <c r="I65" s="2"/>
    </row>
    <row r="66" spans="2:9">
      <c r="B66" t="s">
        <v>10</v>
      </c>
      <c r="C66">
        <v>2.5</v>
      </c>
      <c r="D66" s="2"/>
      <c r="E66" s="13"/>
      <c r="G66" t="s">
        <v>148</v>
      </c>
      <c r="H66" s="1">
        <v>2.6659999999999999</v>
      </c>
      <c r="I66" s="2"/>
    </row>
    <row r="67" spans="2:9">
      <c r="B67" t="s">
        <v>141</v>
      </c>
      <c r="C67">
        <v>52.2</v>
      </c>
      <c r="D67" s="2"/>
      <c r="E67" s="13"/>
      <c r="G67" t="s">
        <v>150</v>
      </c>
      <c r="H67" s="1">
        <v>5.9980000000000002</v>
      </c>
      <c r="I67" s="2"/>
    </row>
    <row r="68" spans="2:9">
      <c r="B68" t="s">
        <v>25</v>
      </c>
      <c r="C68">
        <v>2.5</v>
      </c>
      <c r="D68" s="2"/>
      <c r="E68" s="13"/>
      <c r="G68" t="s">
        <v>124</v>
      </c>
      <c r="H68" s="1">
        <v>5.9980000000000002</v>
      </c>
      <c r="I68" s="2"/>
    </row>
    <row r="69" spans="2:9">
      <c r="B69" t="s">
        <v>124</v>
      </c>
      <c r="C69">
        <v>18.5</v>
      </c>
      <c r="D69" s="2"/>
      <c r="E69" s="13"/>
      <c r="H69" s="1"/>
      <c r="I69" s="2"/>
    </row>
    <row r="70" spans="2:9">
      <c r="D70" s="2"/>
      <c r="E70" s="13"/>
      <c r="G70" s="2" t="s">
        <v>45</v>
      </c>
      <c r="H70" s="1"/>
      <c r="I70" s="2">
        <f>STDEV(H71:H78)/(SQRT(COUNT(H71:H78)))</f>
        <v>0.68822653868039774</v>
      </c>
    </row>
    <row r="71" spans="2:9">
      <c r="B71" s="2" t="s">
        <v>27</v>
      </c>
      <c r="D71" s="2">
        <f>STDEV(C72:C80)/(SQRT(COUNT(C72:C80)))</f>
        <v>3.3096996171186834</v>
      </c>
      <c r="E71" s="13"/>
      <c r="G71" t="s">
        <v>14</v>
      </c>
      <c r="H71" s="1">
        <v>9.33</v>
      </c>
      <c r="I71" s="2"/>
    </row>
    <row r="72" spans="2:9">
      <c r="B72" t="s">
        <v>7</v>
      </c>
      <c r="C72">
        <v>21.5</v>
      </c>
      <c r="E72" s="13"/>
      <c r="G72" t="s">
        <v>113</v>
      </c>
      <c r="H72" s="1">
        <v>2.6659999999999999</v>
      </c>
      <c r="I72" s="2"/>
    </row>
    <row r="73" spans="2:9">
      <c r="B73" t="s">
        <v>28</v>
      </c>
      <c r="C73">
        <v>2.5</v>
      </c>
      <c r="D73" s="2"/>
      <c r="E73" s="13"/>
      <c r="G73" t="s">
        <v>21</v>
      </c>
      <c r="H73" s="1">
        <v>4.3319999999999999</v>
      </c>
      <c r="I73" s="2"/>
    </row>
    <row r="74" spans="2:9">
      <c r="B74" t="s">
        <v>29</v>
      </c>
      <c r="C74">
        <v>2.5</v>
      </c>
      <c r="D74" s="2"/>
      <c r="E74" s="13"/>
      <c r="G74" t="s">
        <v>75</v>
      </c>
      <c r="H74" s="1">
        <v>4.3319999999999999</v>
      </c>
      <c r="I74" s="2"/>
    </row>
    <row r="75" spans="2:9">
      <c r="B75" t="s">
        <v>16</v>
      </c>
      <c r="C75">
        <v>2.5</v>
      </c>
      <c r="D75" s="2"/>
      <c r="E75" s="13"/>
      <c r="G75" t="s">
        <v>12</v>
      </c>
      <c r="H75" s="1">
        <v>4.8717839999999999</v>
      </c>
      <c r="I75" s="2"/>
    </row>
    <row r="76" spans="2:9">
      <c r="B76" t="s">
        <v>22</v>
      </c>
      <c r="C76">
        <v>6.6</v>
      </c>
      <c r="D76" s="2"/>
      <c r="E76" s="13"/>
      <c r="G76" t="s">
        <v>148</v>
      </c>
      <c r="H76" s="1">
        <v>4.3319999999999999</v>
      </c>
      <c r="I76" s="2"/>
    </row>
    <row r="77" spans="2:9">
      <c r="B77" t="s">
        <v>82</v>
      </c>
      <c r="C77">
        <v>1.3</v>
      </c>
      <c r="D77" s="2"/>
      <c r="E77" s="13"/>
      <c r="G77" t="s">
        <v>141</v>
      </c>
      <c r="H77" s="1">
        <v>5.4315600000000002</v>
      </c>
      <c r="I77" s="2"/>
    </row>
    <row r="78" spans="2:9">
      <c r="B78" t="s">
        <v>83</v>
      </c>
      <c r="C78">
        <v>1.3</v>
      </c>
      <c r="D78" s="2"/>
      <c r="E78" s="13"/>
      <c r="G78" t="s">
        <v>124</v>
      </c>
      <c r="H78" s="1">
        <v>5.9980000000000002</v>
      </c>
      <c r="I78" s="2"/>
    </row>
    <row r="79" spans="2:9">
      <c r="B79" t="s">
        <v>12</v>
      </c>
      <c r="C79">
        <v>14.824</v>
      </c>
      <c r="D79" s="2"/>
      <c r="E79" s="13"/>
      <c r="H79" s="1"/>
      <c r="I79" s="2"/>
    </row>
    <row r="80" spans="2:9">
      <c r="B80" t="s">
        <v>141</v>
      </c>
      <c r="C80">
        <v>27.64</v>
      </c>
      <c r="D80" s="2"/>
      <c r="E80" s="13"/>
      <c r="G80" s="2" t="s">
        <v>49</v>
      </c>
      <c r="H80" s="1"/>
      <c r="I80" s="2">
        <f>STDEV(H81:H86)/(SQRT(COUNT(H81:H86)))</f>
        <v>0.66607250424993347</v>
      </c>
    </row>
    <row r="81" spans="2:9">
      <c r="D81" s="2"/>
      <c r="E81" s="13"/>
      <c r="G81" t="s">
        <v>14</v>
      </c>
      <c r="H81" s="1">
        <v>5.9980000000000002</v>
      </c>
      <c r="I81" s="2"/>
    </row>
    <row r="82" spans="2:9">
      <c r="B82" s="2" t="s">
        <v>30</v>
      </c>
      <c r="D82" s="2">
        <f>STDEV(C83:C94)/(SQRT(COUNT(C83:C94)))</f>
        <v>3.8665977984985118</v>
      </c>
      <c r="E82" s="13"/>
      <c r="G82" t="s">
        <v>21</v>
      </c>
      <c r="H82" s="1">
        <v>4.3319999999999999</v>
      </c>
      <c r="I82" s="2"/>
    </row>
    <row r="83" spans="2:9">
      <c r="B83" t="s">
        <v>7</v>
      </c>
      <c r="C83">
        <v>48.6</v>
      </c>
      <c r="E83" s="13"/>
      <c r="G83" t="s">
        <v>75</v>
      </c>
      <c r="H83" s="1">
        <v>2.6659999999999999</v>
      </c>
      <c r="I83" s="2"/>
    </row>
    <row r="84" spans="2:9">
      <c r="B84" t="s">
        <v>31</v>
      </c>
      <c r="C84">
        <v>2.5</v>
      </c>
      <c r="D84" s="2"/>
      <c r="E84" s="13"/>
      <c r="G84" t="s">
        <v>114</v>
      </c>
      <c r="H84" s="1">
        <v>3.4823399999999998</v>
      </c>
      <c r="I84" s="2"/>
    </row>
    <row r="85" spans="2:9">
      <c r="B85" t="s">
        <v>29</v>
      </c>
      <c r="C85">
        <v>2.5</v>
      </c>
      <c r="D85" s="2"/>
      <c r="E85" s="13"/>
      <c r="G85" t="s">
        <v>148</v>
      </c>
      <c r="H85" s="1">
        <v>4.3319999999999999</v>
      </c>
      <c r="I85" s="2"/>
    </row>
    <row r="86" spans="2:9">
      <c r="B86" t="s">
        <v>21</v>
      </c>
      <c r="C86">
        <v>1.3</v>
      </c>
      <c r="D86" s="2"/>
      <c r="E86" s="13"/>
      <c r="G86" t="s">
        <v>141</v>
      </c>
      <c r="H86" s="1">
        <v>7.0975599999999996</v>
      </c>
      <c r="I86" s="2"/>
    </row>
    <row r="87" spans="2:9">
      <c r="B87" t="s">
        <v>72</v>
      </c>
      <c r="C87">
        <v>1.3</v>
      </c>
      <c r="D87" s="2"/>
      <c r="E87" s="13"/>
      <c r="H87" s="1"/>
      <c r="I87" s="2"/>
    </row>
    <row r="88" spans="2:9">
      <c r="B88" t="s">
        <v>16</v>
      </c>
      <c r="C88">
        <v>2.5</v>
      </c>
      <c r="D88" s="2"/>
      <c r="E88" s="13"/>
      <c r="G88" s="2" t="s">
        <v>88</v>
      </c>
      <c r="H88" s="1"/>
      <c r="I88" s="2">
        <f>STDEV(H89:H100)/(SQRT(COUNT(H89:H100)))</f>
        <v>2.0178746630947124</v>
      </c>
    </row>
    <row r="89" spans="2:9">
      <c r="B89" t="s">
        <v>22</v>
      </c>
      <c r="C89">
        <v>2.5</v>
      </c>
      <c r="D89" s="2"/>
      <c r="E89" s="13"/>
      <c r="G89" t="s">
        <v>14</v>
      </c>
      <c r="H89" s="1">
        <v>17</v>
      </c>
    </row>
    <row r="90" spans="2:9">
      <c r="B90" t="s">
        <v>32</v>
      </c>
      <c r="C90">
        <v>2.5</v>
      </c>
      <c r="D90" s="2"/>
      <c r="E90" s="13"/>
      <c r="G90" t="s">
        <v>116</v>
      </c>
      <c r="H90" s="1">
        <v>2.6</v>
      </c>
    </row>
    <row r="91" spans="2:9">
      <c r="B91" t="s">
        <v>33</v>
      </c>
      <c r="C91">
        <v>2.5</v>
      </c>
      <c r="D91" s="2"/>
      <c r="E91" s="13"/>
      <c r="G91" t="s">
        <v>117</v>
      </c>
      <c r="H91" s="1">
        <v>2.6</v>
      </c>
    </row>
    <row r="92" spans="2:9">
      <c r="B92" t="s">
        <v>23</v>
      </c>
      <c r="C92">
        <v>2.5</v>
      </c>
      <c r="D92" s="2"/>
      <c r="E92" s="13"/>
      <c r="G92" t="s">
        <v>43</v>
      </c>
      <c r="H92" s="1">
        <v>2.6</v>
      </c>
    </row>
    <row r="93" spans="2:9">
      <c r="B93" t="s">
        <v>12</v>
      </c>
      <c r="C93">
        <v>11.48</v>
      </c>
      <c r="D93" s="2"/>
      <c r="E93" s="13"/>
      <c r="G93" t="s">
        <v>21</v>
      </c>
      <c r="H93" s="1">
        <v>5.8</v>
      </c>
    </row>
    <row r="94" spans="2:9">
      <c r="B94" t="s">
        <v>150</v>
      </c>
      <c r="C94">
        <v>11.600000000000001</v>
      </c>
      <c r="D94" s="2"/>
      <c r="E94" s="13"/>
      <c r="G94" t="s">
        <v>22</v>
      </c>
      <c r="H94" s="1">
        <v>5.8</v>
      </c>
    </row>
    <row r="95" spans="2:9">
      <c r="D95" s="2"/>
      <c r="E95" s="13"/>
      <c r="G95" t="s">
        <v>70</v>
      </c>
      <c r="H95" s="1">
        <v>2.6</v>
      </c>
    </row>
    <row r="96" spans="2:9">
      <c r="B96" s="2" t="s">
        <v>34</v>
      </c>
      <c r="D96" s="2">
        <f>STDEV(C97:C104)/(SQRT(COUNT(C97:C104)))</f>
        <v>3.4403194826726695</v>
      </c>
      <c r="E96" s="13"/>
      <c r="G96" t="s">
        <v>12</v>
      </c>
      <c r="H96" s="1">
        <v>14.059200000000001</v>
      </c>
    </row>
    <row r="97" spans="2:8">
      <c r="B97" t="s">
        <v>7</v>
      </c>
      <c r="C97">
        <v>28.6</v>
      </c>
      <c r="E97" s="13"/>
      <c r="G97" t="s">
        <v>118</v>
      </c>
      <c r="H97" s="1">
        <v>2.6</v>
      </c>
    </row>
    <row r="98" spans="2:8">
      <c r="B98" t="s">
        <v>21</v>
      </c>
      <c r="C98">
        <v>2.5</v>
      </c>
      <c r="D98" s="2"/>
      <c r="E98" s="13"/>
      <c r="G98" t="s">
        <v>119</v>
      </c>
      <c r="H98" s="1">
        <v>2.6</v>
      </c>
    </row>
    <row r="99" spans="2:8">
      <c r="B99" t="s">
        <v>9</v>
      </c>
      <c r="C99">
        <v>2.5</v>
      </c>
      <c r="D99" s="2"/>
      <c r="E99" s="13"/>
      <c r="G99" t="s">
        <v>141</v>
      </c>
      <c r="H99" s="1">
        <v>19.080000000000002</v>
      </c>
    </row>
    <row r="100" spans="2:8">
      <c r="B100" t="s">
        <v>65</v>
      </c>
      <c r="C100">
        <v>1.3</v>
      </c>
      <c r="D100" s="2"/>
      <c r="E100" s="13"/>
      <c r="G100" t="s">
        <v>124</v>
      </c>
      <c r="H100" s="1">
        <v>18.600000000000001</v>
      </c>
    </row>
    <row r="101" spans="2:8">
      <c r="B101" t="s">
        <v>84</v>
      </c>
      <c r="C101">
        <v>1.3</v>
      </c>
      <c r="D101" s="2"/>
      <c r="E101" s="13"/>
      <c r="H101" s="1"/>
    </row>
    <row r="102" spans="2:8">
      <c r="B102" t="s">
        <v>12</v>
      </c>
      <c r="C102">
        <v>17.631999999999998</v>
      </c>
      <c r="D102" s="2"/>
      <c r="E102" s="13"/>
      <c r="H102" s="1"/>
    </row>
    <row r="103" spans="2:8">
      <c r="B103" t="s">
        <v>141</v>
      </c>
      <c r="C103">
        <v>9.9</v>
      </c>
      <c r="D103" s="2"/>
      <c r="E103" s="13"/>
      <c r="H103" s="1"/>
    </row>
    <row r="104" spans="2:8">
      <c r="B104" t="s">
        <v>124</v>
      </c>
      <c r="C104">
        <v>8.5</v>
      </c>
      <c r="D104" s="2"/>
      <c r="E104" s="13"/>
      <c r="H104" s="1"/>
    </row>
    <row r="105" spans="2:8">
      <c r="D105" s="2"/>
      <c r="E105" s="13"/>
      <c r="H105" s="1"/>
    </row>
    <row r="106" spans="2:8">
      <c r="B106" s="2" t="s">
        <v>35</v>
      </c>
      <c r="D106" s="2">
        <f>STDEV(C107:C116)/(SQRT(COUNT(C107:C116)))</f>
        <v>3.8830044289899481</v>
      </c>
      <c r="E106" s="13"/>
      <c r="H106" s="1"/>
    </row>
    <row r="107" spans="2:8">
      <c r="B107" t="s">
        <v>7</v>
      </c>
      <c r="C107">
        <v>26.2</v>
      </c>
      <c r="E107" s="13"/>
      <c r="H107" s="1"/>
    </row>
    <row r="108" spans="2:8">
      <c r="B108" t="s">
        <v>36</v>
      </c>
      <c r="C108">
        <v>3.7</v>
      </c>
      <c r="D108" s="2"/>
      <c r="E108" s="13"/>
      <c r="H108" s="1"/>
    </row>
    <row r="109" spans="2:8">
      <c r="B109" t="s">
        <v>33</v>
      </c>
      <c r="C109">
        <v>1.3</v>
      </c>
      <c r="D109" s="2"/>
      <c r="E109" s="13"/>
      <c r="H109" s="1"/>
    </row>
    <row r="110" spans="2:8">
      <c r="B110" t="s">
        <v>37</v>
      </c>
      <c r="C110">
        <v>3.7</v>
      </c>
      <c r="D110" s="2"/>
      <c r="E110" s="13"/>
      <c r="H110" s="1"/>
    </row>
    <row r="111" spans="2:8">
      <c r="B111" t="s">
        <v>38</v>
      </c>
      <c r="C111">
        <v>2.1</v>
      </c>
      <c r="D111" s="2"/>
      <c r="E111" s="13"/>
      <c r="H111" s="1"/>
    </row>
    <row r="112" spans="2:8">
      <c r="B112" t="s">
        <v>39</v>
      </c>
      <c r="C112">
        <v>2.1</v>
      </c>
      <c r="D112" s="2"/>
      <c r="E112" s="13"/>
      <c r="H112" s="1"/>
    </row>
    <row r="113" spans="2:8">
      <c r="B113" t="s">
        <v>40</v>
      </c>
      <c r="C113">
        <v>2.1</v>
      </c>
      <c r="D113" s="2"/>
      <c r="E113" s="13"/>
      <c r="H113" s="1"/>
    </row>
    <row r="114" spans="2:8">
      <c r="B114" t="s">
        <v>12</v>
      </c>
      <c r="C114">
        <v>17.768000000000001</v>
      </c>
      <c r="D114" s="2"/>
      <c r="E114" s="13"/>
      <c r="H114" s="1"/>
    </row>
    <row r="115" spans="2:8">
      <c r="B115" t="s">
        <v>141</v>
      </c>
      <c r="C115">
        <v>36.36</v>
      </c>
      <c r="D115" s="2"/>
      <c r="E115" s="13"/>
      <c r="H115" s="1"/>
    </row>
    <row r="116" spans="2:8">
      <c r="B116" t="s">
        <v>124</v>
      </c>
      <c r="C116">
        <v>10.1</v>
      </c>
      <c r="D116" s="2"/>
      <c r="E116" s="13"/>
      <c r="H116" s="1"/>
    </row>
    <row r="117" spans="2:8">
      <c r="D117" s="2"/>
      <c r="E117" s="13"/>
      <c r="H117" s="1"/>
    </row>
    <row r="118" spans="2:8">
      <c r="B118" s="2" t="s">
        <v>126</v>
      </c>
      <c r="D118" s="2">
        <f>STDEV(C119:C124)/(SQRT(COUNT(C119:C124)))</f>
        <v>2.0839824072220745</v>
      </c>
      <c r="E118" s="13"/>
      <c r="H118" s="1"/>
    </row>
    <row r="119" spans="2:8">
      <c r="B119" t="s">
        <v>7</v>
      </c>
      <c r="C119">
        <v>15</v>
      </c>
      <c r="E119" s="13"/>
      <c r="H119" s="1"/>
    </row>
    <row r="120" spans="2:8">
      <c r="B120" t="s">
        <v>9</v>
      </c>
      <c r="C120">
        <v>3.4000000000000004</v>
      </c>
      <c r="D120" s="2"/>
      <c r="E120" s="13"/>
      <c r="H120" s="1"/>
    </row>
    <row r="121" spans="2:8">
      <c r="B121" t="s">
        <v>41</v>
      </c>
      <c r="C121">
        <v>2.1</v>
      </c>
      <c r="D121" s="2"/>
      <c r="E121" s="13"/>
      <c r="H121" s="1"/>
    </row>
    <row r="122" spans="2:8">
      <c r="B122" t="s">
        <v>39</v>
      </c>
      <c r="C122">
        <v>1.3</v>
      </c>
      <c r="D122" s="2"/>
      <c r="E122" s="13"/>
      <c r="H122" s="1"/>
    </row>
    <row r="123" spans="2:8">
      <c r="B123" t="s">
        <v>12</v>
      </c>
      <c r="C123">
        <v>2.9884999999999997</v>
      </c>
      <c r="D123" s="2"/>
      <c r="E123" s="13"/>
      <c r="H123" s="1"/>
    </row>
    <row r="124" spans="2:8">
      <c r="B124" t="s">
        <v>141</v>
      </c>
      <c r="C124">
        <v>6.34</v>
      </c>
      <c r="D124" s="2"/>
      <c r="E124" s="13"/>
      <c r="H124" s="1"/>
    </row>
    <row r="125" spans="2:8">
      <c r="D125" s="2"/>
      <c r="E125" s="13"/>
      <c r="H125" s="1"/>
    </row>
    <row r="126" spans="2:8">
      <c r="B126" s="2" t="s">
        <v>42</v>
      </c>
      <c r="D126" s="2">
        <f>STDEV(C127:C137)/(SQRT(COUNT(C127:C137)))</f>
        <v>3.2417799416497477</v>
      </c>
      <c r="E126" s="13"/>
      <c r="H126" s="1"/>
    </row>
    <row r="127" spans="2:8">
      <c r="B127" t="s">
        <v>7</v>
      </c>
      <c r="C127">
        <v>31</v>
      </c>
      <c r="E127" s="13"/>
      <c r="H127" s="1"/>
    </row>
    <row r="128" spans="2:8">
      <c r="B128" t="s">
        <v>43</v>
      </c>
      <c r="C128">
        <v>2.1</v>
      </c>
      <c r="D128" s="2"/>
      <c r="E128" s="13"/>
      <c r="H128" s="1"/>
    </row>
    <row r="129" spans="2:8">
      <c r="B129" t="s">
        <v>44</v>
      </c>
      <c r="C129">
        <v>2.1</v>
      </c>
      <c r="D129" s="2"/>
      <c r="E129" s="13"/>
      <c r="H129" s="1"/>
    </row>
    <row r="130" spans="2:8">
      <c r="B130" t="s">
        <v>9</v>
      </c>
      <c r="C130">
        <v>2.1</v>
      </c>
      <c r="D130" s="2"/>
      <c r="E130" s="13"/>
      <c r="H130" s="1"/>
    </row>
    <row r="131" spans="2:8">
      <c r="B131" t="s">
        <v>85</v>
      </c>
      <c r="C131">
        <v>2.5</v>
      </c>
      <c r="D131" s="2"/>
      <c r="E131" s="13"/>
      <c r="H131" s="1"/>
    </row>
    <row r="132" spans="2:8">
      <c r="B132" t="s">
        <v>86</v>
      </c>
      <c r="C132">
        <v>2.5</v>
      </c>
      <c r="D132" s="2"/>
      <c r="E132" s="13"/>
      <c r="H132" s="1"/>
    </row>
    <row r="133" spans="2:8">
      <c r="B133" t="s">
        <v>9</v>
      </c>
      <c r="C133">
        <v>4.5</v>
      </c>
      <c r="D133" s="2"/>
      <c r="E133" s="13"/>
      <c r="H133" s="1"/>
    </row>
    <row r="134" spans="2:8">
      <c r="B134" t="s">
        <v>12</v>
      </c>
      <c r="C134">
        <v>1.7999999999999998</v>
      </c>
      <c r="D134" s="2"/>
      <c r="E134" s="13"/>
      <c r="H134" s="1"/>
    </row>
    <row r="135" spans="2:8">
      <c r="B135" t="s">
        <v>141</v>
      </c>
      <c r="C135">
        <v>27.88</v>
      </c>
      <c r="D135" s="2"/>
      <c r="E135" s="13"/>
      <c r="H135" s="1"/>
    </row>
    <row r="136" spans="2:8">
      <c r="B136" t="s">
        <v>87</v>
      </c>
      <c r="C136">
        <v>4.5</v>
      </c>
      <c r="D136" s="2"/>
      <c r="E136" s="13"/>
      <c r="H136" s="1"/>
    </row>
    <row r="137" spans="2:8">
      <c r="B137" t="s">
        <v>124</v>
      </c>
      <c r="C137">
        <v>10.199999999999999</v>
      </c>
      <c r="D137" s="2"/>
      <c r="E137" s="13"/>
      <c r="H137" s="1"/>
    </row>
    <row r="138" spans="2:8">
      <c r="D138" s="2"/>
      <c r="E138" s="13"/>
      <c r="H138" s="1"/>
    </row>
    <row r="139" spans="2:8">
      <c r="B139" s="2" t="s">
        <v>45</v>
      </c>
      <c r="D139" s="2">
        <f>STDEV(C140:C152)/(SQRT(COUNT(C140:C152)))</f>
        <v>3.2930254333865951</v>
      </c>
      <c r="E139" s="13"/>
      <c r="H139" s="1"/>
    </row>
    <row r="140" spans="2:8">
      <c r="B140" t="s">
        <v>7</v>
      </c>
      <c r="C140">
        <v>37.6</v>
      </c>
      <c r="E140" s="13"/>
      <c r="H140" s="1"/>
    </row>
    <row r="141" spans="2:8">
      <c r="B141" t="s">
        <v>21</v>
      </c>
      <c r="C141">
        <v>2.1</v>
      </c>
      <c r="D141" s="2"/>
      <c r="E141" s="13"/>
      <c r="H141" s="1"/>
    </row>
    <row r="142" spans="2:8">
      <c r="B142" t="s">
        <v>46</v>
      </c>
      <c r="C142">
        <v>2.1</v>
      </c>
      <c r="D142" s="2"/>
      <c r="E142" s="13"/>
      <c r="H142" s="1"/>
    </row>
    <row r="143" spans="2:8">
      <c r="B143" t="s">
        <v>47</v>
      </c>
      <c r="C143">
        <v>2.1</v>
      </c>
      <c r="D143" s="2"/>
      <c r="E143" s="13"/>
      <c r="H143" s="1"/>
    </row>
    <row r="144" spans="2:8">
      <c r="B144" t="s">
        <v>9</v>
      </c>
      <c r="C144">
        <v>4.5999999999999996</v>
      </c>
      <c r="D144" s="2"/>
      <c r="E144" s="13"/>
      <c r="H144" s="1"/>
    </row>
    <row r="145" spans="2:8">
      <c r="B145" t="s">
        <v>43</v>
      </c>
      <c r="C145">
        <v>2.5</v>
      </c>
      <c r="D145" s="2"/>
      <c r="E145" s="13"/>
      <c r="H145" s="1"/>
    </row>
    <row r="146" spans="2:8">
      <c r="B146" t="s">
        <v>17</v>
      </c>
      <c r="C146">
        <v>2.5</v>
      </c>
      <c r="D146" s="2"/>
      <c r="E146" s="13"/>
      <c r="H146" s="1"/>
    </row>
    <row r="147" spans="2:8">
      <c r="B147" t="s">
        <v>48</v>
      </c>
      <c r="C147">
        <v>1.3</v>
      </c>
      <c r="D147" s="2"/>
      <c r="E147" s="13"/>
      <c r="H147" s="1"/>
    </row>
    <row r="148" spans="2:8">
      <c r="B148" t="s">
        <v>33</v>
      </c>
      <c r="C148">
        <v>1.3</v>
      </c>
      <c r="D148" s="2"/>
      <c r="E148" s="13"/>
      <c r="H148" s="1"/>
    </row>
    <row r="149" spans="2:8">
      <c r="B149" t="s">
        <v>10</v>
      </c>
      <c r="C149">
        <v>2.1</v>
      </c>
      <c r="D149" s="2"/>
      <c r="E149" s="13"/>
      <c r="H149" s="1"/>
    </row>
    <row r="150" spans="2:8">
      <c r="B150" t="s">
        <v>12</v>
      </c>
      <c r="C150">
        <v>11.215999999999999</v>
      </c>
      <c r="D150" s="2"/>
      <c r="E150" s="13"/>
      <c r="H150" s="1"/>
    </row>
    <row r="151" spans="2:8">
      <c r="B151" t="s">
        <v>141</v>
      </c>
      <c r="C151">
        <v>29</v>
      </c>
      <c r="D151" s="2"/>
      <c r="E151" s="13"/>
      <c r="H151" s="1"/>
    </row>
    <row r="152" spans="2:8">
      <c r="B152" t="s">
        <v>124</v>
      </c>
      <c r="C152">
        <v>16.5</v>
      </c>
      <c r="D152" s="2"/>
      <c r="E152" s="13"/>
      <c r="H152" s="1"/>
    </row>
    <row r="153" spans="2:8">
      <c r="D153" s="2"/>
      <c r="E153" s="13"/>
      <c r="H153" s="1"/>
    </row>
    <row r="154" spans="2:8">
      <c r="B154" s="2" t="s">
        <v>49</v>
      </c>
      <c r="D154" s="2">
        <f>STDEV(C155:C159)/(SQRT(COUNT(C155:C159)))</f>
        <v>5.4828861013156187</v>
      </c>
      <c r="E154" s="13"/>
    </row>
    <row r="155" spans="2:8">
      <c r="B155" t="s">
        <v>7</v>
      </c>
      <c r="C155">
        <v>23</v>
      </c>
      <c r="E155" s="13"/>
    </row>
    <row r="156" spans="2:8">
      <c r="B156" t="s">
        <v>50</v>
      </c>
      <c r="C156">
        <v>2.1</v>
      </c>
      <c r="D156" s="2"/>
      <c r="E156" s="13"/>
    </row>
    <row r="157" spans="2:8">
      <c r="B157" t="s">
        <v>12</v>
      </c>
      <c r="C157">
        <v>31.02</v>
      </c>
      <c r="D157" s="2"/>
      <c r="E157" s="13"/>
    </row>
    <row r="158" spans="2:8">
      <c r="B158" t="s">
        <v>141</v>
      </c>
      <c r="C158">
        <v>10.280000000000001</v>
      </c>
      <c r="D158" s="2"/>
      <c r="E158" s="13"/>
    </row>
    <row r="159" spans="2:8">
      <c r="B159" t="s">
        <v>26</v>
      </c>
      <c r="C159">
        <v>5.3</v>
      </c>
      <c r="D159" s="2"/>
      <c r="E159" s="13"/>
    </row>
    <row r="160" spans="2:8">
      <c r="D160" s="2"/>
      <c r="E160" s="13"/>
    </row>
    <row r="161" spans="2:5">
      <c r="B161" s="2" t="s">
        <v>51</v>
      </c>
      <c r="D161" s="2">
        <f>STDEV(C162:C167)/(SQRT(COUNT(C162:C167)))</f>
        <v>1.6573468972359944</v>
      </c>
      <c r="E161" s="13"/>
    </row>
    <row r="162" spans="2:5">
      <c r="B162" t="s">
        <v>7</v>
      </c>
      <c r="C162">
        <v>6.2</v>
      </c>
      <c r="E162" s="13"/>
    </row>
    <row r="163" spans="2:5">
      <c r="B163" t="s">
        <v>39</v>
      </c>
      <c r="C163">
        <v>2.1</v>
      </c>
      <c r="D163" s="2"/>
      <c r="E163" s="13"/>
    </row>
    <row r="164" spans="2:5">
      <c r="B164" t="s">
        <v>12</v>
      </c>
      <c r="C164">
        <v>8.8544</v>
      </c>
      <c r="E164" s="13"/>
    </row>
    <row r="165" spans="2:5">
      <c r="B165" t="s">
        <v>141</v>
      </c>
      <c r="C165">
        <v>12.68</v>
      </c>
      <c r="E165" s="13"/>
    </row>
    <row r="166" spans="2:5">
      <c r="B166" t="s">
        <v>89</v>
      </c>
      <c r="C166">
        <v>4.5</v>
      </c>
      <c r="E166" s="13"/>
    </row>
    <row r="167" spans="2:5">
      <c r="B167" t="s">
        <v>124</v>
      </c>
      <c r="C167">
        <v>2.5</v>
      </c>
      <c r="E167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AC140-573E-AB48-A091-578A92E9B1AA}">
  <dimension ref="A1:U119"/>
  <sheetViews>
    <sheetView workbookViewId="0"/>
  </sheetViews>
  <sheetFormatPr defaultColWidth="11" defaultRowHeight="15.75"/>
  <cols>
    <col min="1" max="1" width="73.375" customWidth="1"/>
    <col min="2" max="2" width="24.375" customWidth="1"/>
    <col min="3" max="3" width="28.125" customWidth="1"/>
    <col min="5" max="5" width="11.875" customWidth="1"/>
    <col min="6" max="6" width="11.5" customWidth="1"/>
    <col min="14" max="14" width="30.125" customWidth="1"/>
  </cols>
  <sheetData>
    <row r="1" spans="1:21" ht="18.75">
      <c r="A1" s="18" t="s">
        <v>161</v>
      </c>
    </row>
    <row r="2" spans="1:21">
      <c r="C2" s="12" t="s">
        <v>135</v>
      </c>
      <c r="N2" s="12" t="s">
        <v>135</v>
      </c>
    </row>
    <row r="3" spans="1:21">
      <c r="A3" t="s">
        <v>162</v>
      </c>
      <c r="C3" s="8" t="s">
        <v>137</v>
      </c>
      <c r="N3" s="8" t="s">
        <v>138</v>
      </c>
    </row>
    <row r="4" spans="1:21">
      <c r="A4" t="s">
        <v>165</v>
      </c>
      <c r="C4" s="6"/>
      <c r="D4" s="6"/>
      <c r="E4" s="6"/>
      <c r="F4" s="6"/>
      <c r="G4" s="6"/>
      <c r="H4" s="6"/>
      <c r="I4" s="6"/>
      <c r="J4" s="6"/>
      <c r="K4" s="6"/>
    </row>
    <row r="5" spans="1:21">
      <c r="A5" t="s">
        <v>164</v>
      </c>
      <c r="C5" s="7" t="s">
        <v>4</v>
      </c>
      <c r="D5" s="6"/>
      <c r="E5" s="6"/>
      <c r="F5" s="6"/>
      <c r="G5" s="15" t="s">
        <v>6</v>
      </c>
      <c r="H5" s="15" t="s">
        <v>157</v>
      </c>
      <c r="I5" s="15" t="s">
        <v>158</v>
      </c>
      <c r="J5" s="15" t="s">
        <v>159</v>
      </c>
      <c r="K5" s="15" t="s">
        <v>160</v>
      </c>
      <c r="N5" s="15" t="s">
        <v>99</v>
      </c>
      <c r="O5" s="6"/>
      <c r="P5" s="6"/>
      <c r="Q5" s="15" t="s">
        <v>6</v>
      </c>
      <c r="R5" s="15" t="s">
        <v>163</v>
      </c>
      <c r="S5" s="15" t="s">
        <v>158</v>
      </c>
      <c r="T5" s="15" t="s">
        <v>159</v>
      </c>
      <c r="U5" s="15" t="s">
        <v>160</v>
      </c>
    </row>
    <row r="6" spans="1:21">
      <c r="C6" s="6" t="s">
        <v>14</v>
      </c>
      <c r="D6" s="6">
        <v>105.8</v>
      </c>
      <c r="E6" s="6">
        <f>D6/105.8</f>
        <v>1</v>
      </c>
      <c r="F6" s="6">
        <f>E6+1</f>
        <v>2</v>
      </c>
      <c r="G6" s="6">
        <f>SUM(F6:F18)</f>
        <v>14.465973534971644</v>
      </c>
      <c r="H6" s="6">
        <f>F6*(F6-1)</f>
        <v>2</v>
      </c>
      <c r="I6" s="6">
        <f>SUM(H6:H18)</f>
        <v>2.5008710303350812</v>
      </c>
      <c r="J6" s="6">
        <f>I6/(G6*(G6-1))</f>
        <v>1.2838251314770958E-2</v>
      </c>
      <c r="K6" s="6">
        <f>1-J6</f>
        <v>0.98716174868522899</v>
      </c>
      <c r="N6" s="6" t="s">
        <v>14</v>
      </c>
      <c r="O6" s="6">
        <v>6.9240000000000004</v>
      </c>
      <c r="P6" s="6">
        <v>2</v>
      </c>
      <c r="Q6" s="6">
        <v>2</v>
      </c>
      <c r="R6" s="6">
        <f>P6*(P6-1)</f>
        <v>2</v>
      </c>
      <c r="S6" s="6">
        <v>2</v>
      </c>
      <c r="T6" s="6">
        <f>S6/(Q6*(Q6-1))</f>
        <v>1</v>
      </c>
      <c r="U6" s="6">
        <v>0</v>
      </c>
    </row>
    <row r="7" spans="1:21">
      <c r="C7" s="6" t="s">
        <v>8</v>
      </c>
      <c r="D7" s="6">
        <v>2.1</v>
      </c>
      <c r="E7" s="6">
        <f t="shared" ref="E7:E18" si="0">D7/105.8</f>
        <v>1.9848771266540645E-2</v>
      </c>
      <c r="F7" s="6">
        <f t="shared" ref="F7:F18" si="1">E7+1</f>
        <v>1.0198487712665407</v>
      </c>
      <c r="G7" s="6"/>
      <c r="H7" s="6">
        <f t="shared" ref="H7:H18" si="2">F7*(F7-1)</f>
        <v>2.0242744987332174E-2</v>
      </c>
      <c r="I7" s="6"/>
      <c r="J7" s="6"/>
      <c r="K7" s="6"/>
      <c r="N7" s="6"/>
      <c r="O7" s="6"/>
      <c r="P7" s="6"/>
      <c r="Q7" s="6"/>
      <c r="R7" s="6"/>
      <c r="S7" s="6"/>
      <c r="T7" s="6"/>
      <c r="U7" s="6"/>
    </row>
    <row r="8" spans="1:21">
      <c r="C8" s="6" t="s">
        <v>63</v>
      </c>
      <c r="D8" s="6">
        <v>2.5</v>
      </c>
      <c r="E8" s="6">
        <f t="shared" si="0"/>
        <v>2.3629489603024575E-2</v>
      </c>
      <c r="F8" s="6">
        <f t="shared" si="1"/>
        <v>1.0236294896030245</v>
      </c>
      <c r="G8" s="6"/>
      <c r="H8" s="6">
        <f t="shared" si="2"/>
        <v>2.418784238192391E-2</v>
      </c>
      <c r="I8" s="6"/>
      <c r="J8" s="6"/>
      <c r="K8" s="6"/>
      <c r="N8" s="15" t="s">
        <v>13</v>
      </c>
      <c r="O8" s="6"/>
      <c r="P8" s="6"/>
      <c r="Q8" s="6"/>
      <c r="R8" s="6"/>
      <c r="S8" s="6"/>
      <c r="T8" s="6"/>
      <c r="U8" s="6"/>
    </row>
    <row r="9" spans="1:21">
      <c r="C9" s="6" t="s">
        <v>9</v>
      </c>
      <c r="D9" s="6">
        <v>16.600000000000001</v>
      </c>
      <c r="E9" s="6">
        <f t="shared" si="0"/>
        <v>0.1568998109640832</v>
      </c>
      <c r="F9" s="6">
        <f t="shared" si="1"/>
        <v>1.1568998109640831</v>
      </c>
      <c r="G9" s="6"/>
      <c r="H9" s="6">
        <f t="shared" si="2"/>
        <v>0.18151736164464813</v>
      </c>
      <c r="I9" s="6"/>
      <c r="J9" s="6"/>
      <c r="K9" s="6"/>
      <c r="N9" s="6" t="s">
        <v>14</v>
      </c>
      <c r="O9" s="6">
        <v>2.4809999999999999</v>
      </c>
      <c r="P9" s="6">
        <f>(O9/2.481)+1</f>
        <v>2</v>
      </c>
      <c r="Q9" s="6">
        <v>4</v>
      </c>
      <c r="R9" s="6">
        <v>2</v>
      </c>
      <c r="S9" s="6">
        <v>4</v>
      </c>
      <c r="T9" s="6">
        <f>S9/(Q9*(Q9-1))</f>
        <v>0.33333333333333331</v>
      </c>
      <c r="U9" s="6">
        <f>1-T9</f>
        <v>0.66666666666666674</v>
      </c>
    </row>
    <row r="10" spans="1:21">
      <c r="C10" s="6" t="s">
        <v>11</v>
      </c>
      <c r="D10" s="6">
        <v>2.1</v>
      </c>
      <c r="E10" s="6">
        <f t="shared" si="0"/>
        <v>1.9848771266540645E-2</v>
      </c>
      <c r="F10" s="6">
        <f t="shared" si="1"/>
        <v>1.0198487712665407</v>
      </c>
      <c r="G10" s="6"/>
      <c r="H10" s="6">
        <f t="shared" si="2"/>
        <v>2.0242744987332174E-2</v>
      </c>
      <c r="I10" s="6"/>
      <c r="J10" s="6"/>
      <c r="K10" s="6"/>
      <c r="N10" s="6" t="s">
        <v>22</v>
      </c>
      <c r="O10" s="6">
        <v>2.4809999999999999</v>
      </c>
      <c r="P10" s="6">
        <f>(O10/2.481)+1</f>
        <v>2</v>
      </c>
      <c r="Q10" s="6"/>
      <c r="R10" s="6">
        <v>2</v>
      </c>
      <c r="S10" s="6"/>
      <c r="T10" s="6"/>
      <c r="U10" s="6"/>
    </row>
    <row r="11" spans="1:21">
      <c r="C11" s="6" t="s">
        <v>16</v>
      </c>
      <c r="D11" s="6">
        <v>2.5</v>
      </c>
      <c r="E11" s="6">
        <f t="shared" si="0"/>
        <v>2.3629489603024575E-2</v>
      </c>
      <c r="F11" s="6">
        <f t="shared" si="1"/>
        <v>1.0236294896030245</v>
      </c>
      <c r="G11" s="6"/>
      <c r="H11" s="6">
        <f t="shared" si="2"/>
        <v>2.418784238192391E-2</v>
      </c>
      <c r="I11" s="6"/>
      <c r="J11" s="6"/>
      <c r="K11" s="6"/>
      <c r="N11" s="6"/>
      <c r="O11" s="6"/>
      <c r="P11" s="6"/>
      <c r="Q11" s="6"/>
      <c r="R11" s="6"/>
      <c r="S11" s="6"/>
      <c r="T11" s="6"/>
      <c r="U11" s="6"/>
    </row>
    <row r="12" spans="1:21">
      <c r="C12" s="6" t="s">
        <v>21</v>
      </c>
      <c r="D12" s="6">
        <v>2.5</v>
      </c>
      <c r="E12" s="6">
        <f t="shared" si="0"/>
        <v>2.3629489603024575E-2</v>
      </c>
      <c r="F12" s="6">
        <f t="shared" si="1"/>
        <v>1.0236294896030245</v>
      </c>
      <c r="G12" s="6"/>
      <c r="H12" s="6">
        <f t="shared" si="2"/>
        <v>2.418784238192391E-2</v>
      </c>
      <c r="I12" s="6"/>
      <c r="J12" s="6"/>
      <c r="K12" s="6"/>
      <c r="N12" s="15" t="s">
        <v>18</v>
      </c>
      <c r="O12" s="6">
        <v>0</v>
      </c>
      <c r="P12" s="6"/>
      <c r="Q12" s="6"/>
      <c r="R12" s="6"/>
      <c r="S12" s="6"/>
      <c r="T12" s="6"/>
      <c r="U12" s="6">
        <v>0</v>
      </c>
    </row>
    <row r="13" spans="1:21">
      <c r="C13" s="6" t="s">
        <v>64</v>
      </c>
      <c r="D13" s="6">
        <v>2.5</v>
      </c>
      <c r="E13" s="6">
        <f t="shared" si="0"/>
        <v>2.3629489603024575E-2</v>
      </c>
      <c r="F13" s="6">
        <f t="shared" si="1"/>
        <v>1.0236294896030245</v>
      </c>
      <c r="G13" s="6"/>
      <c r="H13" s="6">
        <f t="shared" si="2"/>
        <v>2.418784238192391E-2</v>
      </c>
      <c r="I13" s="6"/>
      <c r="J13" s="6"/>
      <c r="K13" s="6"/>
      <c r="N13" s="6"/>
      <c r="O13" s="6"/>
      <c r="P13" s="6"/>
      <c r="Q13" s="6"/>
      <c r="R13" s="6"/>
      <c r="S13" s="6"/>
      <c r="T13" s="6"/>
      <c r="U13" s="6"/>
    </row>
    <row r="14" spans="1:21">
      <c r="C14" s="6" t="s">
        <v>65</v>
      </c>
      <c r="D14" s="6">
        <v>2.5</v>
      </c>
      <c r="E14" s="6">
        <f t="shared" si="0"/>
        <v>2.3629489603024575E-2</v>
      </c>
      <c r="F14" s="6">
        <f t="shared" si="1"/>
        <v>1.0236294896030245</v>
      </c>
      <c r="G14" s="6"/>
      <c r="H14" s="6">
        <f t="shared" si="2"/>
        <v>2.418784238192391E-2</v>
      </c>
      <c r="I14" s="6"/>
      <c r="J14" s="6"/>
      <c r="K14" s="6"/>
      <c r="N14" s="15" t="s">
        <v>19</v>
      </c>
      <c r="O14" s="6"/>
      <c r="P14" s="6"/>
      <c r="Q14" s="6"/>
      <c r="R14" s="6"/>
      <c r="S14" s="6"/>
      <c r="T14" s="6"/>
      <c r="U14" s="6"/>
    </row>
    <row r="15" spans="1:21">
      <c r="C15" s="6" t="s">
        <v>66</v>
      </c>
      <c r="D15" s="6">
        <v>4.5</v>
      </c>
      <c r="E15" s="6">
        <f t="shared" si="0"/>
        <v>4.2533081285444238E-2</v>
      </c>
      <c r="F15" s="6">
        <f t="shared" si="1"/>
        <v>1.0425330812854443</v>
      </c>
      <c r="G15" s="6"/>
      <c r="H15" s="6">
        <f t="shared" si="2"/>
        <v>4.4342144289078518E-2</v>
      </c>
      <c r="I15" s="6"/>
      <c r="J15" s="6"/>
      <c r="K15" s="6"/>
      <c r="N15" s="6" t="s">
        <v>14</v>
      </c>
      <c r="O15" s="6">
        <v>1.885</v>
      </c>
      <c r="P15" s="6"/>
      <c r="Q15" s="6"/>
      <c r="R15" s="6"/>
      <c r="S15" s="6"/>
      <c r="T15" s="6"/>
      <c r="U15" s="6">
        <v>0</v>
      </c>
    </row>
    <row r="16" spans="1:21">
      <c r="A16" s="19"/>
      <c r="C16" s="6" t="s">
        <v>68</v>
      </c>
      <c r="D16" s="6">
        <v>2.5</v>
      </c>
      <c r="E16" s="6">
        <f t="shared" si="0"/>
        <v>2.3629489603024575E-2</v>
      </c>
      <c r="F16" s="6">
        <f t="shared" si="1"/>
        <v>1.0236294896030245</v>
      </c>
      <c r="G16" s="6"/>
      <c r="H16" s="6">
        <f t="shared" si="2"/>
        <v>2.418784238192391E-2</v>
      </c>
      <c r="I16" s="6"/>
      <c r="J16" s="6"/>
      <c r="K16" s="6"/>
      <c r="N16" s="6"/>
      <c r="O16" s="6"/>
      <c r="P16" s="6"/>
      <c r="Q16" s="6"/>
      <c r="R16" s="6"/>
      <c r="S16" s="6"/>
      <c r="T16" s="6"/>
      <c r="U16" s="6"/>
    </row>
    <row r="17" spans="3:21">
      <c r="C17" s="6" t="s">
        <v>69</v>
      </c>
      <c r="D17" s="6">
        <v>6.5</v>
      </c>
      <c r="E17" s="6">
        <f t="shared" si="0"/>
        <v>6.1436672967863898E-2</v>
      </c>
      <c r="F17" s="6">
        <f t="shared" si="1"/>
        <v>1.0614366729678639</v>
      </c>
      <c r="G17" s="6"/>
      <c r="H17" s="6">
        <f t="shared" si="2"/>
        <v>6.5211137753224194E-2</v>
      </c>
      <c r="I17" s="6"/>
      <c r="J17" s="6"/>
      <c r="K17" s="6"/>
      <c r="N17" s="15" t="s">
        <v>81</v>
      </c>
      <c r="O17" s="6"/>
      <c r="P17" s="6"/>
      <c r="Q17" s="6"/>
      <c r="R17" s="6"/>
      <c r="S17" s="6"/>
      <c r="T17" s="6"/>
      <c r="U17" s="6"/>
    </row>
    <row r="18" spans="3:21">
      <c r="C18" s="6" t="s">
        <v>70</v>
      </c>
      <c r="D18" s="6">
        <v>2.5</v>
      </c>
      <c r="E18" s="6">
        <f t="shared" si="0"/>
        <v>2.3629489603024575E-2</v>
      </c>
      <c r="F18" s="6">
        <f t="shared" si="1"/>
        <v>1.0236294896030245</v>
      </c>
      <c r="G18" s="6"/>
      <c r="H18" s="6">
        <f t="shared" si="2"/>
        <v>2.418784238192391E-2</v>
      </c>
      <c r="I18" s="6"/>
      <c r="J18" s="6"/>
      <c r="K18" s="6"/>
      <c r="N18" s="6" t="s">
        <v>14</v>
      </c>
      <c r="O18" s="6">
        <v>3.4489999999999998</v>
      </c>
      <c r="P18" s="6">
        <f>(O18/O18)+1</f>
        <v>2</v>
      </c>
      <c r="Q18" s="6">
        <f>SUM(P18:P20)</f>
        <v>3.7712380400115979</v>
      </c>
      <c r="R18" s="6">
        <f>P18*(P18-1)</f>
        <v>2</v>
      </c>
      <c r="S18" s="6">
        <f>SUM(R18:R19)</f>
        <v>3.3660461543725284</v>
      </c>
      <c r="T18" s="6">
        <f>S18/(Q18*(Q18-1))</f>
        <v>0.32207891084706214</v>
      </c>
      <c r="U18" s="6">
        <f>1-T18</f>
        <v>0.67792108915293792</v>
      </c>
    </row>
    <row r="19" spans="3:21">
      <c r="C19" s="6"/>
      <c r="D19" s="6"/>
      <c r="E19" s="6"/>
      <c r="F19" s="6"/>
      <c r="G19" s="6"/>
      <c r="H19" s="6"/>
      <c r="I19" s="6"/>
      <c r="J19" s="6"/>
      <c r="K19" s="6"/>
      <c r="N19" s="6" t="s">
        <v>22</v>
      </c>
      <c r="O19" s="6">
        <v>2.66</v>
      </c>
      <c r="P19" s="6">
        <f>(O19/O18)+1</f>
        <v>1.7712380400115977</v>
      </c>
      <c r="Q19" s="6"/>
      <c r="R19" s="6">
        <f>P19*(P19-1)</f>
        <v>1.3660461543725284</v>
      </c>
      <c r="S19" s="6"/>
      <c r="T19" s="6"/>
      <c r="U19" s="6"/>
    </row>
    <row r="20" spans="3:21">
      <c r="C20" s="7" t="s">
        <v>13</v>
      </c>
      <c r="D20" s="6"/>
      <c r="E20" s="6"/>
      <c r="F20" s="6"/>
      <c r="G20" s="6"/>
      <c r="H20" s="6"/>
      <c r="I20" s="6"/>
      <c r="J20" s="6"/>
      <c r="K20" s="6"/>
      <c r="N20" s="6"/>
      <c r="O20" s="6"/>
      <c r="P20" s="6"/>
      <c r="Q20" s="6"/>
      <c r="R20" s="6"/>
      <c r="S20" s="6"/>
      <c r="T20" s="6"/>
      <c r="U20" s="6"/>
    </row>
    <row r="21" spans="3:21">
      <c r="C21" s="6" t="s">
        <v>14</v>
      </c>
      <c r="D21" s="6">
        <v>87.4</v>
      </c>
      <c r="E21" s="6">
        <f>D21/87.4</f>
        <v>1</v>
      </c>
      <c r="F21" s="6">
        <f>E21+1</f>
        <v>2</v>
      </c>
      <c r="G21" s="6"/>
      <c r="H21" s="6">
        <f>F21*(F21-1)</f>
        <v>2</v>
      </c>
      <c r="I21" s="6">
        <f>SUM(H21:H33)</f>
        <v>2.4437133775638959</v>
      </c>
      <c r="J21" s="6">
        <f>I21/(G22*(G22-1))</f>
        <v>1.2646834372074889E-2</v>
      </c>
      <c r="K21" s="6">
        <f>1-J21</f>
        <v>0.98735316562792508</v>
      </c>
      <c r="N21" s="15" t="s">
        <v>30</v>
      </c>
      <c r="O21" s="6"/>
      <c r="P21" s="6"/>
      <c r="Q21" s="6"/>
      <c r="R21" s="6"/>
      <c r="S21" s="6"/>
      <c r="T21" s="6"/>
      <c r="U21" s="6">
        <v>0</v>
      </c>
    </row>
    <row r="22" spans="3:21">
      <c r="C22" s="6" t="s">
        <v>72</v>
      </c>
      <c r="D22" s="6">
        <v>2.9</v>
      </c>
      <c r="E22" s="6">
        <f t="shared" ref="E22:E33" si="3">D22/87.4</f>
        <v>3.3180778032036611E-2</v>
      </c>
      <c r="F22" s="6">
        <f t="shared" ref="F22:F33" si="4">E22+1</f>
        <v>1.0331807780320366</v>
      </c>
      <c r="G22" s="6">
        <f>SUM(F21:F33)</f>
        <v>14.409610983981693</v>
      </c>
      <c r="H22" s="6">
        <f t="shared" ref="H22:H33" si="5">F22*(F22-1)</f>
        <v>3.4281742062847842E-2</v>
      </c>
      <c r="I22" s="6"/>
      <c r="J22" s="6"/>
      <c r="K22" s="6"/>
      <c r="N22" s="6"/>
      <c r="O22" s="6">
        <v>0</v>
      </c>
      <c r="P22" s="6"/>
      <c r="Q22" s="6"/>
      <c r="R22" s="6"/>
      <c r="S22" s="6"/>
      <c r="T22" s="6"/>
      <c r="U22" s="6"/>
    </row>
    <row r="23" spans="3:21">
      <c r="C23" s="6" t="s">
        <v>50</v>
      </c>
      <c r="D23" s="6">
        <v>1.3</v>
      </c>
      <c r="E23" s="6">
        <f t="shared" si="3"/>
        <v>1.4874141876430205E-2</v>
      </c>
      <c r="F23" s="6">
        <f t="shared" si="4"/>
        <v>1.0148741418764302</v>
      </c>
      <c r="G23" s="6"/>
      <c r="H23" s="6">
        <f t="shared" si="5"/>
        <v>1.5095381972990388E-2</v>
      </c>
      <c r="I23" s="6"/>
      <c r="J23" s="6"/>
      <c r="K23" s="6"/>
      <c r="N23" s="6"/>
      <c r="O23" s="6"/>
      <c r="P23" s="6"/>
      <c r="Q23" s="6"/>
      <c r="R23" s="6"/>
      <c r="S23" s="6"/>
      <c r="T23" s="6"/>
      <c r="U23" s="6"/>
    </row>
    <row r="24" spans="3:21">
      <c r="C24" s="6" t="s">
        <v>22</v>
      </c>
      <c r="D24" s="6">
        <v>1.3</v>
      </c>
      <c r="E24" s="6">
        <f t="shared" si="3"/>
        <v>1.4874141876430205E-2</v>
      </c>
      <c r="F24" s="6">
        <f t="shared" si="4"/>
        <v>1.0148741418764302</v>
      </c>
      <c r="G24" s="6"/>
      <c r="H24" s="6">
        <f t="shared" si="5"/>
        <v>1.5095381972990388E-2</v>
      </c>
      <c r="I24" s="6"/>
      <c r="J24" s="6"/>
      <c r="K24" s="6"/>
      <c r="N24" s="15" t="s">
        <v>34</v>
      </c>
      <c r="O24" s="6"/>
      <c r="P24" s="6"/>
      <c r="Q24" s="6"/>
      <c r="R24" s="6"/>
      <c r="S24" s="6"/>
      <c r="T24" s="6"/>
      <c r="U24" s="6"/>
    </row>
    <row r="25" spans="3:21">
      <c r="C25" s="6" t="s">
        <v>73</v>
      </c>
      <c r="D25" s="6">
        <v>1.3</v>
      </c>
      <c r="E25" s="6">
        <f t="shared" si="3"/>
        <v>1.4874141876430205E-2</v>
      </c>
      <c r="F25" s="6">
        <f t="shared" si="4"/>
        <v>1.0148741418764302</v>
      </c>
      <c r="G25" s="6"/>
      <c r="H25" s="6">
        <f t="shared" si="5"/>
        <v>1.5095381972990388E-2</v>
      </c>
      <c r="I25" s="6"/>
      <c r="J25" s="6"/>
      <c r="K25" s="6"/>
      <c r="N25" s="6" t="s">
        <v>22</v>
      </c>
      <c r="O25" s="6">
        <v>2.66</v>
      </c>
      <c r="P25" s="6"/>
      <c r="Q25" s="6"/>
      <c r="R25" s="6"/>
      <c r="S25" s="6"/>
      <c r="T25" s="6"/>
      <c r="U25" s="6">
        <v>0</v>
      </c>
    </row>
    <row r="26" spans="3:21">
      <c r="C26" s="6" t="s">
        <v>74</v>
      </c>
      <c r="D26" s="6">
        <v>1.3</v>
      </c>
      <c r="E26" s="6">
        <f t="shared" si="3"/>
        <v>1.4874141876430205E-2</v>
      </c>
      <c r="F26" s="6">
        <f t="shared" si="4"/>
        <v>1.0148741418764302</v>
      </c>
      <c r="G26" s="6"/>
      <c r="H26" s="6">
        <f t="shared" si="5"/>
        <v>1.5095381972990388E-2</v>
      </c>
      <c r="I26" s="6"/>
      <c r="J26" s="6"/>
      <c r="K26" s="6"/>
      <c r="N26" s="6"/>
      <c r="O26" s="6"/>
      <c r="P26" s="6"/>
      <c r="Q26" s="6"/>
      <c r="R26" s="6"/>
      <c r="S26" s="6"/>
      <c r="T26" s="6"/>
      <c r="U26" s="6"/>
    </row>
    <row r="27" spans="3:21">
      <c r="C27" s="6" t="s">
        <v>9</v>
      </c>
      <c r="D27" s="6">
        <v>14.6</v>
      </c>
      <c r="E27" s="6">
        <f t="shared" si="3"/>
        <v>0.16704805491990846</v>
      </c>
      <c r="F27" s="6">
        <f t="shared" si="4"/>
        <v>1.1670480549199085</v>
      </c>
      <c r="G27" s="6"/>
      <c r="H27" s="6">
        <f t="shared" si="5"/>
        <v>0.19495310757243325</v>
      </c>
      <c r="I27" s="6"/>
      <c r="J27" s="6"/>
      <c r="K27" s="6"/>
      <c r="N27" s="15" t="s">
        <v>35</v>
      </c>
      <c r="O27" s="6"/>
      <c r="P27" s="6"/>
      <c r="Q27" s="6"/>
      <c r="R27" s="6"/>
      <c r="S27" s="6"/>
      <c r="T27" s="6"/>
      <c r="U27" s="6"/>
    </row>
    <row r="28" spans="3:21">
      <c r="C28" s="6" t="s">
        <v>15</v>
      </c>
      <c r="D28" s="6">
        <v>2.1</v>
      </c>
      <c r="E28" s="6">
        <f t="shared" si="3"/>
        <v>2.4027459954233409E-2</v>
      </c>
      <c r="F28" s="6">
        <f t="shared" si="4"/>
        <v>1.0240274599542334</v>
      </c>
      <c r="G28" s="6"/>
      <c r="H28" s="6">
        <f t="shared" si="5"/>
        <v>2.4604778786085676E-2</v>
      </c>
      <c r="I28" s="6"/>
      <c r="J28" s="6"/>
      <c r="K28" s="6"/>
      <c r="N28" s="6" t="s">
        <v>14</v>
      </c>
      <c r="O28" s="6">
        <v>2.66</v>
      </c>
      <c r="P28" s="6">
        <f>(O28/2.66)+1</f>
        <v>2</v>
      </c>
      <c r="Q28" s="6">
        <v>6</v>
      </c>
      <c r="R28" s="6">
        <v>2</v>
      </c>
      <c r="S28" s="6">
        <v>6</v>
      </c>
      <c r="T28" s="6">
        <f>S28/(Q28*(Q28-1))</f>
        <v>0.2</v>
      </c>
      <c r="U28" s="6">
        <f>1-T28</f>
        <v>0.8</v>
      </c>
    </row>
    <row r="29" spans="3:21">
      <c r="C29" s="6" t="s">
        <v>65</v>
      </c>
      <c r="D29" s="6">
        <v>2.9</v>
      </c>
      <c r="E29" s="6">
        <f t="shared" si="3"/>
        <v>3.3180778032036611E-2</v>
      </c>
      <c r="F29" s="6">
        <f t="shared" si="4"/>
        <v>1.0331807780320366</v>
      </c>
      <c r="G29" s="6"/>
      <c r="H29" s="6">
        <f t="shared" si="5"/>
        <v>3.4281742062847842E-2</v>
      </c>
      <c r="I29" s="6"/>
      <c r="J29" s="6"/>
      <c r="K29" s="6"/>
      <c r="N29" s="6" t="s">
        <v>105</v>
      </c>
      <c r="O29" s="6">
        <v>2.66</v>
      </c>
      <c r="P29" s="6">
        <f t="shared" ref="P29:P30" si="6">(O29/2.66)+1</f>
        <v>2</v>
      </c>
      <c r="Q29" s="6"/>
      <c r="R29" s="6">
        <v>2</v>
      </c>
      <c r="S29" s="6"/>
      <c r="T29" s="6"/>
      <c r="U29" s="6"/>
    </row>
    <row r="30" spans="3:21">
      <c r="C30" s="6" t="s">
        <v>75</v>
      </c>
      <c r="D30" s="6">
        <v>1.3</v>
      </c>
      <c r="E30" s="6">
        <f t="shared" si="3"/>
        <v>1.4874141876430205E-2</v>
      </c>
      <c r="F30" s="6">
        <f t="shared" si="4"/>
        <v>1.0148741418764302</v>
      </c>
      <c r="G30" s="6"/>
      <c r="H30" s="6">
        <f t="shared" si="5"/>
        <v>1.5095381972990388E-2</v>
      </c>
      <c r="I30" s="6"/>
      <c r="J30" s="6"/>
      <c r="K30" s="6"/>
      <c r="N30" s="6" t="s">
        <v>106</v>
      </c>
      <c r="O30" s="6">
        <v>2.66</v>
      </c>
      <c r="P30" s="6">
        <f t="shared" si="6"/>
        <v>2</v>
      </c>
      <c r="Q30" s="6"/>
      <c r="R30" s="6">
        <v>2</v>
      </c>
      <c r="S30" s="6"/>
      <c r="T30" s="6"/>
      <c r="U30" s="6"/>
    </row>
    <row r="31" spans="3:21">
      <c r="C31" s="6" t="s">
        <v>17</v>
      </c>
      <c r="D31" s="6">
        <v>3.4000000000000004</v>
      </c>
      <c r="E31" s="6">
        <f t="shared" si="3"/>
        <v>3.8901601830663615E-2</v>
      </c>
      <c r="F31" s="6">
        <f t="shared" si="4"/>
        <v>1.0389016018306636</v>
      </c>
      <c r="G31" s="6"/>
      <c r="H31" s="6">
        <f t="shared" si="5"/>
        <v>4.0414936455655089E-2</v>
      </c>
      <c r="I31" s="6"/>
      <c r="J31" s="6"/>
      <c r="K31" s="6"/>
      <c r="N31" s="6"/>
      <c r="O31" s="6"/>
      <c r="P31" s="6"/>
      <c r="Q31" s="6"/>
      <c r="R31" s="6"/>
      <c r="S31" s="6"/>
      <c r="T31" s="6"/>
      <c r="U31" s="6"/>
    </row>
    <row r="32" spans="3:21">
      <c r="C32" s="6" t="s">
        <v>76</v>
      </c>
      <c r="D32" s="6">
        <v>1.3</v>
      </c>
      <c r="E32" s="6">
        <f t="shared" si="3"/>
        <v>1.4874141876430205E-2</v>
      </c>
      <c r="F32" s="6">
        <f t="shared" si="4"/>
        <v>1.0148741418764302</v>
      </c>
      <c r="G32" s="6"/>
      <c r="H32" s="6">
        <f t="shared" si="5"/>
        <v>1.5095381972990388E-2</v>
      </c>
      <c r="I32" s="6"/>
      <c r="J32" s="6"/>
      <c r="K32" s="6"/>
      <c r="N32" s="15" t="s">
        <v>107</v>
      </c>
      <c r="O32" s="6"/>
      <c r="P32" s="6"/>
      <c r="Q32" s="6"/>
      <c r="R32" s="6"/>
      <c r="S32" s="6"/>
      <c r="T32" s="6"/>
      <c r="U32" s="6"/>
    </row>
    <row r="33" spans="3:21">
      <c r="C33" s="6" t="s">
        <v>16</v>
      </c>
      <c r="D33" s="6">
        <v>2.1</v>
      </c>
      <c r="E33" s="6">
        <f t="shared" si="3"/>
        <v>2.4027459954233409E-2</v>
      </c>
      <c r="F33" s="6">
        <f t="shared" si="4"/>
        <v>1.0240274599542334</v>
      </c>
      <c r="G33" s="6"/>
      <c r="H33" s="6">
        <f t="shared" si="5"/>
        <v>2.4604778786085676E-2</v>
      </c>
      <c r="I33" s="6"/>
      <c r="J33" s="6"/>
      <c r="K33" s="6"/>
      <c r="N33" s="6" t="s">
        <v>22</v>
      </c>
      <c r="O33" s="6">
        <v>4.3319999999999999</v>
      </c>
      <c r="P33" s="6">
        <v>2</v>
      </c>
      <c r="Q33" s="6">
        <f>SUM(P33:P34)</f>
        <v>3.6140350877192984</v>
      </c>
      <c r="R33" s="6">
        <f>P33*(P33-1)</f>
        <v>2</v>
      </c>
      <c r="S33" s="6">
        <f>SUM(R33:R34)</f>
        <v>2.9910741766697448</v>
      </c>
      <c r="T33" s="6">
        <f>S33/(Q33*(Q33-1))</f>
        <v>0.31660910927217045</v>
      </c>
      <c r="U33" s="6">
        <f>1-T33</f>
        <v>0.68339089072782955</v>
      </c>
    </row>
    <row r="34" spans="3:21">
      <c r="C34" s="6"/>
      <c r="D34" s="6"/>
      <c r="E34" s="6"/>
      <c r="F34" s="6"/>
      <c r="G34" s="6"/>
      <c r="H34" s="6"/>
      <c r="I34" s="6"/>
      <c r="J34" s="6"/>
      <c r="K34" s="6"/>
      <c r="N34" s="6" t="s">
        <v>73</v>
      </c>
      <c r="O34" s="6">
        <v>2.66</v>
      </c>
      <c r="P34" s="6">
        <f>(O34/O33)+1</f>
        <v>1.6140350877192984</v>
      </c>
      <c r="Q34" s="6"/>
      <c r="R34" s="6">
        <f>P34*(P34-1)</f>
        <v>0.99107417666974484</v>
      </c>
      <c r="S34" s="6"/>
      <c r="T34" s="6"/>
      <c r="U34" s="6"/>
    </row>
    <row r="35" spans="3:21">
      <c r="C35" s="7" t="s">
        <v>18</v>
      </c>
      <c r="D35" s="6"/>
      <c r="E35" s="6"/>
      <c r="F35" s="6"/>
      <c r="G35" s="6"/>
      <c r="H35" s="6"/>
      <c r="I35" s="6"/>
      <c r="J35" s="6"/>
      <c r="K35" s="6"/>
      <c r="N35" s="6"/>
      <c r="O35" s="6"/>
      <c r="P35" s="6"/>
      <c r="Q35" s="6"/>
      <c r="R35" s="6"/>
      <c r="S35" s="6"/>
      <c r="T35" s="6"/>
      <c r="U35" s="6"/>
    </row>
    <row r="36" spans="3:21">
      <c r="C36" s="6" t="s">
        <v>14</v>
      </c>
      <c r="D36" s="6">
        <v>30.2</v>
      </c>
      <c r="E36" s="6">
        <f>D36/30.2</f>
        <v>1</v>
      </c>
      <c r="F36" s="6">
        <f>E36+1</f>
        <v>2</v>
      </c>
      <c r="G36" s="6">
        <f>SUM(F36:F39)</f>
        <v>5.2350993377483448</v>
      </c>
      <c r="H36" s="6">
        <f>F36*(F36-1)</f>
        <v>2</v>
      </c>
      <c r="I36" s="6">
        <f>SUM(H36:H39)</f>
        <v>2.253640191219684</v>
      </c>
      <c r="J36" s="6">
        <f>I36/(G36*(G36-1))</f>
        <v>0.1016473476323365</v>
      </c>
      <c r="K36" s="6">
        <f>1-J36</f>
        <v>0.89835265236766348</v>
      </c>
      <c r="N36" s="15" t="s">
        <v>108</v>
      </c>
      <c r="O36" s="6"/>
      <c r="P36" s="6"/>
      <c r="Q36" s="6"/>
      <c r="R36" s="6"/>
      <c r="S36" s="6"/>
      <c r="T36" s="6"/>
      <c r="U36" s="6"/>
    </row>
    <row r="37" spans="3:21">
      <c r="C37" s="6" t="s">
        <v>9</v>
      </c>
      <c r="D37" s="6">
        <v>2.1</v>
      </c>
      <c r="E37" s="6">
        <f t="shared" ref="E37:E39" si="7">D37/30.2</f>
        <v>6.9536423841059611E-2</v>
      </c>
      <c r="F37" s="6">
        <f t="shared" ref="F37:F39" si="8">E37+1</f>
        <v>1.0695364238410596</v>
      </c>
      <c r="G37" s="6"/>
      <c r="H37" s="6">
        <f>F37*(F37-1)</f>
        <v>7.4371738081663114E-2</v>
      </c>
      <c r="I37" s="6"/>
      <c r="J37" s="6"/>
      <c r="K37" s="6"/>
      <c r="N37" s="6" t="s">
        <v>14</v>
      </c>
      <c r="O37" s="6">
        <v>8.4969999999999999</v>
      </c>
      <c r="P37" s="6">
        <f>(O37/8.497)+1</f>
        <v>2</v>
      </c>
      <c r="Q37" s="6">
        <f>SUM(P37:P43)</f>
        <v>11.058961986583499</v>
      </c>
      <c r="R37" s="6">
        <f>P37*(P37-1)</f>
        <v>2</v>
      </c>
      <c r="S37" s="6">
        <f>SUM(R37:R43)</f>
        <v>7.0798209709498918</v>
      </c>
      <c r="T37" s="6">
        <f>S37/(Q37*(Q37-1))</f>
        <v>6.3643600881766169E-2</v>
      </c>
      <c r="U37" s="6">
        <f>1-T37</f>
        <v>0.93635639911823387</v>
      </c>
    </row>
    <row r="38" spans="3:21">
      <c r="C38" s="6" t="s">
        <v>28</v>
      </c>
      <c r="D38" s="6">
        <v>2.5</v>
      </c>
      <c r="E38" s="6">
        <f t="shared" si="7"/>
        <v>8.2781456953642391E-2</v>
      </c>
      <c r="F38" s="6">
        <f t="shared" si="8"/>
        <v>1.0827814569536425</v>
      </c>
      <c r="G38" s="6"/>
      <c r="H38" s="6">
        <f>F38*(F38-1)</f>
        <v>8.9634226569010239E-2</v>
      </c>
      <c r="I38" s="6"/>
      <c r="J38" s="6"/>
      <c r="K38" s="6"/>
      <c r="N38" s="6" t="s">
        <v>109</v>
      </c>
      <c r="O38" s="6">
        <v>2.6659999999999999</v>
      </c>
      <c r="P38" s="6">
        <f t="shared" ref="P38:P43" si="9">(O38/8.497)+1</f>
        <v>1.3137577968694834</v>
      </c>
      <c r="Q38" s="6"/>
      <c r="R38" s="6">
        <f t="shared" ref="R38:R43" si="10">P38*(P38-1)</f>
        <v>0.41220175196587533</v>
      </c>
      <c r="S38" s="6"/>
      <c r="T38" s="6"/>
      <c r="U38" s="6"/>
    </row>
    <row r="39" spans="3:21">
      <c r="C39" s="6" t="s">
        <v>65</v>
      </c>
      <c r="D39" s="6">
        <v>2.5</v>
      </c>
      <c r="E39" s="6">
        <f t="shared" si="7"/>
        <v>8.2781456953642391E-2</v>
      </c>
      <c r="F39" s="6">
        <f t="shared" si="8"/>
        <v>1.0827814569536425</v>
      </c>
      <c r="G39" s="6"/>
      <c r="H39" s="6">
        <f>F39*(F39-1)</f>
        <v>8.9634226569010239E-2</v>
      </c>
      <c r="I39" s="6"/>
      <c r="J39" s="6"/>
      <c r="K39" s="6"/>
      <c r="N39" s="6" t="s">
        <v>110</v>
      </c>
      <c r="O39" s="6">
        <v>2.6659999999999999</v>
      </c>
      <c r="P39" s="6">
        <f t="shared" si="9"/>
        <v>1.3137577968694834</v>
      </c>
      <c r="Q39" s="6"/>
      <c r="R39" s="6">
        <f t="shared" si="10"/>
        <v>0.41220175196587533</v>
      </c>
      <c r="S39" s="6"/>
      <c r="T39" s="6"/>
      <c r="U39" s="6"/>
    </row>
    <row r="40" spans="3:21">
      <c r="C40" s="6"/>
      <c r="D40" s="6"/>
      <c r="E40" s="6"/>
      <c r="F40" s="6"/>
      <c r="G40" s="6"/>
      <c r="H40" s="6"/>
      <c r="I40" s="6"/>
      <c r="J40" s="6"/>
      <c r="K40" s="6"/>
      <c r="N40" s="6" t="s">
        <v>69</v>
      </c>
      <c r="O40" s="6">
        <v>7.6639999999999997</v>
      </c>
      <c r="P40" s="6">
        <f t="shared" si="9"/>
        <v>1.9019653995527834</v>
      </c>
      <c r="Q40" s="6"/>
      <c r="R40" s="6">
        <f t="shared" si="10"/>
        <v>1.7155069815431956</v>
      </c>
      <c r="S40" s="6"/>
      <c r="T40" s="6"/>
      <c r="U40" s="6"/>
    </row>
    <row r="41" spans="3:21">
      <c r="C41" s="7" t="s">
        <v>19</v>
      </c>
      <c r="D41" s="6"/>
      <c r="E41" s="6"/>
      <c r="F41" s="6"/>
      <c r="G41" s="6"/>
      <c r="H41" s="6"/>
      <c r="I41" s="6"/>
      <c r="J41" s="6"/>
      <c r="K41" s="6"/>
      <c r="N41" s="6" t="s">
        <v>75</v>
      </c>
      <c r="O41" s="6">
        <v>7.6639999999999997</v>
      </c>
      <c r="P41" s="6">
        <f t="shared" si="9"/>
        <v>1.9019653995527834</v>
      </c>
      <c r="Q41" s="6"/>
      <c r="R41" s="6">
        <f t="shared" si="10"/>
        <v>1.7155069815431956</v>
      </c>
      <c r="S41" s="6"/>
      <c r="T41" s="6"/>
      <c r="U41" s="6"/>
    </row>
    <row r="42" spans="3:21">
      <c r="C42" s="6" t="s">
        <v>7</v>
      </c>
      <c r="D42" s="6">
        <v>59</v>
      </c>
      <c r="E42" s="6">
        <f>(D42/59)+1</f>
        <v>2</v>
      </c>
      <c r="F42" s="6">
        <f>SUM(E42:E46)</f>
        <v>6.2796610169491522</v>
      </c>
      <c r="G42" s="6">
        <f>E42*(E42-1)</f>
        <v>2</v>
      </c>
      <c r="H42" s="6">
        <f>SUM(G42:G46)</f>
        <v>2.3083165756966388</v>
      </c>
      <c r="I42" s="6">
        <f>H42/(F42*(F42-1))</f>
        <v>6.962306370940316E-2</v>
      </c>
      <c r="J42" s="6">
        <f>1-I42</f>
        <v>0.93037693629059681</v>
      </c>
      <c r="K42" s="6"/>
      <c r="N42" s="6" t="s">
        <v>111</v>
      </c>
      <c r="O42" s="6">
        <v>2.6659999999999999</v>
      </c>
      <c r="P42" s="6">
        <f t="shared" si="9"/>
        <v>1.3137577968694834</v>
      </c>
      <c r="Q42" s="6"/>
      <c r="R42" s="6">
        <f t="shared" si="10"/>
        <v>0.41220175196587533</v>
      </c>
      <c r="S42" s="6"/>
      <c r="T42" s="6"/>
      <c r="U42" s="6"/>
    </row>
    <row r="43" spans="3:21">
      <c r="C43" s="6" t="s">
        <v>21</v>
      </c>
      <c r="D43" s="6">
        <v>9</v>
      </c>
      <c r="E43" s="6">
        <f t="shared" ref="E43:E46" si="11">(D43/59)+1</f>
        <v>1.152542372881356</v>
      </c>
      <c r="F43" s="6"/>
      <c r="G43" s="6">
        <f t="shared" ref="G43:G46" si="12">E43*(E43-1)</f>
        <v>0.17581154840563062</v>
      </c>
      <c r="H43" s="6"/>
      <c r="I43" s="6"/>
      <c r="J43" s="6"/>
      <c r="K43" s="6"/>
      <c r="N43" s="6" t="s">
        <v>112</v>
      </c>
      <c r="O43" s="6">
        <v>2.6659999999999999</v>
      </c>
      <c r="P43" s="6">
        <f t="shared" si="9"/>
        <v>1.3137577968694834</v>
      </c>
      <c r="Q43" s="6"/>
      <c r="R43" s="6">
        <f t="shared" si="10"/>
        <v>0.41220175196587533</v>
      </c>
      <c r="S43" s="6"/>
      <c r="T43" s="6"/>
      <c r="U43" s="6"/>
    </row>
    <row r="44" spans="3:21">
      <c r="C44" s="6" t="s">
        <v>22</v>
      </c>
      <c r="D44" s="6">
        <v>2.5</v>
      </c>
      <c r="E44" s="6">
        <f t="shared" si="11"/>
        <v>1.0423728813559321</v>
      </c>
      <c r="F44" s="6"/>
      <c r="G44" s="6">
        <f t="shared" si="12"/>
        <v>4.4168342430335988E-2</v>
      </c>
      <c r="H44" s="6"/>
      <c r="I44" s="6"/>
      <c r="J44" s="6"/>
      <c r="K44" s="6"/>
      <c r="N44" s="6"/>
      <c r="O44" s="6"/>
      <c r="P44" s="6"/>
      <c r="Q44" s="6"/>
      <c r="R44" s="6"/>
      <c r="S44" s="6"/>
      <c r="T44" s="6"/>
      <c r="U44" s="6"/>
    </row>
    <row r="45" spans="3:21">
      <c r="C45" s="6" t="s">
        <v>65</v>
      </c>
      <c r="D45" s="6">
        <v>2.5</v>
      </c>
      <c r="E45" s="6">
        <f t="shared" si="11"/>
        <v>1.0423728813559321</v>
      </c>
      <c r="F45" s="6"/>
      <c r="G45" s="6">
        <f t="shared" si="12"/>
        <v>4.4168342430335988E-2</v>
      </c>
      <c r="H45" s="6"/>
      <c r="I45" s="6"/>
      <c r="J45" s="6"/>
      <c r="K45" s="6"/>
      <c r="N45" s="15" t="s">
        <v>45</v>
      </c>
      <c r="O45" s="6"/>
      <c r="P45" s="6"/>
      <c r="Q45" s="6"/>
      <c r="R45" s="6"/>
      <c r="S45" s="6"/>
      <c r="T45" s="6"/>
      <c r="U45" s="6"/>
    </row>
    <row r="46" spans="3:21">
      <c r="C46" s="6" t="s">
        <v>23</v>
      </c>
      <c r="D46" s="6">
        <v>2.5</v>
      </c>
      <c r="E46" s="6">
        <f t="shared" si="11"/>
        <v>1.0423728813559321</v>
      </c>
      <c r="F46" s="6"/>
      <c r="G46" s="6">
        <f t="shared" si="12"/>
        <v>4.4168342430335988E-2</v>
      </c>
      <c r="H46" s="6"/>
      <c r="I46" s="6"/>
      <c r="J46" s="6"/>
      <c r="K46" s="6"/>
      <c r="N46" s="6" t="s">
        <v>14</v>
      </c>
      <c r="O46" s="6">
        <v>9.33</v>
      </c>
      <c r="P46" s="6">
        <f>(O46/9.33)+1</f>
        <v>2</v>
      </c>
      <c r="Q46" s="6">
        <f>SUM(P46:P49)</f>
        <v>6.2143622722400851</v>
      </c>
      <c r="R46" s="6">
        <f>P46*(P46-1)</f>
        <v>2</v>
      </c>
      <c r="S46" s="6">
        <f>SUM(R46:R49)</f>
        <v>3.727177528952117</v>
      </c>
      <c r="T46" s="6">
        <f>S46/(Q46*(Q46-1))</f>
        <v>0.11502236976495776</v>
      </c>
      <c r="U46" s="6">
        <f>1-T46</f>
        <v>0.88497763023504228</v>
      </c>
    </row>
    <row r="47" spans="3:21">
      <c r="C47" s="6"/>
      <c r="D47" s="6"/>
      <c r="E47" s="6"/>
      <c r="F47" s="6"/>
      <c r="G47" s="6"/>
      <c r="H47" s="6"/>
      <c r="I47" s="6"/>
      <c r="J47" s="6"/>
      <c r="K47" s="6"/>
      <c r="N47" s="6" t="s">
        <v>113</v>
      </c>
      <c r="O47" s="6">
        <v>2.6659999999999999</v>
      </c>
      <c r="P47" s="6">
        <f t="shared" ref="P47:P49" si="13">(O47/9.33)+1</f>
        <v>1.2857449088960342</v>
      </c>
      <c r="Q47" s="6"/>
      <c r="R47" s="6">
        <f t="shared" ref="R47:R49" si="14">P47*(P47-1)</f>
        <v>0.3673950618560371</v>
      </c>
      <c r="S47" s="6"/>
      <c r="T47" s="6"/>
      <c r="U47" s="6"/>
    </row>
    <row r="48" spans="3:21">
      <c r="C48" s="7" t="s">
        <v>27</v>
      </c>
      <c r="D48" s="6"/>
      <c r="E48" s="6"/>
      <c r="F48" s="6"/>
      <c r="G48" s="6"/>
      <c r="H48" s="6"/>
      <c r="I48" s="6"/>
      <c r="J48" s="6"/>
      <c r="K48" s="6"/>
      <c r="N48" s="6" t="s">
        <v>21</v>
      </c>
      <c r="O48" s="6">
        <v>4.3319999999999999</v>
      </c>
      <c r="P48" s="6">
        <f t="shared" si="13"/>
        <v>1.4643086816720257</v>
      </c>
      <c r="Q48" s="6"/>
      <c r="R48" s="6">
        <f t="shared" si="14"/>
        <v>0.67989123354804015</v>
      </c>
      <c r="S48" s="6"/>
      <c r="T48" s="6"/>
      <c r="U48" s="6"/>
    </row>
    <row r="49" spans="3:21">
      <c r="C49" s="6" t="s">
        <v>7</v>
      </c>
      <c r="D49" s="6">
        <v>21.5</v>
      </c>
      <c r="E49" s="6">
        <f>(D49/21.5)+1</f>
        <v>2</v>
      </c>
      <c r="F49" s="6">
        <f>SUM(E49:E55)</f>
        <v>8.7767441860465123</v>
      </c>
      <c r="G49" s="6">
        <f>E49*(E49-1)</f>
        <v>2</v>
      </c>
      <c r="H49" s="6">
        <f>SUM(G49:G55)</f>
        <v>2.9188534342888044</v>
      </c>
      <c r="I49" s="6">
        <f>H49/(F49*(F49-1))</f>
        <v>4.276426722247155E-2</v>
      </c>
      <c r="J49" s="6">
        <f>1-I49</f>
        <v>0.95723573277752849</v>
      </c>
      <c r="K49" s="6"/>
      <c r="N49" s="6" t="s">
        <v>75</v>
      </c>
      <c r="O49" s="6">
        <v>4.3319999999999999</v>
      </c>
      <c r="P49" s="6">
        <f t="shared" si="13"/>
        <v>1.4643086816720257</v>
      </c>
      <c r="Q49" s="6"/>
      <c r="R49" s="6">
        <f t="shared" si="14"/>
        <v>0.67989123354804015</v>
      </c>
      <c r="S49" s="6"/>
      <c r="T49" s="6"/>
      <c r="U49" s="6"/>
    </row>
    <row r="50" spans="3:21">
      <c r="C50" s="6" t="s">
        <v>28</v>
      </c>
      <c r="D50" s="6">
        <v>2.5</v>
      </c>
      <c r="E50" s="6">
        <f t="shared" ref="E50:E55" si="15">(D50/21.5)+1</f>
        <v>1.1162790697674418</v>
      </c>
      <c r="F50" s="6"/>
      <c r="G50" s="6">
        <f t="shared" ref="G50:G55" si="16">E50*(E50-1)</f>
        <v>0.12979989183342344</v>
      </c>
      <c r="H50" s="6"/>
      <c r="I50" s="6"/>
      <c r="J50" s="6"/>
      <c r="K50" s="6"/>
      <c r="N50" s="6"/>
      <c r="O50" s="6"/>
      <c r="P50" s="6"/>
      <c r="Q50" s="6"/>
      <c r="R50" s="6"/>
      <c r="S50" s="6"/>
      <c r="T50" s="6"/>
      <c r="U50" s="6"/>
    </row>
    <row r="51" spans="3:21">
      <c r="C51" s="6" t="s">
        <v>29</v>
      </c>
      <c r="D51" s="6">
        <v>2.5</v>
      </c>
      <c r="E51" s="6">
        <f t="shared" si="15"/>
        <v>1.1162790697674418</v>
      </c>
      <c r="F51" s="6"/>
      <c r="G51" s="6">
        <f t="shared" si="16"/>
        <v>0.12979989183342344</v>
      </c>
      <c r="H51" s="6"/>
      <c r="I51" s="6"/>
      <c r="J51" s="6"/>
      <c r="K51" s="6"/>
      <c r="N51" s="15" t="s">
        <v>49</v>
      </c>
      <c r="O51" s="6"/>
      <c r="P51" s="6"/>
      <c r="Q51" s="6"/>
      <c r="R51" s="6"/>
      <c r="S51" s="6"/>
      <c r="T51" s="6"/>
      <c r="U51" s="6">
        <f>1-T52</f>
        <v>0.81949720264146997</v>
      </c>
    </row>
    <row r="52" spans="3:21">
      <c r="C52" s="6" t="s">
        <v>16</v>
      </c>
      <c r="D52" s="6">
        <v>2.5</v>
      </c>
      <c r="E52" s="6">
        <f t="shared" si="15"/>
        <v>1.1162790697674418</v>
      </c>
      <c r="F52" s="6"/>
      <c r="G52" s="6">
        <f t="shared" si="16"/>
        <v>0.12979989183342344</v>
      </c>
      <c r="H52" s="6"/>
      <c r="I52" s="6"/>
      <c r="J52" s="6"/>
      <c r="K52" s="6"/>
      <c r="N52" s="6" t="s">
        <v>14</v>
      </c>
      <c r="O52" s="6">
        <v>5.9980000000000002</v>
      </c>
      <c r="P52" s="6">
        <f>(O52/5.998)+1</f>
        <v>2</v>
      </c>
      <c r="Q52" s="6">
        <f>SUM(P52:P54)</f>
        <v>5.1667222407469158</v>
      </c>
      <c r="R52" s="6">
        <f>P52*(P52-1)</f>
        <v>2</v>
      </c>
      <c r="S52" s="6">
        <f>SUM(R52:R54)</f>
        <v>3.8859177356106587</v>
      </c>
      <c r="T52" s="6">
        <f>S52/(Q52*(Q52-1))</f>
        <v>0.18050279735852998</v>
      </c>
      <c r="U52" s="6"/>
    </row>
    <row r="53" spans="3:21">
      <c r="C53" s="6" t="s">
        <v>22</v>
      </c>
      <c r="D53" s="6">
        <v>6.6</v>
      </c>
      <c r="E53" s="6">
        <f t="shared" si="15"/>
        <v>1.3069767441860465</v>
      </c>
      <c r="F53" s="6"/>
      <c r="G53" s="6">
        <f t="shared" si="16"/>
        <v>0.40121146565711191</v>
      </c>
      <c r="H53" s="6"/>
      <c r="I53" s="6"/>
      <c r="J53" s="6"/>
      <c r="K53" s="6"/>
      <c r="N53" s="6" t="s">
        <v>21</v>
      </c>
      <c r="O53" s="6">
        <v>4.3319999999999999</v>
      </c>
      <c r="P53" s="6">
        <f t="shared" ref="P53:P54" si="17">(O53/5.998)+1</f>
        <v>1.7222407469156384</v>
      </c>
      <c r="Q53" s="6"/>
      <c r="R53" s="6">
        <f t="shared" ref="R53:R54" si="18">P53*(P53-1)</f>
        <v>1.2438724434208976</v>
      </c>
      <c r="S53" s="6"/>
      <c r="T53" s="6"/>
      <c r="U53" s="6"/>
    </row>
    <row r="54" spans="3:21">
      <c r="C54" s="6" t="s">
        <v>82</v>
      </c>
      <c r="D54" s="6">
        <v>1.3</v>
      </c>
      <c r="E54" s="6">
        <f t="shared" si="15"/>
        <v>1.0604651162790697</v>
      </c>
      <c r="F54" s="6"/>
      <c r="G54" s="6">
        <f t="shared" si="16"/>
        <v>6.4121146565711121E-2</v>
      </c>
      <c r="H54" s="6"/>
      <c r="I54" s="6"/>
      <c r="J54" s="6"/>
      <c r="K54" s="6"/>
      <c r="N54" s="6" t="s">
        <v>75</v>
      </c>
      <c r="O54" s="6">
        <v>2.6659999999999999</v>
      </c>
      <c r="P54" s="6">
        <f t="shared" si="17"/>
        <v>1.4444814938312771</v>
      </c>
      <c r="Q54" s="6"/>
      <c r="R54" s="6">
        <f t="shared" si="18"/>
        <v>0.6420452921897607</v>
      </c>
      <c r="S54" s="6"/>
      <c r="T54" s="6"/>
      <c r="U54" s="6"/>
    </row>
    <row r="55" spans="3:21">
      <c r="C55" s="6" t="s">
        <v>83</v>
      </c>
      <c r="D55" s="6">
        <v>1.3</v>
      </c>
      <c r="E55" s="6">
        <f t="shared" si="15"/>
        <v>1.0604651162790697</v>
      </c>
      <c r="F55" s="6"/>
      <c r="G55" s="6">
        <f t="shared" si="16"/>
        <v>6.4121146565711121E-2</v>
      </c>
      <c r="H55" s="6"/>
      <c r="I55" s="6"/>
      <c r="J55" s="6"/>
      <c r="K55" s="6"/>
      <c r="N55" s="6"/>
      <c r="O55" s="6"/>
      <c r="P55" s="6"/>
      <c r="Q55" s="6"/>
      <c r="R55" s="6"/>
      <c r="S55" s="6"/>
      <c r="T55" s="6"/>
      <c r="U55" s="6"/>
    </row>
    <row r="56" spans="3:21">
      <c r="C56" s="6"/>
      <c r="D56" s="6"/>
      <c r="E56" s="6"/>
      <c r="F56" s="6"/>
      <c r="G56" s="6"/>
      <c r="H56" s="6"/>
      <c r="I56" s="6"/>
      <c r="J56" s="6"/>
      <c r="K56" s="6"/>
      <c r="N56" s="15" t="s">
        <v>88</v>
      </c>
      <c r="O56" s="6"/>
      <c r="P56" s="6"/>
      <c r="Q56" s="6"/>
      <c r="R56" s="6"/>
      <c r="S56" s="6"/>
      <c r="T56" s="6"/>
      <c r="U56" s="6"/>
    </row>
    <row r="57" spans="3:21">
      <c r="C57" s="7" t="s">
        <v>30</v>
      </c>
      <c r="D57" s="6"/>
      <c r="E57" s="6"/>
      <c r="F57" s="6"/>
      <c r="G57" s="6"/>
      <c r="H57" s="6"/>
      <c r="I57" s="6"/>
      <c r="J57" s="6"/>
      <c r="K57" s="6"/>
      <c r="N57" s="6" t="s">
        <v>14</v>
      </c>
      <c r="O57" s="6">
        <v>17</v>
      </c>
      <c r="P57" s="6">
        <f>(O57/17)+1</f>
        <v>2</v>
      </c>
      <c r="Q57" s="6">
        <f>SUM(P57:P64)</f>
        <v>10.447058823529412</v>
      </c>
      <c r="R57" s="6">
        <f>P57*(P57-1)</f>
        <v>2</v>
      </c>
      <c r="S57" s="6">
        <f>SUM(R57:R64)</f>
        <v>3.7968166089965387</v>
      </c>
      <c r="T57" s="6">
        <f>S57/(Q57*(Q57-1))</f>
        <v>3.8470600114435718E-2</v>
      </c>
      <c r="U57" s="6">
        <f>1-T57</f>
        <v>0.9615293998855643</v>
      </c>
    </row>
    <row r="58" spans="3:21">
      <c r="C58" s="6" t="s">
        <v>7</v>
      </c>
      <c r="D58" s="6">
        <v>48.6</v>
      </c>
      <c r="E58" s="6">
        <f>(D58/48.6)+1</f>
        <v>2</v>
      </c>
      <c r="F58" s="6">
        <f>SUM(E58:E67)</f>
        <v>11.413580246913579</v>
      </c>
      <c r="G58" s="6">
        <f>E58*(E58-1)</f>
        <v>2</v>
      </c>
      <c r="H58" s="6">
        <f>SUM(G58:G67)</f>
        <v>2.4335340141238646</v>
      </c>
      <c r="I58" s="6">
        <f>H58/(F58*(F58-1))</f>
        <v>2.0474601425614549E-2</v>
      </c>
      <c r="J58" s="6">
        <f>1-I58</f>
        <v>0.97952539857438548</v>
      </c>
      <c r="K58" s="6"/>
      <c r="N58" s="6" t="s">
        <v>116</v>
      </c>
      <c r="O58" s="6">
        <v>2.6</v>
      </c>
      <c r="P58" s="6">
        <f t="shared" ref="P58:P64" si="19">(O58/17)+1</f>
        <v>1.1529411764705881</v>
      </c>
      <c r="Q58" s="6"/>
      <c r="R58" s="6">
        <f t="shared" ref="R58:R64" si="20">P58*(P58-1)</f>
        <v>0.17633217993079572</v>
      </c>
      <c r="S58" s="6"/>
      <c r="T58" s="6"/>
      <c r="U58" s="6"/>
    </row>
    <row r="59" spans="3:21">
      <c r="C59" s="6" t="s">
        <v>31</v>
      </c>
      <c r="D59" s="6">
        <v>2.5</v>
      </c>
      <c r="E59" s="6">
        <f t="shared" ref="E59:E67" si="21">(D59/48.6)+1</f>
        <v>1.0514403292181069</v>
      </c>
      <c r="F59" s="6"/>
      <c r="G59" s="6">
        <f t="shared" ref="G59:G67" si="22">E59*(E59-1)</f>
        <v>5.4086436688174151E-2</v>
      </c>
      <c r="H59" s="6"/>
      <c r="I59" s="6"/>
      <c r="J59" s="6"/>
      <c r="K59" s="6"/>
      <c r="N59" s="6" t="s">
        <v>117</v>
      </c>
      <c r="O59" s="6">
        <v>2.6</v>
      </c>
      <c r="P59" s="6">
        <f t="shared" si="19"/>
        <v>1.1529411764705881</v>
      </c>
      <c r="Q59" s="6"/>
      <c r="R59" s="6">
        <f t="shared" si="20"/>
        <v>0.17633217993079572</v>
      </c>
      <c r="S59" s="6"/>
      <c r="T59" s="6"/>
      <c r="U59" s="6"/>
    </row>
    <row r="60" spans="3:21">
      <c r="C60" s="6" t="s">
        <v>29</v>
      </c>
      <c r="D60" s="6">
        <v>2.5</v>
      </c>
      <c r="E60" s="6">
        <f t="shared" si="21"/>
        <v>1.0514403292181069</v>
      </c>
      <c r="F60" s="6"/>
      <c r="G60" s="6">
        <f t="shared" si="22"/>
        <v>5.4086436688174151E-2</v>
      </c>
      <c r="H60" s="6"/>
      <c r="I60" s="6"/>
      <c r="J60" s="6"/>
      <c r="K60" s="6"/>
      <c r="N60" s="6" t="s">
        <v>43</v>
      </c>
      <c r="O60" s="6">
        <v>2.6</v>
      </c>
      <c r="P60" s="6">
        <f t="shared" si="19"/>
        <v>1.1529411764705881</v>
      </c>
      <c r="Q60" s="6"/>
      <c r="R60" s="6">
        <f t="shared" si="20"/>
        <v>0.17633217993079572</v>
      </c>
      <c r="S60" s="6"/>
      <c r="T60" s="6"/>
      <c r="U60" s="6"/>
    </row>
    <row r="61" spans="3:21">
      <c r="C61" s="6" t="s">
        <v>21</v>
      </c>
      <c r="D61" s="6">
        <v>1.3</v>
      </c>
      <c r="E61" s="6">
        <f t="shared" si="21"/>
        <v>1.0267489711934157</v>
      </c>
      <c r="F61" s="6"/>
      <c r="G61" s="6">
        <f t="shared" si="22"/>
        <v>2.7464478653321866E-2</v>
      </c>
      <c r="H61" s="6"/>
      <c r="I61" s="6"/>
      <c r="J61" s="6"/>
      <c r="K61" s="6"/>
      <c r="N61" s="6" t="s">
        <v>21</v>
      </c>
      <c r="O61" s="6">
        <v>5.8</v>
      </c>
      <c r="P61" s="6">
        <f t="shared" si="19"/>
        <v>1.3411764705882354</v>
      </c>
      <c r="Q61" s="6"/>
      <c r="R61" s="6">
        <f t="shared" si="20"/>
        <v>0.45757785467128048</v>
      </c>
      <c r="S61" s="6"/>
      <c r="T61" s="6"/>
      <c r="U61" s="6"/>
    </row>
    <row r="62" spans="3:21">
      <c r="C62" s="6" t="s">
        <v>72</v>
      </c>
      <c r="D62" s="6">
        <v>1.3</v>
      </c>
      <c r="E62" s="6">
        <f t="shared" si="21"/>
        <v>1.0267489711934157</v>
      </c>
      <c r="F62" s="6"/>
      <c r="G62" s="6">
        <f t="shared" si="22"/>
        <v>2.7464478653321866E-2</v>
      </c>
      <c r="H62" s="6"/>
      <c r="I62" s="6"/>
      <c r="J62" s="6"/>
      <c r="K62" s="6"/>
      <c r="N62" s="6" t="s">
        <v>22</v>
      </c>
      <c r="O62" s="6">
        <v>5.8</v>
      </c>
      <c r="P62" s="6">
        <f t="shared" si="19"/>
        <v>1.3411764705882354</v>
      </c>
      <c r="Q62" s="6"/>
      <c r="R62" s="6">
        <f t="shared" si="20"/>
        <v>0.45757785467128048</v>
      </c>
      <c r="S62" s="6"/>
      <c r="T62" s="6"/>
      <c r="U62" s="6"/>
    </row>
    <row r="63" spans="3:21">
      <c r="C63" s="6" t="s">
        <v>16</v>
      </c>
      <c r="D63" s="6">
        <v>2.5</v>
      </c>
      <c r="E63" s="6">
        <f t="shared" si="21"/>
        <v>1.0514403292181069</v>
      </c>
      <c r="F63" s="6"/>
      <c r="G63" s="6">
        <f t="shared" si="22"/>
        <v>5.4086436688174151E-2</v>
      </c>
      <c r="H63" s="6"/>
      <c r="I63" s="6"/>
      <c r="J63" s="6"/>
      <c r="K63" s="6"/>
      <c r="N63" s="6" t="s">
        <v>70</v>
      </c>
      <c r="O63" s="6">
        <v>2.6</v>
      </c>
      <c r="P63" s="6">
        <f t="shared" si="19"/>
        <v>1.1529411764705881</v>
      </c>
      <c r="Q63" s="6"/>
      <c r="R63" s="6">
        <f t="shared" si="20"/>
        <v>0.17633217993079572</v>
      </c>
      <c r="S63" s="6"/>
      <c r="T63" s="6"/>
      <c r="U63" s="6"/>
    </row>
    <row r="64" spans="3:21">
      <c r="C64" s="6" t="s">
        <v>22</v>
      </c>
      <c r="D64" s="6">
        <v>2.5</v>
      </c>
      <c r="E64" s="6">
        <f t="shared" si="21"/>
        <v>1.0514403292181069</v>
      </c>
      <c r="F64" s="6"/>
      <c r="G64" s="6">
        <f t="shared" si="22"/>
        <v>5.4086436688174151E-2</v>
      </c>
      <c r="H64" s="6"/>
      <c r="I64" s="6"/>
      <c r="J64" s="6"/>
      <c r="K64" s="6"/>
      <c r="N64" s="6" t="s">
        <v>118</v>
      </c>
      <c r="O64" s="6">
        <v>2.6</v>
      </c>
      <c r="P64" s="6">
        <f t="shared" si="19"/>
        <v>1.1529411764705881</v>
      </c>
      <c r="Q64" s="6"/>
      <c r="R64" s="6">
        <f t="shared" si="20"/>
        <v>0.17633217993079572</v>
      </c>
      <c r="S64" s="6"/>
      <c r="T64" s="6"/>
      <c r="U64" s="6"/>
    </row>
    <row r="65" spans="3:11">
      <c r="C65" s="6" t="s">
        <v>32</v>
      </c>
      <c r="D65" s="6">
        <v>2.5</v>
      </c>
      <c r="E65" s="6">
        <f t="shared" si="21"/>
        <v>1.0514403292181069</v>
      </c>
      <c r="F65" s="6"/>
      <c r="G65" s="6">
        <f t="shared" si="22"/>
        <v>5.4086436688174151E-2</v>
      </c>
      <c r="H65" s="6"/>
      <c r="I65" s="6"/>
      <c r="J65" s="6"/>
      <c r="K65" s="6"/>
    </row>
    <row r="66" spans="3:11">
      <c r="C66" s="6" t="s">
        <v>33</v>
      </c>
      <c r="D66" s="6">
        <v>2.5</v>
      </c>
      <c r="E66" s="6">
        <f t="shared" si="21"/>
        <v>1.0514403292181069</v>
      </c>
      <c r="F66" s="6"/>
      <c r="G66" s="6">
        <f t="shared" si="22"/>
        <v>5.4086436688174151E-2</v>
      </c>
      <c r="H66" s="6"/>
      <c r="I66" s="6"/>
      <c r="J66" s="6"/>
      <c r="K66" s="6"/>
    </row>
    <row r="67" spans="3:11">
      <c r="C67" s="6" t="s">
        <v>23</v>
      </c>
      <c r="D67" s="6">
        <v>2.5</v>
      </c>
      <c r="E67" s="6">
        <f t="shared" si="21"/>
        <v>1.0514403292181069</v>
      </c>
      <c r="F67" s="6"/>
      <c r="G67" s="6">
        <f t="shared" si="22"/>
        <v>5.4086436688174151E-2</v>
      </c>
      <c r="H67" s="6"/>
      <c r="I67" s="6"/>
      <c r="J67" s="6"/>
      <c r="K67" s="6"/>
    </row>
    <row r="68" spans="3:11">
      <c r="C68" s="6"/>
      <c r="D68" s="6"/>
      <c r="E68" s="6"/>
      <c r="F68" s="6"/>
      <c r="G68" s="6"/>
      <c r="H68" s="6"/>
      <c r="I68" s="6"/>
      <c r="J68" s="6"/>
      <c r="K68" s="6"/>
    </row>
    <row r="69" spans="3:11">
      <c r="C69" s="6"/>
      <c r="D69" s="6"/>
      <c r="E69" s="6"/>
      <c r="F69" s="6"/>
      <c r="G69" s="6"/>
      <c r="H69" s="6"/>
      <c r="I69" s="6"/>
      <c r="J69" s="6"/>
      <c r="K69" s="6"/>
    </row>
    <row r="70" spans="3:11">
      <c r="C70" s="6"/>
      <c r="D70" s="6"/>
      <c r="E70" s="6"/>
      <c r="F70" s="6"/>
      <c r="G70" s="6"/>
      <c r="H70" s="6"/>
      <c r="I70" s="6"/>
      <c r="J70" s="6"/>
      <c r="K70" s="6"/>
    </row>
    <row r="71" spans="3:11">
      <c r="C71" s="7" t="s">
        <v>34</v>
      </c>
      <c r="D71" s="6"/>
      <c r="E71" s="6"/>
      <c r="F71" s="6"/>
      <c r="G71" s="6"/>
      <c r="H71" s="6"/>
      <c r="I71" s="6"/>
      <c r="J71" s="6"/>
      <c r="K71" s="6"/>
    </row>
    <row r="72" spans="3:11">
      <c r="C72" s="6" t="s">
        <v>7</v>
      </c>
      <c r="D72" s="6">
        <v>28.6</v>
      </c>
      <c r="E72" s="6">
        <f>(D72/28.6)+1</f>
        <v>2</v>
      </c>
      <c r="F72" s="6">
        <f>SUM(E72:E76)</f>
        <v>6.265734265734265</v>
      </c>
      <c r="G72" s="6">
        <f>E72*(E72-1)</f>
        <v>2</v>
      </c>
      <c r="H72" s="6">
        <f>SUM(G72:G76)</f>
        <v>2.2851484180155506</v>
      </c>
      <c r="I72" s="6">
        <f>H72/(F72*(F72-1))</f>
        <v>6.9260161734016334E-2</v>
      </c>
      <c r="J72" s="6">
        <f>1-I72</f>
        <v>0.93073983826598372</v>
      </c>
      <c r="K72" s="6"/>
    </row>
    <row r="73" spans="3:11">
      <c r="C73" s="6" t="s">
        <v>21</v>
      </c>
      <c r="D73" s="6">
        <v>2.5</v>
      </c>
      <c r="E73" s="6">
        <f t="shared" ref="E73:E76" si="23">(D73/28.6)+1</f>
        <v>1.0874125874125875</v>
      </c>
      <c r="F73" s="6"/>
      <c r="G73" s="6">
        <f t="shared" ref="G73:G76" si="24">E73*(E73-1)</f>
        <v>9.5053547850750764E-2</v>
      </c>
      <c r="H73" s="6"/>
      <c r="I73" s="6"/>
      <c r="J73" s="6"/>
      <c r="K73" s="6"/>
    </row>
    <row r="74" spans="3:11">
      <c r="C74" s="6" t="s">
        <v>9</v>
      </c>
      <c r="D74" s="6">
        <v>2.5</v>
      </c>
      <c r="E74" s="6">
        <f t="shared" si="23"/>
        <v>1.0874125874125875</v>
      </c>
      <c r="F74" s="6"/>
      <c r="G74" s="6">
        <f t="shared" si="24"/>
        <v>9.5053547850750764E-2</v>
      </c>
      <c r="H74" s="6"/>
      <c r="I74" s="6"/>
      <c r="J74" s="6"/>
      <c r="K74" s="6"/>
    </row>
    <row r="75" spans="3:11">
      <c r="C75" s="6" t="s">
        <v>65</v>
      </c>
      <c r="D75" s="6">
        <v>1.3</v>
      </c>
      <c r="E75" s="6">
        <f t="shared" si="23"/>
        <v>1.0454545454545454</v>
      </c>
      <c r="F75" s="6"/>
      <c r="G75" s="6">
        <f t="shared" si="24"/>
        <v>4.7520661157024746E-2</v>
      </c>
      <c r="H75" s="6"/>
      <c r="I75" s="6"/>
      <c r="J75" s="6"/>
      <c r="K75" s="6"/>
    </row>
    <row r="76" spans="3:11">
      <c r="C76" s="6" t="s">
        <v>84</v>
      </c>
      <c r="D76" s="6">
        <v>1.3</v>
      </c>
      <c r="E76" s="6">
        <f t="shared" si="23"/>
        <v>1.0454545454545454</v>
      </c>
      <c r="F76" s="6"/>
      <c r="G76" s="6">
        <f t="shared" si="24"/>
        <v>4.7520661157024746E-2</v>
      </c>
      <c r="H76" s="6"/>
      <c r="I76" s="6"/>
      <c r="J76" s="6"/>
      <c r="K76" s="6"/>
    </row>
    <row r="77" spans="3:11">
      <c r="C77" s="6"/>
      <c r="D77" s="6"/>
      <c r="E77" s="6"/>
      <c r="F77" s="6"/>
      <c r="G77" s="6"/>
      <c r="H77" s="6"/>
      <c r="I77" s="6"/>
      <c r="J77" s="6"/>
      <c r="K77" s="6"/>
    </row>
    <row r="78" spans="3:11">
      <c r="C78" s="7" t="s">
        <v>35</v>
      </c>
      <c r="D78" s="6"/>
      <c r="E78" s="6"/>
      <c r="F78" s="6"/>
      <c r="G78" s="6"/>
      <c r="H78" s="6"/>
      <c r="I78" s="6"/>
      <c r="J78" s="6"/>
      <c r="K78" s="6"/>
    </row>
    <row r="79" spans="3:11">
      <c r="C79" s="6" t="s">
        <v>7</v>
      </c>
      <c r="D79" s="6">
        <v>26.2</v>
      </c>
      <c r="E79" s="6">
        <f>(D79/26.2)+1</f>
        <v>2</v>
      </c>
      <c r="F79" s="6">
        <f>SUM(E79:E85)</f>
        <v>8.572519083969464</v>
      </c>
      <c r="G79" s="6">
        <f>E79*(E79-1)</f>
        <v>2</v>
      </c>
      <c r="H79" s="6">
        <f>SUM(G79:G85)</f>
        <v>2.6341413670532026</v>
      </c>
      <c r="I79" s="6">
        <f>H79/(F79*(F79-1))</f>
        <v>4.057796297360184E-2</v>
      </c>
      <c r="J79" s="6">
        <f>1-I79</f>
        <v>0.95942203702639817</v>
      </c>
      <c r="K79" s="6"/>
    </row>
    <row r="80" spans="3:11">
      <c r="C80" s="6" t="s">
        <v>36</v>
      </c>
      <c r="D80" s="6">
        <v>3.7</v>
      </c>
      <c r="E80" s="6">
        <f t="shared" ref="E80:E84" si="25">(D80/26.2)+1</f>
        <v>1.1412213740458015</v>
      </c>
      <c r="F80" s="6"/>
      <c r="G80" s="6">
        <f t="shared" ref="G80:G85" si="26">E80*(E80-1)</f>
        <v>0.16116485053318566</v>
      </c>
      <c r="H80" s="6"/>
      <c r="I80" s="6"/>
      <c r="J80" s="6"/>
      <c r="K80" s="6"/>
    </row>
    <row r="81" spans="3:11">
      <c r="C81" s="6" t="s">
        <v>33</v>
      </c>
      <c r="D81" s="6">
        <v>1.3</v>
      </c>
      <c r="E81" s="6">
        <f t="shared" si="25"/>
        <v>1.0496183206106871</v>
      </c>
      <c r="F81" s="6"/>
      <c r="G81" s="6">
        <f t="shared" si="26"/>
        <v>5.2080298350911984E-2</v>
      </c>
      <c r="H81" s="6"/>
      <c r="I81" s="6"/>
      <c r="J81" s="6"/>
      <c r="K81" s="6"/>
    </row>
    <row r="82" spans="3:11">
      <c r="C82" s="6" t="s">
        <v>37</v>
      </c>
      <c r="D82" s="6">
        <v>3.7</v>
      </c>
      <c r="E82" s="6">
        <f t="shared" si="25"/>
        <v>1.1412213740458015</v>
      </c>
      <c r="F82" s="6"/>
      <c r="G82" s="6">
        <f t="shared" si="26"/>
        <v>0.16116485053318566</v>
      </c>
      <c r="H82" s="6"/>
      <c r="I82" s="6"/>
      <c r="J82" s="6"/>
      <c r="K82" s="6"/>
    </row>
    <row r="83" spans="3:11">
      <c r="C83" s="6" t="s">
        <v>38</v>
      </c>
      <c r="D83" s="6">
        <v>2.1</v>
      </c>
      <c r="E83" s="6">
        <f t="shared" si="25"/>
        <v>1.0801526717557253</v>
      </c>
      <c r="F83" s="6"/>
      <c r="G83" s="6">
        <f t="shared" si="26"/>
        <v>8.6577122545306306E-2</v>
      </c>
      <c r="H83" s="6"/>
      <c r="I83" s="6"/>
      <c r="J83" s="6"/>
      <c r="K83" s="6"/>
    </row>
    <row r="84" spans="3:11">
      <c r="C84" s="6" t="s">
        <v>39</v>
      </c>
      <c r="D84" s="6">
        <v>2.1</v>
      </c>
      <c r="E84" s="6">
        <f t="shared" si="25"/>
        <v>1.0801526717557253</v>
      </c>
      <c r="F84" s="6"/>
      <c r="G84" s="6">
        <f t="shared" si="26"/>
        <v>8.6577122545306306E-2</v>
      </c>
      <c r="H84" s="6"/>
      <c r="I84" s="6"/>
      <c r="J84" s="6"/>
      <c r="K84" s="6"/>
    </row>
    <row r="85" spans="3:11">
      <c r="C85" s="6" t="s">
        <v>40</v>
      </c>
      <c r="D85" s="6">
        <v>2.1</v>
      </c>
      <c r="E85" s="6">
        <f>(D85/26.2)+1</f>
        <v>1.0801526717557253</v>
      </c>
      <c r="F85" s="6"/>
      <c r="G85" s="6">
        <f t="shared" si="26"/>
        <v>8.6577122545306306E-2</v>
      </c>
      <c r="H85" s="6"/>
      <c r="I85" s="6"/>
      <c r="J85" s="6"/>
      <c r="K85" s="6"/>
    </row>
    <row r="86" spans="3:11">
      <c r="C86" s="6"/>
      <c r="D86" s="6"/>
      <c r="E86" s="6"/>
      <c r="F86" s="6"/>
      <c r="G86" s="6"/>
      <c r="H86" s="6"/>
      <c r="I86" s="6"/>
      <c r="J86" s="6"/>
      <c r="K86" s="6"/>
    </row>
    <row r="87" spans="3:11">
      <c r="C87" s="7" t="s">
        <v>126</v>
      </c>
      <c r="D87" s="6"/>
      <c r="E87" s="6"/>
      <c r="F87" s="6"/>
      <c r="G87" s="6"/>
      <c r="H87" s="6"/>
      <c r="I87" s="6"/>
      <c r="J87" s="6"/>
      <c r="K87" s="6"/>
    </row>
    <row r="88" spans="3:11">
      <c r="C88" s="6" t="s">
        <v>7</v>
      </c>
      <c r="D88" s="6">
        <v>15</v>
      </c>
      <c r="E88" s="6">
        <f>(D88/15)+1</f>
        <v>2</v>
      </c>
      <c r="F88" s="6">
        <f>SUM(E88:E91)</f>
        <v>5.453333333333334</v>
      </c>
      <c r="G88" s="6">
        <f>E88*(E88-1)</f>
        <v>2</v>
      </c>
      <c r="H88" s="6">
        <f>SUM(G88:G91)</f>
        <v>2.5318222222222224</v>
      </c>
      <c r="I88" s="6">
        <f>H88/(F88*(F88-1))</f>
        <v>0.10425237544470958</v>
      </c>
      <c r="J88" s="6">
        <f>1-I88</f>
        <v>0.89574762455529044</v>
      </c>
      <c r="K88" s="6"/>
    </row>
    <row r="89" spans="3:11">
      <c r="C89" s="6" t="s">
        <v>9</v>
      </c>
      <c r="D89" s="6">
        <v>3.4000000000000004</v>
      </c>
      <c r="E89" s="6">
        <f t="shared" ref="E89:E91" si="27">(D89/15)+1</f>
        <v>1.2266666666666666</v>
      </c>
      <c r="F89" s="6"/>
      <c r="G89" s="6">
        <f t="shared" ref="G89:G91" si="28">E89*(E89-1)</f>
        <v>0.27804444444444432</v>
      </c>
      <c r="H89" s="6"/>
      <c r="I89" s="6"/>
      <c r="J89" s="6"/>
      <c r="K89" s="6"/>
    </row>
    <row r="90" spans="3:11">
      <c r="C90" s="6" t="s">
        <v>41</v>
      </c>
      <c r="D90" s="6">
        <v>2.1</v>
      </c>
      <c r="E90" s="6">
        <f t="shared" si="27"/>
        <v>1.1400000000000001</v>
      </c>
      <c r="F90" s="6"/>
      <c r="G90" s="6">
        <f t="shared" si="28"/>
        <v>0.15960000000000016</v>
      </c>
      <c r="H90" s="6"/>
      <c r="I90" s="6"/>
      <c r="J90" s="6"/>
      <c r="K90" s="6"/>
    </row>
    <row r="91" spans="3:11">
      <c r="C91" s="6" t="s">
        <v>39</v>
      </c>
      <c r="D91" s="6">
        <v>1.3</v>
      </c>
      <c r="E91" s="6">
        <f t="shared" si="27"/>
        <v>1.0866666666666667</v>
      </c>
      <c r="F91" s="6"/>
      <c r="G91" s="6">
        <f t="shared" si="28"/>
        <v>9.4177777777777777E-2</v>
      </c>
      <c r="H91" s="6"/>
      <c r="I91" s="6"/>
      <c r="J91" s="6"/>
      <c r="K91" s="6"/>
    </row>
    <row r="92" spans="3:11">
      <c r="C92" s="6"/>
      <c r="D92" s="6"/>
      <c r="E92" s="6"/>
      <c r="F92" s="6"/>
      <c r="G92" s="6"/>
      <c r="H92" s="6"/>
      <c r="I92" s="6"/>
      <c r="J92" s="6"/>
      <c r="K92" s="6"/>
    </row>
    <row r="93" spans="3:11">
      <c r="C93" s="7" t="s">
        <v>42</v>
      </c>
      <c r="D93" s="6"/>
      <c r="E93" s="6"/>
      <c r="F93" s="6"/>
      <c r="G93" s="6"/>
      <c r="H93" s="6"/>
      <c r="I93" s="6"/>
      <c r="J93" s="6"/>
      <c r="K93" s="6"/>
    </row>
    <row r="94" spans="3:11">
      <c r="C94" s="6" t="s">
        <v>7</v>
      </c>
      <c r="D94" s="6">
        <v>31</v>
      </c>
      <c r="E94" s="6">
        <f>(D94/31)+1</f>
        <v>2</v>
      </c>
      <c r="F94" s="6">
        <f>SUM(E94:E100)</f>
        <v>8.509677419354837</v>
      </c>
      <c r="G94" s="6">
        <f>E94*(E94-1)</f>
        <v>2</v>
      </c>
      <c r="H94" s="6">
        <f>SUM(G94:G100)</f>
        <v>2.5575234131113431</v>
      </c>
      <c r="I94" s="6">
        <f>H94/(F94*(F94-1))</f>
        <v>4.0020751428370471E-2</v>
      </c>
      <c r="J94" s="6">
        <f>1-I94</f>
        <v>0.95997924857162953</v>
      </c>
      <c r="K94" s="6"/>
    </row>
    <row r="95" spans="3:11">
      <c r="C95" s="6" t="s">
        <v>43</v>
      </c>
      <c r="D95" s="6">
        <v>2.1</v>
      </c>
      <c r="E95" s="6">
        <f t="shared" ref="E95:E100" si="29">(D95/31)+1</f>
        <v>1.0677419354838711</v>
      </c>
      <c r="F95" s="6"/>
      <c r="G95" s="6">
        <f t="shared" ref="G95:G100" si="30">E95*(E95-1)</f>
        <v>7.2330905306972032E-2</v>
      </c>
      <c r="H95" s="6"/>
      <c r="I95" s="6"/>
      <c r="J95" s="6"/>
      <c r="K95" s="6"/>
    </row>
    <row r="96" spans="3:11">
      <c r="C96" s="6" t="s">
        <v>44</v>
      </c>
      <c r="D96" s="6">
        <v>2.1</v>
      </c>
      <c r="E96" s="6">
        <f t="shared" si="29"/>
        <v>1.0677419354838711</v>
      </c>
      <c r="F96" s="6"/>
      <c r="G96" s="6">
        <f t="shared" si="30"/>
        <v>7.2330905306972032E-2</v>
      </c>
      <c r="H96" s="6"/>
      <c r="I96" s="6"/>
      <c r="J96" s="6"/>
      <c r="K96" s="6"/>
    </row>
    <row r="97" spans="3:11">
      <c r="C97" s="6" t="s">
        <v>9</v>
      </c>
      <c r="D97" s="6">
        <v>2.1</v>
      </c>
      <c r="E97" s="6">
        <f t="shared" si="29"/>
        <v>1.0677419354838711</v>
      </c>
      <c r="F97" s="6"/>
      <c r="G97" s="6">
        <f t="shared" si="30"/>
        <v>7.2330905306972032E-2</v>
      </c>
      <c r="H97" s="6"/>
      <c r="I97" s="6"/>
      <c r="J97" s="6"/>
      <c r="K97" s="6"/>
    </row>
    <row r="98" spans="3:11">
      <c r="C98" s="6" t="s">
        <v>85</v>
      </c>
      <c r="D98" s="6">
        <v>2.5</v>
      </c>
      <c r="E98" s="6">
        <f t="shared" si="29"/>
        <v>1.0806451612903225</v>
      </c>
      <c r="F98" s="6"/>
      <c r="G98" s="6">
        <f t="shared" si="30"/>
        <v>8.7148803329864646E-2</v>
      </c>
      <c r="H98" s="6"/>
      <c r="I98" s="6"/>
      <c r="J98" s="6"/>
      <c r="K98" s="6"/>
    </row>
    <row r="99" spans="3:11">
      <c r="C99" s="6" t="s">
        <v>86</v>
      </c>
      <c r="D99" s="6">
        <v>2.5</v>
      </c>
      <c r="E99" s="6">
        <f t="shared" si="29"/>
        <v>1.0806451612903225</v>
      </c>
      <c r="F99" s="6"/>
      <c r="G99" s="6">
        <f t="shared" si="30"/>
        <v>8.7148803329864646E-2</v>
      </c>
      <c r="H99" s="6"/>
      <c r="I99" s="6"/>
      <c r="J99" s="6"/>
      <c r="K99" s="6"/>
    </row>
    <row r="100" spans="3:11">
      <c r="C100" s="6" t="s">
        <v>9</v>
      </c>
      <c r="D100" s="6">
        <v>4.5</v>
      </c>
      <c r="E100" s="6">
        <f t="shared" si="29"/>
        <v>1.1451612903225807</v>
      </c>
      <c r="F100" s="6"/>
      <c r="G100" s="6">
        <f t="shared" si="30"/>
        <v>0.16623309053069732</v>
      </c>
      <c r="H100" s="6"/>
      <c r="I100" s="6"/>
      <c r="J100" s="6"/>
      <c r="K100" s="6"/>
    </row>
    <row r="101" spans="3:11">
      <c r="C101" s="6"/>
      <c r="D101" s="6"/>
      <c r="E101" s="6"/>
      <c r="F101" s="6"/>
      <c r="G101" s="6"/>
      <c r="H101" s="6"/>
      <c r="I101" s="6"/>
      <c r="J101" s="6"/>
      <c r="K101" s="6"/>
    </row>
    <row r="102" spans="3:11">
      <c r="C102" s="7" t="s">
        <v>45</v>
      </c>
      <c r="D102" s="6"/>
      <c r="E102" s="6"/>
      <c r="F102" s="6"/>
      <c r="G102" s="6"/>
      <c r="H102" s="6"/>
      <c r="I102" s="6"/>
      <c r="J102" s="6"/>
      <c r="K102" s="6"/>
    </row>
    <row r="103" spans="3:11">
      <c r="C103" s="6" t="s">
        <v>7</v>
      </c>
      <c r="D103" s="6">
        <v>37.6</v>
      </c>
      <c r="E103" s="6">
        <f>(D103/37.6)+1</f>
        <v>2</v>
      </c>
      <c r="F103" s="6">
        <f>SUM(E103:E111)</f>
        <v>10.492021276595743</v>
      </c>
      <c r="G103" s="6">
        <f>E103*(E103-1)</f>
        <v>2</v>
      </c>
      <c r="H103" s="6">
        <f>SUM(G103:G111)</f>
        <v>2.5275789384336806</v>
      </c>
      <c r="I103" s="6">
        <f>H103/(F103*(F103-1))</f>
        <v>2.5379722089347762E-2</v>
      </c>
      <c r="J103" s="6">
        <f>1-I103</f>
        <v>0.9746202779106522</v>
      </c>
      <c r="K103" s="6"/>
    </row>
    <row r="104" spans="3:11">
      <c r="C104" s="6" t="s">
        <v>21</v>
      </c>
      <c r="D104" s="6">
        <v>2.1</v>
      </c>
      <c r="E104" s="6">
        <f t="shared" ref="E104:E111" si="31">(D104/37.6)+1</f>
        <v>1.0558510638297873</v>
      </c>
      <c r="F104" s="6"/>
      <c r="G104" s="6">
        <f t="shared" ref="G104:G111" si="32">E104*(E104-1)</f>
        <v>5.8970405160706306E-2</v>
      </c>
      <c r="H104" s="6"/>
      <c r="I104" s="6"/>
      <c r="J104" s="6"/>
      <c r="K104" s="6"/>
    </row>
    <row r="105" spans="3:11">
      <c r="C105" s="6" t="s">
        <v>46</v>
      </c>
      <c r="D105" s="6">
        <v>2.1</v>
      </c>
      <c r="E105" s="6">
        <f t="shared" si="31"/>
        <v>1.0558510638297873</v>
      </c>
      <c r="F105" s="6"/>
      <c r="G105" s="6">
        <f t="shared" si="32"/>
        <v>5.8970405160706306E-2</v>
      </c>
      <c r="H105" s="6"/>
      <c r="I105" s="6"/>
      <c r="J105" s="6"/>
      <c r="K105" s="6"/>
    </row>
    <row r="106" spans="3:11">
      <c r="C106" s="6" t="s">
        <v>47</v>
      </c>
      <c r="D106" s="6">
        <v>2.1</v>
      </c>
      <c r="E106" s="6">
        <f t="shared" si="31"/>
        <v>1.0558510638297873</v>
      </c>
      <c r="F106" s="6"/>
      <c r="G106" s="6">
        <f t="shared" si="32"/>
        <v>5.8970405160706306E-2</v>
      </c>
      <c r="H106" s="6"/>
      <c r="I106" s="6"/>
      <c r="J106" s="6"/>
      <c r="K106" s="6"/>
    </row>
    <row r="107" spans="3:11">
      <c r="C107" s="6" t="s">
        <v>9</v>
      </c>
      <c r="D107" s="6">
        <v>4.5999999999999996</v>
      </c>
      <c r="E107" s="6">
        <f t="shared" si="31"/>
        <v>1.1223404255319149</v>
      </c>
      <c r="F107" s="6"/>
      <c r="G107" s="6">
        <f t="shared" si="32"/>
        <v>0.13730760525124494</v>
      </c>
      <c r="H107" s="6"/>
      <c r="I107" s="6"/>
      <c r="J107" s="6"/>
      <c r="K107" s="6"/>
    </row>
    <row r="108" spans="3:11">
      <c r="C108" s="6" t="s">
        <v>43</v>
      </c>
      <c r="D108" s="6">
        <v>2.5</v>
      </c>
      <c r="E108" s="6">
        <f t="shared" si="31"/>
        <v>1.0664893617021276</v>
      </c>
      <c r="F108" s="6"/>
      <c r="G108" s="6">
        <f t="shared" si="32"/>
        <v>7.091019692168396E-2</v>
      </c>
      <c r="H108" s="6"/>
      <c r="I108" s="6"/>
      <c r="J108" s="6"/>
      <c r="K108" s="6"/>
    </row>
    <row r="109" spans="3:11">
      <c r="C109" s="6" t="s">
        <v>17</v>
      </c>
      <c r="D109" s="6">
        <v>2.5</v>
      </c>
      <c r="E109" s="6">
        <f t="shared" si="31"/>
        <v>1.0664893617021276</v>
      </c>
      <c r="F109" s="6"/>
      <c r="G109" s="6">
        <f t="shared" si="32"/>
        <v>7.091019692168396E-2</v>
      </c>
      <c r="H109" s="6"/>
      <c r="I109" s="6"/>
      <c r="J109" s="6"/>
      <c r="K109" s="6"/>
    </row>
    <row r="110" spans="3:11">
      <c r="C110" s="6" t="s">
        <v>48</v>
      </c>
      <c r="D110" s="6">
        <v>1.3</v>
      </c>
      <c r="E110" s="6">
        <f t="shared" si="31"/>
        <v>1.0345744680851063</v>
      </c>
      <c r="F110" s="6"/>
      <c r="G110" s="6">
        <f t="shared" si="32"/>
        <v>3.5769861928474374E-2</v>
      </c>
      <c r="H110" s="6"/>
      <c r="I110" s="6"/>
      <c r="J110" s="6"/>
      <c r="K110" s="6"/>
    </row>
    <row r="111" spans="3:11">
      <c r="C111" s="6" t="s">
        <v>33</v>
      </c>
      <c r="D111" s="6">
        <v>1.3</v>
      </c>
      <c r="E111" s="6">
        <f t="shared" si="31"/>
        <v>1.0345744680851063</v>
      </c>
      <c r="F111" s="6"/>
      <c r="G111" s="6">
        <f t="shared" si="32"/>
        <v>3.5769861928474374E-2</v>
      </c>
      <c r="H111" s="6"/>
      <c r="I111" s="6"/>
      <c r="J111" s="6"/>
      <c r="K111" s="6"/>
    </row>
    <row r="112" spans="3:11">
      <c r="C112" s="6"/>
      <c r="D112" s="6"/>
      <c r="E112" s="6"/>
      <c r="F112" s="6"/>
      <c r="G112" s="6"/>
      <c r="H112" s="6"/>
      <c r="I112" s="6"/>
      <c r="J112" s="6"/>
      <c r="K112" s="6"/>
    </row>
    <row r="113" spans="3:11">
      <c r="C113" s="7" t="s">
        <v>49</v>
      </c>
      <c r="D113" s="6"/>
      <c r="E113" s="6"/>
      <c r="F113" s="6"/>
      <c r="G113" s="6"/>
      <c r="H113" s="6"/>
      <c r="I113" s="6"/>
      <c r="J113" s="6"/>
      <c r="K113" s="6"/>
    </row>
    <row r="114" spans="3:11">
      <c r="C114" s="6" t="s">
        <v>7</v>
      </c>
      <c r="D114" s="6">
        <v>23</v>
      </c>
      <c r="E114" s="6">
        <v>2</v>
      </c>
      <c r="F114" s="6">
        <f>SUM(E114:E115)</f>
        <v>3.0913043478260871</v>
      </c>
      <c r="G114" s="6">
        <f>E114*(E114-1)</f>
        <v>2</v>
      </c>
      <c r="H114" s="6">
        <f>SUM(G114:G115)</f>
        <v>2.099640831758034</v>
      </c>
      <c r="I114" s="6">
        <f>H114/(F114*(F114-1))</f>
        <v>0.32477755262565383</v>
      </c>
      <c r="J114" s="6">
        <f>1-I114</f>
        <v>0.67522244737434622</v>
      </c>
      <c r="K114" s="6"/>
    </row>
    <row r="115" spans="3:11">
      <c r="C115" s="6" t="s">
        <v>50</v>
      </c>
      <c r="D115" s="6">
        <v>2.1</v>
      </c>
      <c r="E115" s="6">
        <f>(D115/D114)+1</f>
        <v>1.0913043478260869</v>
      </c>
      <c r="F115" s="6"/>
      <c r="G115" s="6">
        <f>E115*(E115-1)</f>
        <v>9.9640831758033926E-2</v>
      </c>
      <c r="H115" s="6"/>
      <c r="I115" s="6"/>
      <c r="J115" s="6"/>
      <c r="K115" s="6"/>
    </row>
    <row r="116" spans="3:11">
      <c r="C116" s="6"/>
      <c r="D116" s="6"/>
      <c r="E116" s="6"/>
      <c r="F116" s="6"/>
      <c r="G116" s="6"/>
      <c r="H116" s="6"/>
      <c r="I116" s="6"/>
      <c r="J116" s="6"/>
      <c r="K116" s="6"/>
    </row>
    <row r="117" spans="3:11">
      <c r="C117" s="7" t="s">
        <v>51</v>
      </c>
      <c r="D117" s="6"/>
      <c r="E117" s="6"/>
      <c r="F117" s="6"/>
      <c r="G117" s="6"/>
      <c r="H117" s="6"/>
      <c r="I117" s="6"/>
      <c r="J117" s="6"/>
      <c r="K117" s="6"/>
    </row>
    <row r="118" spans="3:11">
      <c r="C118" s="6" t="s">
        <v>7</v>
      </c>
      <c r="D118" s="6">
        <v>6.2</v>
      </c>
      <c r="E118" s="6">
        <v>2</v>
      </c>
      <c r="F118" s="6">
        <f>SUM(E118:E119)</f>
        <v>3.338709677419355</v>
      </c>
      <c r="G118" s="6">
        <f>E118*(E118-1)</f>
        <v>2</v>
      </c>
      <c r="H118" s="6">
        <f>SUM(G118:G119)</f>
        <v>2.4534339229968785</v>
      </c>
      <c r="I118" s="6">
        <f>H118/(F118*(F118-1))</f>
        <v>0.3142095618857238</v>
      </c>
      <c r="J118" s="6">
        <f>1-I118</f>
        <v>0.6857904381142762</v>
      </c>
      <c r="K118" s="6"/>
    </row>
    <row r="119" spans="3:11">
      <c r="C119" s="6" t="s">
        <v>39</v>
      </c>
      <c r="D119" s="6">
        <v>2.1</v>
      </c>
      <c r="E119" s="6">
        <f>(2.1/6.2)+1</f>
        <v>1.338709677419355</v>
      </c>
      <c r="F119" s="6"/>
      <c r="G119" s="6">
        <f>E119*(E119-1)</f>
        <v>0.45343392299687851</v>
      </c>
      <c r="H119" s="6"/>
      <c r="I119" s="6"/>
      <c r="J119" s="6"/>
      <c r="K11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and Standardized Abundance</vt:lpstr>
      <vt:lpstr>G49372</vt:lpstr>
      <vt:lpstr>3504A combined</vt:lpstr>
      <vt:lpstr>Standard Error on Abundance</vt:lpstr>
      <vt:lpstr>Simpson's D Standardized to 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Shannon Brophy</dc:creator>
  <cp:lastModifiedBy>Jennifer Olivarez</cp:lastModifiedBy>
  <dcterms:created xsi:type="dcterms:W3CDTF">2021-09-10T16:51:40Z</dcterms:created>
  <dcterms:modified xsi:type="dcterms:W3CDTF">2021-12-01T23:24:52Z</dcterms:modified>
</cp:coreProperties>
</file>