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March-2021\G49471-kSokol\1-Data Repo\"/>
    </mc:Choice>
  </mc:AlternateContent>
  <xr:revisionPtr revIDLastSave="0" documentId="13_ncr:1_{0FFCFA4C-0044-4B47-B74B-584272790B51}" xr6:coauthVersionLast="47" xr6:coauthVersionMax="47" xr10:uidLastSave="{00000000-0000-0000-0000-000000000000}"/>
  <bookViews>
    <workbookView xWindow="-120" yWindow="-120" windowWidth="20730" windowHeight="10215" xr2:uid="{0D3BDAC9-7657-400D-B7B7-CED529D93928}"/>
  </bookViews>
  <sheets>
    <sheet name="DR1-WR + Isocon data" sheetId="8" r:id="rId1"/>
    <sheet name="DR2-Estimate Summary" sheetId="9" r:id="rId2"/>
    <sheet name="DR2.1 Rock volumes" sheetId="2" r:id="rId3"/>
    <sheet name="DR2.2 Illerfissalik" sheetId="3" r:id="rId4"/>
    <sheet name="DR2.3 Ilimaussaq" sheetId="4" r:id="rId5"/>
    <sheet name="DR2.4 HFSE Plotting" sheetId="6" r:id="rId6"/>
    <sheet name="G49471" sheetId="10" r:id="rId7"/>
  </sheets>
  <definedNames>
    <definedName name="_xlnm.Print_Area" localSheetId="1">'DR2-Estimate Summary'!$A$1:$X$37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6" i="9" l="1"/>
  <c r="AC18" i="9"/>
  <c r="AB18" i="9"/>
  <c r="AB21" i="9" s="1"/>
  <c r="AA18" i="9"/>
  <c r="Z18" i="9"/>
  <c r="AC16" i="9"/>
  <c r="AC15" i="9"/>
  <c r="AC14" i="9"/>
  <c r="AC12" i="9"/>
  <c r="AC11" i="9"/>
  <c r="AC10" i="9"/>
  <c r="AC7" i="9"/>
  <c r="AC6" i="9"/>
  <c r="AC5" i="9"/>
  <c r="AC23" i="9" s="1"/>
  <c r="AC24" i="9"/>
  <c r="AC25" i="9"/>
  <c r="AC19" i="9"/>
  <c r="AC20" i="9"/>
  <c r="AC17" i="9"/>
  <c r="AC8" i="9"/>
  <c r="AB20" i="9"/>
  <c r="AB19" i="9"/>
  <c r="AB15" i="9"/>
  <c r="AB24" i="9" s="1"/>
  <c r="AB16" i="9"/>
  <c r="AB25" i="9" s="1"/>
  <c r="AB14" i="9"/>
  <c r="AB12" i="9"/>
  <c r="AB11" i="9"/>
  <c r="AB10" i="9"/>
  <c r="AB6" i="9"/>
  <c r="AB7" i="9"/>
  <c r="AB5" i="9"/>
  <c r="AA19" i="9"/>
  <c r="AA20" i="9"/>
  <c r="AA14" i="9"/>
  <c r="AA15" i="9"/>
  <c r="AA16" i="9"/>
  <c r="AA10" i="9"/>
  <c r="AA11" i="9"/>
  <c r="AA5" i="9"/>
  <c r="AA6" i="9"/>
  <c r="AA7" i="9"/>
  <c r="AA8" i="9"/>
  <c r="AB8" i="9"/>
  <c r="AA12" i="9"/>
  <c r="AA17" i="9"/>
  <c r="AB17" i="9"/>
  <c r="AA23" i="9"/>
  <c r="AA24" i="9"/>
  <c r="AA25" i="9"/>
  <c r="Z26" i="9"/>
  <c r="Z25" i="9"/>
  <c r="Z24" i="9"/>
  <c r="Z23" i="9"/>
  <c r="Z21" i="9"/>
  <c r="Z27" i="9" s="1"/>
  <c r="Z20" i="9"/>
  <c r="Z19" i="9"/>
  <c r="Z17" i="9"/>
  <c r="Z16" i="9"/>
  <c r="Z15" i="9"/>
  <c r="Z14" i="9"/>
  <c r="Z12" i="9"/>
  <c r="Z11" i="9"/>
  <c r="Z10" i="9"/>
  <c r="Z8" i="9"/>
  <c r="Z6" i="9"/>
  <c r="Z7" i="9"/>
  <c r="Z5" i="9"/>
  <c r="E37" i="3"/>
  <c r="F37" i="3"/>
  <c r="G37" i="3"/>
  <c r="H37" i="3"/>
  <c r="I37" i="3"/>
  <c r="J37" i="3"/>
  <c r="K37" i="3"/>
  <c r="D37" i="3"/>
  <c r="BA22" i="3"/>
  <c r="V27" i="9"/>
  <c r="W27" i="9"/>
  <c r="S27" i="9"/>
  <c r="B18" i="9"/>
  <c r="D32" i="3"/>
  <c r="C18" i="9"/>
  <c r="AA21" i="9" l="1"/>
  <c r="AC26" i="9"/>
  <c r="AC21" i="9"/>
  <c r="AB26" i="9"/>
  <c r="AB27" i="9" s="1"/>
  <c r="AB23" i="9"/>
  <c r="AA27" i="9"/>
  <c r="H13" i="9"/>
  <c r="H9" i="9"/>
  <c r="AZ31" i="3"/>
  <c r="AZ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AT32" i="3"/>
  <c r="AU32" i="3"/>
  <c r="AV32" i="3"/>
  <c r="AW32" i="3"/>
  <c r="E32" i="3"/>
  <c r="AZ22" i="3"/>
  <c r="C50" i="6"/>
  <c r="D50" i="6"/>
  <c r="E50" i="6"/>
  <c r="F50" i="6"/>
  <c r="G50" i="6"/>
  <c r="H50" i="6"/>
  <c r="I50" i="6"/>
  <c r="J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C51" i="6"/>
  <c r="D51" i="6"/>
  <c r="E51" i="6"/>
  <c r="F51" i="6"/>
  <c r="G51" i="6"/>
  <c r="H51" i="6"/>
  <c r="I51" i="6"/>
  <c r="J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S24" i="6"/>
  <c r="T24" i="6"/>
  <c r="U24" i="6"/>
  <c r="V24" i="6"/>
  <c r="W24" i="6"/>
  <c r="S25" i="6"/>
  <c r="T25" i="6"/>
  <c r="U25" i="6"/>
  <c r="V25" i="6"/>
  <c r="W25" i="6"/>
  <c r="S26" i="6"/>
  <c r="T26" i="6"/>
  <c r="U26" i="6"/>
  <c r="V26" i="6"/>
  <c r="W26" i="6"/>
  <c r="S27" i="6"/>
  <c r="T27" i="6"/>
  <c r="U27" i="6"/>
  <c r="V27" i="6"/>
  <c r="W27" i="6"/>
  <c r="S28" i="6"/>
  <c r="T28" i="6"/>
  <c r="U28" i="6"/>
  <c r="V28" i="6"/>
  <c r="W28" i="6"/>
  <c r="S29" i="6"/>
  <c r="T29" i="6"/>
  <c r="U29" i="6"/>
  <c r="V29" i="6"/>
  <c r="W29" i="6"/>
  <c r="H25" i="6"/>
  <c r="H26" i="6"/>
  <c r="H27" i="6"/>
  <c r="H28" i="6"/>
  <c r="H29" i="6"/>
  <c r="H21" i="6"/>
  <c r="H24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AX10" i="6"/>
  <c r="AY10" i="6"/>
  <c r="AZ10" i="6"/>
  <c r="BA10" i="6"/>
  <c r="BB10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AX11" i="6"/>
  <c r="AY11" i="6"/>
  <c r="AZ11" i="6"/>
  <c r="BA11" i="6"/>
  <c r="BB11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AX12" i="6"/>
  <c r="AY12" i="6"/>
  <c r="AZ12" i="6"/>
  <c r="BA12" i="6"/>
  <c r="BB12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AX13" i="6"/>
  <c r="AY13" i="6"/>
  <c r="AZ13" i="6"/>
  <c r="BA13" i="6"/>
  <c r="BB13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AX14" i="6"/>
  <c r="AY14" i="6"/>
  <c r="AZ14" i="6"/>
  <c r="BA14" i="6"/>
  <c r="BB14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AX15" i="6"/>
  <c r="AY15" i="6"/>
  <c r="AZ15" i="6"/>
  <c r="BA15" i="6"/>
  <c r="BB15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AX16" i="6"/>
  <c r="AY16" i="6"/>
  <c r="AZ16" i="6"/>
  <c r="BA16" i="6"/>
  <c r="BB16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AX17" i="6"/>
  <c r="AY17" i="6"/>
  <c r="AZ17" i="6"/>
  <c r="BA17" i="6"/>
  <c r="BB17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AX18" i="6"/>
  <c r="AY18" i="6"/>
  <c r="AZ18" i="6"/>
  <c r="BA18" i="6"/>
  <c r="BB18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AX19" i="6"/>
  <c r="AY19" i="6"/>
  <c r="AZ19" i="6"/>
  <c r="BA19" i="6"/>
  <c r="BB19" i="6"/>
  <c r="X19" i="6"/>
  <c r="X18" i="6"/>
  <c r="X17" i="6"/>
  <c r="X16" i="6"/>
  <c r="X15" i="6"/>
  <c r="X14" i="6"/>
  <c r="X13" i="6"/>
  <c r="X12" i="6"/>
  <c r="X11" i="6"/>
  <c r="X10" i="6"/>
  <c r="J10" i="6"/>
  <c r="K10" i="6"/>
  <c r="L10" i="6"/>
  <c r="M10" i="6"/>
  <c r="N10" i="6"/>
  <c r="O10" i="6"/>
  <c r="P10" i="6"/>
  <c r="Q10" i="6"/>
  <c r="R10" i="6"/>
  <c r="J11" i="6"/>
  <c r="K11" i="6"/>
  <c r="L11" i="6"/>
  <c r="M11" i="6"/>
  <c r="N11" i="6"/>
  <c r="O11" i="6"/>
  <c r="P11" i="6"/>
  <c r="Q11" i="6"/>
  <c r="R11" i="6"/>
  <c r="J12" i="6"/>
  <c r="K12" i="6"/>
  <c r="L12" i="6"/>
  <c r="M12" i="6"/>
  <c r="N12" i="6"/>
  <c r="O12" i="6"/>
  <c r="P12" i="6"/>
  <c r="Q12" i="6"/>
  <c r="R12" i="6"/>
  <c r="J13" i="6"/>
  <c r="K13" i="6"/>
  <c r="L13" i="6"/>
  <c r="M13" i="6"/>
  <c r="N13" i="6"/>
  <c r="O13" i="6"/>
  <c r="P13" i="6"/>
  <c r="Q13" i="6"/>
  <c r="R13" i="6"/>
  <c r="J14" i="6"/>
  <c r="K14" i="6"/>
  <c r="L14" i="6"/>
  <c r="M14" i="6"/>
  <c r="N14" i="6"/>
  <c r="O14" i="6"/>
  <c r="P14" i="6"/>
  <c r="Q14" i="6"/>
  <c r="R14" i="6"/>
  <c r="J15" i="6"/>
  <c r="K15" i="6"/>
  <c r="L15" i="6"/>
  <c r="M15" i="6"/>
  <c r="N15" i="6"/>
  <c r="O15" i="6"/>
  <c r="P15" i="6"/>
  <c r="Q15" i="6"/>
  <c r="R15" i="6"/>
  <c r="J16" i="6"/>
  <c r="K16" i="6"/>
  <c r="L16" i="6"/>
  <c r="M16" i="6"/>
  <c r="N16" i="6"/>
  <c r="O16" i="6"/>
  <c r="P16" i="6"/>
  <c r="Q16" i="6"/>
  <c r="R16" i="6"/>
  <c r="J17" i="6"/>
  <c r="K17" i="6"/>
  <c r="L17" i="6"/>
  <c r="M17" i="6"/>
  <c r="N17" i="6"/>
  <c r="O17" i="6"/>
  <c r="P17" i="6"/>
  <c r="Q17" i="6"/>
  <c r="R17" i="6"/>
  <c r="J18" i="6"/>
  <c r="K18" i="6"/>
  <c r="L18" i="6"/>
  <c r="M18" i="6"/>
  <c r="N18" i="6"/>
  <c r="O18" i="6"/>
  <c r="P18" i="6"/>
  <c r="Q18" i="6"/>
  <c r="R18" i="6"/>
  <c r="J19" i="6"/>
  <c r="K19" i="6"/>
  <c r="L19" i="6"/>
  <c r="M19" i="6"/>
  <c r="N19" i="6"/>
  <c r="O19" i="6"/>
  <c r="P19" i="6"/>
  <c r="Q19" i="6"/>
  <c r="R19" i="6"/>
  <c r="I19" i="6"/>
  <c r="I18" i="6"/>
  <c r="I17" i="6"/>
  <c r="I16" i="6"/>
  <c r="I15" i="6"/>
  <c r="I14" i="6"/>
  <c r="I13" i="6"/>
  <c r="I12" i="6"/>
  <c r="I11" i="6"/>
  <c r="I10" i="6"/>
  <c r="E10" i="6"/>
  <c r="F10" i="6"/>
  <c r="G10" i="6"/>
  <c r="E11" i="6"/>
  <c r="F11" i="6"/>
  <c r="G11" i="6"/>
  <c r="E12" i="6"/>
  <c r="F12" i="6"/>
  <c r="G12" i="6"/>
  <c r="E13" i="6"/>
  <c r="F13" i="6"/>
  <c r="G13" i="6"/>
  <c r="E14" i="6"/>
  <c r="F14" i="6"/>
  <c r="G14" i="6"/>
  <c r="E15" i="6"/>
  <c r="F15" i="6"/>
  <c r="G15" i="6"/>
  <c r="E16" i="6"/>
  <c r="F16" i="6"/>
  <c r="G16" i="6"/>
  <c r="E17" i="6"/>
  <c r="F17" i="6"/>
  <c r="G17" i="6"/>
  <c r="E18" i="6"/>
  <c r="F18" i="6"/>
  <c r="G18" i="6"/>
  <c r="E19" i="6"/>
  <c r="F19" i="6"/>
  <c r="G19" i="6"/>
  <c r="D10" i="6"/>
  <c r="D11" i="6"/>
  <c r="D12" i="6"/>
  <c r="D13" i="6"/>
  <c r="D14" i="6"/>
  <c r="D15" i="6"/>
  <c r="D16" i="6"/>
  <c r="D17" i="6"/>
  <c r="D18" i="6"/>
  <c r="D19" i="6"/>
  <c r="C10" i="6"/>
  <c r="C11" i="6"/>
  <c r="C12" i="6"/>
  <c r="C13" i="6"/>
  <c r="C14" i="6"/>
  <c r="C15" i="6"/>
  <c r="C16" i="6"/>
  <c r="C17" i="6"/>
  <c r="C18" i="6"/>
  <c r="C19" i="6"/>
  <c r="B19" i="6"/>
  <c r="B17" i="6"/>
  <c r="B18" i="6"/>
  <c r="B16" i="6"/>
  <c r="B15" i="6"/>
  <c r="B14" i="6"/>
  <c r="B12" i="6"/>
  <c r="B13" i="6"/>
  <c r="B11" i="6"/>
  <c r="B10" i="6"/>
  <c r="Y3" i="6"/>
  <c r="Z3" i="6"/>
  <c r="Z24" i="6" s="1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P25" i="6" s="1"/>
  <c r="AQ3" i="6"/>
  <c r="AR3" i="6"/>
  <c r="AS3" i="6"/>
  <c r="AT3" i="6"/>
  <c r="AU3" i="6"/>
  <c r="AV3" i="6"/>
  <c r="AW3" i="6"/>
  <c r="AX3" i="6"/>
  <c r="AY3" i="6"/>
  <c r="AZ3" i="6"/>
  <c r="BA3" i="6"/>
  <c r="BB3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AT4" i="6"/>
  <c r="AU4" i="6"/>
  <c r="AV4" i="6"/>
  <c r="AW4" i="6"/>
  <c r="AX4" i="6"/>
  <c r="AY4" i="6"/>
  <c r="AZ4" i="6"/>
  <c r="BA4" i="6"/>
  <c r="BB4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5" i="6"/>
  <c r="AZ5" i="6"/>
  <c r="BA5" i="6"/>
  <c r="BB5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AX6" i="6"/>
  <c r="AY6" i="6"/>
  <c r="AZ6" i="6"/>
  <c r="BA6" i="6"/>
  <c r="BB6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AX7" i="6"/>
  <c r="AY7" i="6"/>
  <c r="AZ7" i="6"/>
  <c r="BA7" i="6"/>
  <c r="BB7" i="6"/>
  <c r="X3" i="6"/>
  <c r="X5" i="6"/>
  <c r="X6" i="6"/>
  <c r="X7" i="6"/>
  <c r="X4" i="6"/>
  <c r="J3" i="6"/>
  <c r="K3" i="6"/>
  <c r="L3" i="6"/>
  <c r="M3" i="6"/>
  <c r="M24" i="6" s="1"/>
  <c r="N3" i="6"/>
  <c r="O3" i="6"/>
  <c r="P3" i="6"/>
  <c r="Q3" i="6"/>
  <c r="R3" i="6"/>
  <c r="J4" i="6"/>
  <c r="K4" i="6"/>
  <c r="L4" i="6"/>
  <c r="M4" i="6"/>
  <c r="N4" i="6"/>
  <c r="O4" i="6"/>
  <c r="P4" i="6"/>
  <c r="Q4" i="6"/>
  <c r="R4" i="6"/>
  <c r="J5" i="6"/>
  <c r="K5" i="6"/>
  <c r="L5" i="6"/>
  <c r="M5" i="6"/>
  <c r="N5" i="6"/>
  <c r="O5" i="6"/>
  <c r="P5" i="6"/>
  <c r="Q5" i="6"/>
  <c r="R5" i="6"/>
  <c r="J6" i="6"/>
  <c r="K6" i="6"/>
  <c r="L6" i="6"/>
  <c r="M6" i="6"/>
  <c r="N6" i="6"/>
  <c r="O6" i="6"/>
  <c r="P6" i="6"/>
  <c r="Q6" i="6"/>
  <c r="R6" i="6"/>
  <c r="J7" i="6"/>
  <c r="K7" i="6"/>
  <c r="L7" i="6"/>
  <c r="M7" i="6"/>
  <c r="N7" i="6"/>
  <c r="O7" i="6"/>
  <c r="P7" i="6"/>
  <c r="Q7" i="6"/>
  <c r="R7" i="6"/>
  <c r="I5" i="6"/>
  <c r="I6" i="6"/>
  <c r="I7" i="6"/>
  <c r="I3" i="6"/>
  <c r="I4" i="6"/>
  <c r="E3" i="6"/>
  <c r="F3" i="6"/>
  <c r="G3" i="6"/>
  <c r="E4" i="6"/>
  <c r="F4" i="6"/>
  <c r="G4" i="6"/>
  <c r="E5" i="6"/>
  <c r="F5" i="6"/>
  <c r="G5" i="6"/>
  <c r="E6" i="6"/>
  <c r="F6" i="6"/>
  <c r="G6" i="6"/>
  <c r="E7" i="6"/>
  <c r="F7" i="6"/>
  <c r="G7" i="6"/>
  <c r="D3" i="6"/>
  <c r="D4" i="6"/>
  <c r="D5" i="6"/>
  <c r="D6" i="6"/>
  <c r="D7" i="6"/>
  <c r="C4" i="6"/>
  <c r="C5" i="6"/>
  <c r="C6" i="6"/>
  <c r="C7" i="6"/>
  <c r="C3" i="6"/>
  <c r="B7" i="6"/>
  <c r="B3" i="6"/>
  <c r="B4" i="6"/>
  <c r="B2" i="6"/>
  <c r="X20" i="9"/>
  <c r="W20" i="9"/>
  <c r="V20" i="9"/>
  <c r="U20" i="9"/>
  <c r="T20" i="9"/>
  <c r="S20" i="9"/>
  <c r="X19" i="9"/>
  <c r="W19" i="9"/>
  <c r="V19" i="9"/>
  <c r="U19" i="9"/>
  <c r="T19" i="9"/>
  <c r="S19" i="9"/>
  <c r="X18" i="9"/>
  <c r="W18" i="9"/>
  <c r="V18" i="9"/>
  <c r="U18" i="9"/>
  <c r="T18" i="9"/>
  <c r="S18" i="9"/>
  <c r="S15" i="9"/>
  <c r="T15" i="9"/>
  <c r="U15" i="9"/>
  <c r="W15" i="9"/>
  <c r="X15" i="9"/>
  <c r="S16" i="9"/>
  <c r="T16" i="9"/>
  <c r="U16" i="9"/>
  <c r="W16" i="9"/>
  <c r="X16" i="9"/>
  <c r="X14" i="9"/>
  <c r="W14" i="9"/>
  <c r="U14" i="9"/>
  <c r="T14" i="9"/>
  <c r="S14" i="9"/>
  <c r="S17" i="9" s="1"/>
  <c r="BA33" i="3"/>
  <c r="BB33" i="3"/>
  <c r="BC33" i="3"/>
  <c r="BD33" i="3"/>
  <c r="BE33" i="3"/>
  <c r="BA34" i="3"/>
  <c r="BB34" i="3"/>
  <c r="BC34" i="3"/>
  <c r="BD34" i="3"/>
  <c r="BE34" i="3"/>
  <c r="BA35" i="3"/>
  <c r="BB35" i="3"/>
  <c r="BC35" i="3"/>
  <c r="BD35" i="3"/>
  <c r="BE35" i="3"/>
  <c r="E34" i="3"/>
  <c r="F34" i="3"/>
  <c r="G34" i="3"/>
  <c r="H34" i="3"/>
  <c r="I34" i="3"/>
  <c r="J34" i="3"/>
  <c r="K34" i="3"/>
  <c r="L34" i="3"/>
  <c r="AX34" i="3" s="1"/>
  <c r="AY34" i="3" s="1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AV34" i="3"/>
  <c r="AW34" i="3"/>
  <c r="AZ34" i="3"/>
  <c r="E35" i="3"/>
  <c r="F35" i="3"/>
  <c r="G35" i="3"/>
  <c r="H35" i="3"/>
  <c r="I35" i="3"/>
  <c r="J35" i="3"/>
  <c r="K35" i="3"/>
  <c r="L35" i="3"/>
  <c r="AX35" i="3" s="1"/>
  <c r="AY35" i="3" s="1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Z35" i="3" s="1"/>
  <c r="AS35" i="3"/>
  <c r="AT35" i="3"/>
  <c r="AU35" i="3"/>
  <c r="AV35" i="3"/>
  <c r="AW35" i="3"/>
  <c r="D35" i="3"/>
  <c r="D34" i="3"/>
  <c r="C35" i="3"/>
  <c r="C34" i="3"/>
  <c r="B12" i="9"/>
  <c r="B16" i="9" s="1"/>
  <c r="B11" i="9"/>
  <c r="B15" i="9" s="1"/>
  <c r="B10" i="9"/>
  <c r="B14" i="9" s="1"/>
  <c r="B7" i="9"/>
  <c r="B6" i="9"/>
  <c r="C42" i="3"/>
  <c r="C41" i="3"/>
  <c r="C40" i="3"/>
  <c r="C39" i="3"/>
  <c r="B22" i="3"/>
  <c r="O24" i="2"/>
  <c r="C28" i="3"/>
  <c r="O26" i="2"/>
  <c r="N24" i="2"/>
  <c r="M24" i="2"/>
  <c r="M27" i="2"/>
  <c r="N26" i="2"/>
  <c r="N27" i="2"/>
  <c r="M26" i="2"/>
  <c r="B25" i="3"/>
  <c r="B28" i="3"/>
  <c r="L27" i="2"/>
  <c r="L20" i="2"/>
  <c r="L24" i="2"/>
  <c r="L8" i="2"/>
  <c r="L12" i="2"/>
  <c r="L15" i="2"/>
  <c r="H15" i="2"/>
  <c r="G15" i="2"/>
  <c r="F15" i="2"/>
  <c r="H12" i="2"/>
  <c r="G12" i="2"/>
  <c r="M12" i="2" s="1"/>
  <c r="O12" i="2" s="1"/>
  <c r="F12" i="2"/>
  <c r="H8" i="2"/>
  <c r="G8" i="2"/>
  <c r="F8" i="2"/>
  <c r="M8" i="2" s="1"/>
  <c r="A1" i="3"/>
  <c r="BR92" i="8"/>
  <c r="BS92" i="8"/>
  <c r="BT92" i="8"/>
  <c r="BU92" i="8"/>
  <c r="BQ92" i="8"/>
  <c r="BR88" i="8"/>
  <c r="BS88" i="8"/>
  <c r="BT88" i="8"/>
  <c r="BU88" i="8"/>
  <c r="BQ88" i="8"/>
  <c r="BR91" i="8"/>
  <c r="BS91" i="8"/>
  <c r="BT91" i="8"/>
  <c r="BU91" i="8"/>
  <c r="BQ91" i="8"/>
  <c r="BR90" i="8"/>
  <c r="BS90" i="8"/>
  <c r="BT90" i="8"/>
  <c r="BU90" i="8"/>
  <c r="BQ90" i="8"/>
  <c r="B30" i="3"/>
  <c r="B29" i="3"/>
  <c r="L26" i="2"/>
  <c r="L14" i="2"/>
  <c r="H14" i="2"/>
  <c r="G14" i="2"/>
  <c r="F14" i="2"/>
  <c r="B24" i="3"/>
  <c r="B26" i="3"/>
  <c r="B27" i="3"/>
  <c r="B23" i="3"/>
  <c r="L30" i="2"/>
  <c r="L22" i="2"/>
  <c r="L10" i="2"/>
  <c r="H10" i="2"/>
  <c r="G10" i="2"/>
  <c r="F10" i="2"/>
  <c r="L18" i="2"/>
  <c r="F18" i="2"/>
  <c r="G18" i="2"/>
  <c r="H18" i="2"/>
  <c r="M92" i="8"/>
  <c r="N92" i="8"/>
  <c r="O92" i="8"/>
  <c r="P92" i="8"/>
  <c r="Q92" i="8"/>
  <c r="R92" i="8"/>
  <c r="S92" i="8"/>
  <c r="T92" i="8"/>
  <c r="U92" i="8"/>
  <c r="V92" i="8"/>
  <c r="W92" i="8"/>
  <c r="X92" i="8"/>
  <c r="Y92" i="8"/>
  <c r="L92" i="8"/>
  <c r="M91" i="8"/>
  <c r="N91" i="8"/>
  <c r="O91" i="8"/>
  <c r="P91" i="8"/>
  <c r="Q91" i="8"/>
  <c r="R91" i="8"/>
  <c r="S91" i="8"/>
  <c r="T91" i="8"/>
  <c r="U91" i="8"/>
  <c r="V91" i="8"/>
  <c r="W91" i="8"/>
  <c r="L91" i="8"/>
  <c r="AC73" i="8"/>
  <c r="AD73" i="8"/>
  <c r="AE73" i="8"/>
  <c r="AF73" i="8"/>
  <c r="AG73" i="8"/>
  <c r="AH73" i="8"/>
  <c r="AI73" i="8"/>
  <c r="AJ73" i="8"/>
  <c r="AK73" i="8"/>
  <c r="AL73" i="8"/>
  <c r="AM73" i="8"/>
  <c r="AN73" i="8"/>
  <c r="AP73" i="8"/>
  <c r="AR73" i="8"/>
  <c r="AS73" i="8"/>
  <c r="AU73" i="8"/>
  <c r="AV73" i="8"/>
  <c r="AX73" i="8"/>
  <c r="AY73" i="8"/>
  <c r="AZ73" i="8"/>
  <c r="BA73" i="8"/>
  <c r="BB73" i="8"/>
  <c r="BC73" i="8"/>
  <c r="BE73" i="8"/>
  <c r="AD78" i="8"/>
  <c r="AE78" i="8"/>
  <c r="AF78" i="8"/>
  <c r="AG78" i="8"/>
  <c r="AH78" i="8"/>
  <c r="AI78" i="8"/>
  <c r="AJ78" i="8"/>
  <c r="AK78" i="8"/>
  <c r="AL78" i="8"/>
  <c r="AN78" i="8"/>
  <c r="AR78" i="8"/>
  <c r="AS78" i="8"/>
  <c r="AT78" i="8"/>
  <c r="AV78" i="8"/>
  <c r="AX78" i="8"/>
  <c r="AY78" i="8"/>
  <c r="BA78" i="8"/>
  <c r="BC78" i="8"/>
  <c r="BE78" i="8"/>
  <c r="AT83" i="8"/>
  <c r="AT85" i="8"/>
  <c r="BA85" i="8"/>
  <c r="M85" i="8"/>
  <c r="N85" i="8"/>
  <c r="O85" i="8"/>
  <c r="P85" i="8"/>
  <c r="Q85" i="8"/>
  <c r="R85" i="8"/>
  <c r="S85" i="8"/>
  <c r="T85" i="8"/>
  <c r="U85" i="8"/>
  <c r="V85" i="8"/>
  <c r="W85" i="8"/>
  <c r="X85" i="8"/>
  <c r="L85" i="8"/>
  <c r="AT84" i="8"/>
  <c r="AD79" i="8"/>
  <c r="AE79" i="8"/>
  <c r="AF79" i="8"/>
  <c r="AG79" i="8"/>
  <c r="AH79" i="8"/>
  <c r="AI79" i="8"/>
  <c r="AJ79" i="8"/>
  <c r="AK79" i="8"/>
  <c r="AL79" i="8"/>
  <c r="AN79" i="8"/>
  <c r="AR79" i="8"/>
  <c r="AS79" i="8"/>
  <c r="AT79" i="8"/>
  <c r="AV79" i="8"/>
  <c r="AX79" i="8"/>
  <c r="AY79" i="8"/>
  <c r="BA79" i="8"/>
  <c r="BC79" i="8"/>
  <c r="BE79" i="8"/>
  <c r="AT86" i="8"/>
  <c r="AD81" i="8"/>
  <c r="AE81" i="8"/>
  <c r="AF81" i="8"/>
  <c r="AG81" i="8"/>
  <c r="AH81" i="8"/>
  <c r="AI81" i="8"/>
  <c r="AJ81" i="8"/>
  <c r="AK81" i="8"/>
  <c r="AL81" i="8"/>
  <c r="AN81" i="8"/>
  <c r="AR81" i="8"/>
  <c r="AS81" i="8"/>
  <c r="AT81" i="8"/>
  <c r="AV81" i="8"/>
  <c r="AX81" i="8"/>
  <c r="AY81" i="8"/>
  <c r="BA81" i="8"/>
  <c r="BC81" i="8"/>
  <c r="BE81" i="8"/>
  <c r="L160" i="8"/>
  <c r="L163" i="8" s="1"/>
  <c r="L164" i="8" s="1"/>
  <c r="M160" i="8"/>
  <c r="M163" i="8" s="1"/>
  <c r="M164" i="8" s="1"/>
  <c r="N160" i="8"/>
  <c r="O160" i="8"/>
  <c r="O163" i="8" s="1"/>
  <c r="O164" i="8" s="1"/>
  <c r="P160" i="8"/>
  <c r="P163" i="8" s="1"/>
  <c r="P164" i="8" s="1"/>
  <c r="Q160" i="8"/>
  <c r="Q163" i="8" s="1"/>
  <c r="Q164" i="8" s="1"/>
  <c r="R160" i="8"/>
  <c r="R163" i="8" s="1"/>
  <c r="R164" i="8" s="1"/>
  <c r="S160" i="8"/>
  <c r="S163" i="8" s="1"/>
  <c r="S164" i="8" s="1"/>
  <c r="T160" i="8"/>
  <c r="T163" i="8" s="1"/>
  <c r="T164" i="8" s="1"/>
  <c r="U160" i="8"/>
  <c r="U163" i="8" s="1"/>
  <c r="U164" i="8" s="1"/>
  <c r="V160" i="8"/>
  <c r="W160" i="8"/>
  <c r="W163" i="8" s="1"/>
  <c r="W164" i="8" s="1"/>
  <c r="X160" i="8"/>
  <c r="X163" i="8" s="1"/>
  <c r="X164" i="8" s="1"/>
  <c r="L185" i="8"/>
  <c r="L186" i="8" s="1"/>
  <c r="M185" i="8"/>
  <c r="N185" i="8"/>
  <c r="O185" i="8"/>
  <c r="P185" i="8"/>
  <c r="P186" i="8" s="1"/>
  <c r="Q185" i="8"/>
  <c r="Q186" i="8" s="1"/>
  <c r="R185" i="8"/>
  <c r="S185" i="8"/>
  <c r="S186" i="8" s="1"/>
  <c r="T185" i="8"/>
  <c r="T186" i="8" s="1"/>
  <c r="U185" i="8"/>
  <c r="V185" i="8"/>
  <c r="W185" i="8"/>
  <c r="W186" i="8" s="1"/>
  <c r="X185" i="8"/>
  <c r="X186" i="8" s="1"/>
  <c r="AC185" i="8"/>
  <c r="AC186" i="8" s="1"/>
  <c r="AD185" i="8"/>
  <c r="AD186" i="8" s="1"/>
  <c r="AE185" i="8"/>
  <c r="AE186" i="8" s="1"/>
  <c r="AF185" i="8"/>
  <c r="AF186" i="8" s="1"/>
  <c r="AG185" i="8"/>
  <c r="AG186" i="8" s="1"/>
  <c r="AH185" i="8"/>
  <c r="AH186" i="8" s="1"/>
  <c r="AI185" i="8"/>
  <c r="AI186" i="8" s="1"/>
  <c r="AJ185" i="8"/>
  <c r="AJ186" i="8" s="1"/>
  <c r="AK185" i="8"/>
  <c r="AK186" i="8" s="1"/>
  <c r="AL185" i="8"/>
  <c r="AL186" i="8" s="1"/>
  <c r="AM185" i="8"/>
  <c r="AM186" i="8" s="1"/>
  <c r="AN185" i="8"/>
  <c r="AN186" i="8" s="1"/>
  <c r="AO185" i="8"/>
  <c r="AP185" i="8"/>
  <c r="AP186" i="8" s="1"/>
  <c r="AQ185" i="8"/>
  <c r="AQ186" i="8" s="1"/>
  <c r="AR185" i="8"/>
  <c r="AR186" i="8" s="1"/>
  <c r="AS185" i="8"/>
  <c r="AS186" i="8" s="1"/>
  <c r="AU185" i="8"/>
  <c r="AU186" i="8" s="1"/>
  <c r="AV185" i="8"/>
  <c r="AV186" i="8" s="1"/>
  <c r="AW185" i="8"/>
  <c r="AW186" i="8" s="1"/>
  <c r="AX185" i="8"/>
  <c r="AY185" i="8"/>
  <c r="AY186" i="8" s="1"/>
  <c r="AZ185" i="8"/>
  <c r="AZ186" i="8" s="1"/>
  <c r="BA185" i="8"/>
  <c r="BA186" i="8" s="1"/>
  <c r="BB185" i="8"/>
  <c r="BB186" i="8" s="1"/>
  <c r="BC185" i="8"/>
  <c r="BC186" i="8" s="1"/>
  <c r="BD185" i="8"/>
  <c r="BD186" i="8" s="1"/>
  <c r="BE185" i="8"/>
  <c r="BE186" i="8" s="1"/>
  <c r="BF185" i="8"/>
  <c r="BF186" i="8" s="1"/>
  <c r="AB185" i="8"/>
  <c r="AB186" i="8" s="1"/>
  <c r="M184" i="8"/>
  <c r="M187" i="8" s="1"/>
  <c r="M188" i="8" s="1"/>
  <c r="N184" i="8"/>
  <c r="N187" i="8" s="1"/>
  <c r="N188" i="8" s="1"/>
  <c r="O184" i="8"/>
  <c r="O187" i="8" s="1"/>
  <c r="O188" i="8" s="1"/>
  <c r="P184" i="8"/>
  <c r="P187" i="8" s="1"/>
  <c r="P188" i="8" s="1"/>
  <c r="Q184" i="8"/>
  <c r="Q187" i="8" s="1"/>
  <c r="Q188" i="8" s="1"/>
  <c r="R184" i="8"/>
  <c r="R187" i="8" s="1"/>
  <c r="R188" i="8" s="1"/>
  <c r="S184" i="8"/>
  <c r="S187" i="8" s="1"/>
  <c r="S188" i="8" s="1"/>
  <c r="T184" i="8"/>
  <c r="U184" i="8"/>
  <c r="U187" i="8" s="1"/>
  <c r="U188" i="8" s="1"/>
  <c r="V184" i="8"/>
  <c r="V187" i="8" s="1"/>
  <c r="V188" i="8" s="1"/>
  <c r="W184" i="8"/>
  <c r="W187" i="8" s="1"/>
  <c r="W188" i="8" s="1"/>
  <c r="X184" i="8"/>
  <c r="X187" i="8" s="1"/>
  <c r="X188" i="8" s="1"/>
  <c r="AA184" i="8"/>
  <c r="AB184" i="8"/>
  <c r="AC184" i="8"/>
  <c r="AD184" i="8"/>
  <c r="AE184" i="8"/>
  <c r="AF184" i="8"/>
  <c r="AG184" i="8"/>
  <c r="AH184" i="8"/>
  <c r="AI184" i="8"/>
  <c r="AJ184" i="8"/>
  <c r="AK184" i="8"/>
  <c r="AL184" i="8"/>
  <c r="AM184" i="8"/>
  <c r="AN184" i="8"/>
  <c r="AO184" i="8"/>
  <c r="AP184" i="8"/>
  <c r="AQ184" i="8"/>
  <c r="AR184" i="8"/>
  <c r="AS184" i="8"/>
  <c r="AU184" i="8"/>
  <c r="AV184" i="8"/>
  <c r="AW184" i="8"/>
  <c r="AX184" i="8"/>
  <c r="AY184" i="8"/>
  <c r="AZ184" i="8"/>
  <c r="BA184" i="8"/>
  <c r="BB184" i="8"/>
  <c r="BC184" i="8"/>
  <c r="BD184" i="8"/>
  <c r="BE184" i="8"/>
  <c r="BF184" i="8"/>
  <c r="V186" i="8"/>
  <c r="M186" i="8"/>
  <c r="U186" i="8"/>
  <c r="AO186" i="8"/>
  <c r="AX186" i="8"/>
  <c r="L184" i="8"/>
  <c r="L187" i="8" s="1"/>
  <c r="L188" i="8" s="1"/>
  <c r="AA176" i="8"/>
  <c r="AB176" i="8"/>
  <c r="AC176" i="8"/>
  <c r="AD176" i="8"/>
  <c r="AE176" i="8"/>
  <c r="AF176" i="8"/>
  <c r="AG176" i="8"/>
  <c r="AH176" i="8"/>
  <c r="AI176" i="8"/>
  <c r="AJ176" i="8"/>
  <c r="AK176" i="8"/>
  <c r="AL176" i="8"/>
  <c r="AM176" i="8"/>
  <c r="AN176" i="8"/>
  <c r="AO176" i="8"/>
  <c r="AP176" i="8"/>
  <c r="AQ176" i="8"/>
  <c r="AR176" i="8"/>
  <c r="AS176" i="8"/>
  <c r="AU176" i="8"/>
  <c r="AV176" i="8"/>
  <c r="AW176" i="8"/>
  <c r="AX176" i="8"/>
  <c r="AY176" i="8"/>
  <c r="AZ176" i="8"/>
  <c r="BA176" i="8"/>
  <c r="BB176" i="8"/>
  <c r="BC176" i="8"/>
  <c r="BD176" i="8"/>
  <c r="BE176" i="8"/>
  <c r="BF176" i="8"/>
  <c r="M177" i="8"/>
  <c r="M178" i="8" s="1"/>
  <c r="N177" i="8"/>
  <c r="N178" i="8" s="1"/>
  <c r="O177" i="8"/>
  <c r="O178" i="8" s="1"/>
  <c r="P177" i="8"/>
  <c r="P178" i="8" s="1"/>
  <c r="Q177" i="8"/>
  <c r="Q178" i="8" s="1"/>
  <c r="R177" i="8"/>
  <c r="S177" i="8"/>
  <c r="S178" i="8" s="1"/>
  <c r="T177" i="8"/>
  <c r="T178" i="8" s="1"/>
  <c r="U177" i="8"/>
  <c r="U178" i="8" s="1"/>
  <c r="V177" i="8"/>
  <c r="V178" i="8" s="1"/>
  <c r="W177" i="8"/>
  <c r="W178" i="8" s="1"/>
  <c r="X177" i="8"/>
  <c r="X178" i="8" s="1"/>
  <c r="AB177" i="8"/>
  <c r="AB178" i="8" s="1"/>
  <c r="AC177" i="8"/>
  <c r="AC178" i="8" s="1"/>
  <c r="AD177" i="8"/>
  <c r="AD178" i="8" s="1"/>
  <c r="AE177" i="8"/>
  <c r="AE178" i="8" s="1"/>
  <c r="AF177" i="8"/>
  <c r="AF178" i="8" s="1"/>
  <c r="AG177" i="8"/>
  <c r="AG178" i="8" s="1"/>
  <c r="AH177" i="8"/>
  <c r="AH178" i="8" s="1"/>
  <c r="AI177" i="8"/>
  <c r="AI178" i="8" s="1"/>
  <c r="AJ177" i="8"/>
  <c r="AJ178" i="8" s="1"/>
  <c r="AK177" i="8"/>
  <c r="AK178" i="8" s="1"/>
  <c r="AL177" i="8"/>
  <c r="AL178" i="8" s="1"/>
  <c r="AM177" i="8"/>
  <c r="AM178" i="8" s="1"/>
  <c r="AN177" i="8"/>
  <c r="AN178" i="8" s="1"/>
  <c r="AO177" i="8"/>
  <c r="AO178" i="8" s="1"/>
  <c r="AP177" i="8"/>
  <c r="AP178" i="8" s="1"/>
  <c r="AQ177" i="8"/>
  <c r="AQ178" i="8" s="1"/>
  <c r="AR177" i="8"/>
  <c r="AR178" i="8" s="1"/>
  <c r="AS177" i="8"/>
  <c r="AS178" i="8" s="1"/>
  <c r="AU177" i="8"/>
  <c r="AU178" i="8" s="1"/>
  <c r="AV177" i="8"/>
  <c r="AV178" i="8" s="1"/>
  <c r="AW177" i="8"/>
  <c r="AW178" i="8" s="1"/>
  <c r="AX177" i="8"/>
  <c r="AX178" i="8" s="1"/>
  <c r="AY177" i="8"/>
  <c r="AY178" i="8" s="1"/>
  <c r="AZ177" i="8"/>
  <c r="AZ178" i="8" s="1"/>
  <c r="BA177" i="8"/>
  <c r="BA178" i="8" s="1"/>
  <c r="BB177" i="8"/>
  <c r="BB178" i="8" s="1"/>
  <c r="BC177" i="8"/>
  <c r="BC178" i="8" s="1"/>
  <c r="BD177" i="8"/>
  <c r="BD178" i="8" s="1"/>
  <c r="BE177" i="8"/>
  <c r="BE178" i="8" s="1"/>
  <c r="BF177" i="8"/>
  <c r="BF178" i="8" s="1"/>
  <c r="L177" i="8"/>
  <c r="M176" i="8"/>
  <c r="M179" i="8" s="1"/>
  <c r="M180" i="8" s="1"/>
  <c r="N176" i="8"/>
  <c r="N179" i="8" s="1"/>
  <c r="N180" i="8" s="1"/>
  <c r="O176" i="8"/>
  <c r="O179" i="8" s="1"/>
  <c r="O180" i="8" s="1"/>
  <c r="P176" i="8"/>
  <c r="P179" i="8" s="1"/>
  <c r="P180" i="8" s="1"/>
  <c r="Q176" i="8"/>
  <c r="Q179" i="8" s="1"/>
  <c r="Q180" i="8" s="1"/>
  <c r="R176" i="8"/>
  <c r="R179" i="8" s="1"/>
  <c r="R180" i="8" s="1"/>
  <c r="S176" i="8"/>
  <c r="S179" i="8" s="1"/>
  <c r="S180" i="8" s="1"/>
  <c r="T176" i="8"/>
  <c r="T179" i="8" s="1"/>
  <c r="T180" i="8" s="1"/>
  <c r="U176" i="8"/>
  <c r="U179" i="8" s="1"/>
  <c r="U180" i="8" s="1"/>
  <c r="V176" i="8"/>
  <c r="V179" i="8" s="1"/>
  <c r="V180" i="8" s="1"/>
  <c r="W176" i="8"/>
  <c r="W179" i="8" s="1"/>
  <c r="W180" i="8" s="1"/>
  <c r="X176" i="8"/>
  <c r="X179" i="8" s="1"/>
  <c r="X180" i="8" s="1"/>
  <c r="L176" i="8"/>
  <c r="L179" i="8" s="1"/>
  <c r="L180" i="8" s="1"/>
  <c r="M169" i="8"/>
  <c r="N169" i="8"/>
  <c r="O169" i="8"/>
  <c r="P169" i="8"/>
  <c r="Q169" i="8"/>
  <c r="R169" i="8"/>
  <c r="S169" i="8"/>
  <c r="T169" i="8"/>
  <c r="U169" i="8"/>
  <c r="V169" i="8"/>
  <c r="W169" i="8"/>
  <c r="X169" i="8"/>
  <c r="L169" i="8"/>
  <c r="AB161" i="8"/>
  <c r="AB162" i="8" s="1"/>
  <c r="AB85" i="8" s="1"/>
  <c r="AC161" i="8"/>
  <c r="AC162" i="8" s="1"/>
  <c r="AC85" i="8" s="1"/>
  <c r="AD161" i="8"/>
  <c r="AD162" i="8" s="1"/>
  <c r="AD85" i="8" s="1"/>
  <c r="AE161" i="8"/>
  <c r="AE162" i="8" s="1"/>
  <c r="AE85" i="8" s="1"/>
  <c r="AF161" i="8"/>
  <c r="AF162" i="8" s="1"/>
  <c r="AF85" i="8" s="1"/>
  <c r="AG161" i="8"/>
  <c r="AG162" i="8" s="1"/>
  <c r="AG85" i="8" s="1"/>
  <c r="AH161" i="8"/>
  <c r="AH162" i="8" s="1"/>
  <c r="AH85" i="8" s="1"/>
  <c r="AI161" i="8"/>
  <c r="AI162" i="8" s="1"/>
  <c r="AI85" i="8" s="1"/>
  <c r="AJ161" i="8"/>
  <c r="AJ162" i="8" s="1"/>
  <c r="AJ85" i="8" s="1"/>
  <c r="AK161" i="8"/>
  <c r="AK162" i="8" s="1"/>
  <c r="AK85" i="8" s="1"/>
  <c r="AL161" i="8"/>
  <c r="AL162" i="8" s="1"/>
  <c r="AL85" i="8" s="1"/>
  <c r="AM161" i="8"/>
  <c r="AM162" i="8" s="1"/>
  <c r="AM85" i="8" s="1"/>
  <c r="AN161" i="8"/>
  <c r="AN162" i="8" s="1"/>
  <c r="AN85" i="8" s="1"/>
  <c r="AO161" i="8"/>
  <c r="AO162" i="8" s="1"/>
  <c r="AO85" i="8" s="1"/>
  <c r="AP161" i="8"/>
  <c r="AP162" i="8" s="1"/>
  <c r="AP85" i="8" s="1"/>
  <c r="AQ161" i="8"/>
  <c r="AQ162" i="8" s="1"/>
  <c r="AQ85" i="8" s="1"/>
  <c r="AR161" i="8"/>
  <c r="AR162" i="8" s="1"/>
  <c r="AR85" i="8" s="1"/>
  <c r="AS161" i="8"/>
  <c r="AS162" i="8" s="1"/>
  <c r="AS85" i="8" s="1"/>
  <c r="AU161" i="8"/>
  <c r="AU162" i="8" s="1"/>
  <c r="AU85" i="8" s="1"/>
  <c r="AV161" i="8"/>
  <c r="AV162" i="8" s="1"/>
  <c r="AV85" i="8" s="1"/>
  <c r="AW161" i="8"/>
  <c r="AW162" i="8" s="1"/>
  <c r="AW85" i="8" s="1"/>
  <c r="AX161" i="8"/>
  <c r="AX162" i="8" s="1"/>
  <c r="AX85" i="8" s="1"/>
  <c r="AY161" i="8"/>
  <c r="AY162" i="8" s="1"/>
  <c r="AY85" i="8" s="1"/>
  <c r="AZ161" i="8"/>
  <c r="AZ162" i="8" s="1"/>
  <c r="AZ85" i="8" s="1"/>
  <c r="BA161" i="8"/>
  <c r="BA162" i="8" s="1"/>
  <c r="BB161" i="8"/>
  <c r="BB162" i="8" s="1"/>
  <c r="BB85" i="8" s="1"/>
  <c r="BC161" i="8"/>
  <c r="BC162" i="8" s="1"/>
  <c r="BC85" i="8" s="1"/>
  <c r="BD161" i="8"/>
  <c r="BD162" i="8" s="1"/>
  <c r="BD85" i="8" s="1"/>
  <c r="BE161" i="8"/>
  <c r="BE162" i="8" s="1"/>
  <c r="BE85" i="8" s="1"/>
  <c r="BF161" i="8"/>
  <c r="BF162" i="8" s="1"/>
  <c r="BF85" i="8" s="1"/>
  <c r="AA160" i="8"/>
  <c r="AA163" i="8" s="1"/>
  <c r="AA164" i="8" s="1"/>
  <c r="AB160" i="8"/>
  <c r="AB163" i="8" s="1"/>
  <c r="AB164" i="8" s="1"/>
  <c r="AB84" i="8" s="1"/>
  <c r="AC160" i="8"/>
  <c r="AC163" i="8" s="1"/>
  <c r="AC164" i="8" s="1"/>
  <c r="AC84" i="8" s="1"/>
  <c r="AD160" i="8"/>
  <c r="AD163" i="8" s="1"/>
  <c r="AD164" i="8" s="1"/>
  <c r="AD84" i="8" s="1"/>
  <c r="AE160" i="8"/>
  <c r="AE163" i="8" s="1"/>
  <c r="AE164" i="8" s="1"/>
  <c r="AE84" i="8" s="1"/>
  <c r="AF160" i="8"/>
  <c r="AF163" i="8" s="1"/>
  <c r="AF164" i="8" s="1"/>
  <c r="AF84" i="8" s="1"/>
  <c r="AG160" i="8"/>
  <c r="AG163" i="8" s="1"/>
  <c r="AG164" i="8" s="1"/>
  <c r="AG84" i="8" s="1"/>
  <c r="AH160" i="8"/>
  <c r="AH163" i="8" s="1"/>
  <c r="AH164" i="8" s="1"/>
  <c r="AH84" i="8" s="1"/>
  <c r="AI160" i="8"/>
  <c r="AI163" i="8" s="1"/>
  <c r="AI164" i="8" s="1"/>
  <c r="AI84" i="8" s="1"/>
  <c r="AJ160" i="8"/>
  <c r="AJ163" i="8" s="1"/>
  <c r="AJ164" i="8" s="1"/>
  <c r="AJ84" i="8" s="1"/>
  <c r="AK160" i="8"/>
  <c r="AK163" i="8" s="1"/>
  <c r="AK164" i="8" s="1"/>
  <c r="AK84" i="8" s="1"/>
  <c r="AL160" i="8"/>
  <c r="AL163" i="8" s="1"/>
  <c r="AL164" i="8" s="1"/>
  <c r="AL84" i="8" s="1"/>
  <c r="AM160" i="8"/>
  <c r="AM163" i="8" s="1"/>
  <c r="AM164" i="8" s="1"/>
  <c r="AM84" i="8" s="1"/>
  <c r="AN160" i="8"/>
  <c r="AN163" i="8" s="1"/>
  <c r="AN164" i="8" s="1"/>
  <c r="AN84" i="8" s="1"/>
  <c r="AO160" i="8"/>
  <c r="AO163" i="8" s="1"/>
  <c r="AO164" i="8" s="1"/>
  <c r="AO84" i="8" s="1"/>
  <c r="AP160" i="8"/>
  <c r="AP163" i="8" s="1"/>
  <c r="AP164" i="8" s="1"/>
  <c r="AP84" i="8" s="1"/>
  <c r="AQ160" i="8"/>
  <c r="AQ163" i="8" s="1"/>
  <c r="AQ164" i="8" s="1"/>
  <c r="AQ84" i="8" s="1"/>
  <c r="AR160" i="8"/>
  <c r="AR163" i="8" s="1"/>
  <c r="AR164" i="8" s="1"/>
  <c r="AR84" i="8" s="1"/>
  <c r="AS160" i="8"/>
  <c r="AS163" i="8" s="1"/>
  <c r="AS164" i="8" s="1"/>
  <c r="AS84" i="8" s="1"/>
  <c r="AU160" i="8"/>
  <c r="AU163" i="8" s="1"/>
  <c r="AU164" i="8" s="1"/>
  <c r="AU84" i="8" s="1"/>
  <c r="AV160" i="8"/>
  <c r="AV163" i="8" s="1"/>
  <c r="AV164" i="8" s="1"/>
  <c r="AV84" i="8" s="1"/>
  <c r="AW160" i="8"/>
  <c r="AW163" i="8" s="1"/>
  <c r="AW164" i="8" s="1"/>
  <c r="AW84" i="8" s="1"/>
  <c r="AX160" i="8"/>
  <c r="AX163" i="8" s="1"/>
  <c r="AX164" i="8" s="1"/>
  <c r="AX84" i="8" s="1"/>
  <c r="AY160" i="8"/>
  <c r="AY163" i="8" s="1"/>
  <c r="AY164" i="8" s="1"/>
  <c r="AY84" i="8" s="1"/>
  <c r="AZ160" i="8"/>
  <c r="AZ163" i="8" s="1"/>
  <c r="AZ164" i="8" s="1"/>
  <c r="AZ84" i="8" s="1"/>
  <c r="BA160" i="8"/>
  <c r="BA163" i="8" s="1"/>
  <c r="BA164" i="8" s="1"/>
  <c r="BA84" i="8" s="1"/>
  <c r="BB160" i="8"/>
  <c r="BB163" i="8" s="1"/>
  <c r="BB164" i="8" s="1"/>
  <c r="BB84" i="8" s="1"/>
  <c r="BC160" i="8"/>
  <c r="BC163" i="8" s="1"/>
  <c r="BC164" i="8" s="1"/>
  <c r="BC84" i="8" s="1"/>
  <c r="BD160" i="8"/>
  <c r="BD163" i="8" s="1"/>
  <c r="BD164" i="8" s="1"/>
  <c r="BD84" i="8" s="1"/>
  <c r="BE160" i="8"/>
  <c r="BE163" i="8" s="1"/>
  <c r="BE164" i="8" s="1"/>
  <c r="BE84" i="8" s="1"/>
  <c r="BF160" i="8"/>
  <c r="BF163" i="8" s="1"/>
  <c r="BF164" i="8" s="1"/>
  <c r="BF84" i="8" s="1"/>
  <c r="AA168" i="8"/>
  <c r="AB168" i="8"/>
  <c r="AC168" i="8"/>
  <c r="AD168" i="8"/>
  <c r="AE168" i="8"/>
  <c r="AF168" i="8"/>
  <c r="AG168" i="8"/>
  <c r="AH168" i="8"/>
  <c r="AI168" i="8"/>
  <c r="AJ168" i="8"/>
  <c r="AK168" i="8"/>
  <c r="AL168" i="8"/>
  <c r="AM168" i="8"/>
  <c r="AN168" i="8"/>
  <c r="AO168" i="8"/>
  <c r="AP168" i="8"/>
  <c r="AQ168" i="8"/>
  <c r="AR168" i="8"/>
  <c r="AS168" i="8"/>
  <c r="AU168" i="8"/>
  <c r="AV168" i="8"/>
  <c r="AW168" i="8"/>
  <c r="AX168" i="8"/>
  <c r="AY168" i="8"/>
  <c r="AZ168" i="8"/>
  <c r="BA168" i="8"/>
  <c r="BB168" i="8"/>
  <c r="BC168" i="8"/>
  <c r="BD168" i="8"/>
  <c r="BE168" i="8"/>
  <c r="BF168" i="8"/>
  <c r="M168" i="8"/>
  <c r="M171" i="8" s="1"/>
  <c r="M172" i="8" s="1"/>
  <c r="M84" i="8" s="1"/>
  <c r="N168" i="8"/>
  <c r="N171" i="8" s="1"/>
  <c r="N172" i="8" s="1"/>
  <c r="N84" i="8" s="1"/>
  <c r="O168" i="8"/>
  <c r="O171" i="8" s="1"/>
  <c r="O172" i="8" s="1"/>
  <c r="O84" i="8" s="1"/>
  <c r="P168" i="8"/>
  <c r="P171" i="8" s="1"/>
  <c r="P172" i="8" s="1"/>
  <c r="P84" i="8" s="1"/>
  <c r="Q168" i="8"/>
  <c r="Q171" i="8" s="1"/>
  <c r="Q172" i="8" s="1"/>
  <c r="Q84" i="8" s="1"/>
  <c r="R168" i="8"/>
  <c r="R171" i="8" s="1"/>
  <c r="R172" i="8" s="1"/>
  <c r="R84" i="8" s="1"/>
  <c r="S168" i="8"/>
  <c r="S171" i="8" s="1"/>
  <c r="S172" i="8" s="1"/>
  <c r="S84" i="8" s="1"/>
  <c r="T168" i="8"/>
  <c r="T171" i="8" s="1"/>
  <c r="T172" i="8" s="1"/>
  <c r="T84" i="8" s="1"/>
  <c r="U168" i="8"/>
  <c r="U171" i="8" s="1"/>
  <c r="U172" i="8" s="1"/>
  <c r="U84" i="8" s="1"/>
  <c r="V168" i="8"/>
  <c r="V171" i="8" s="1"/>
  <c r="V172" i="8" s="1"/>
  <c r="V84" i="8" s="1"/>
  <c r="W168" i="8"/>
  <c r="W171" i="8" s="1"/>
  <c r="W172" i="8" s="1"/>
  <c r="W84" i="8" s="1"/>
  <c r="X168" i="8"/>
  <c r="X171" i="8" s="1"/>
  <c r="X172" i="8" s="1"/>
  <c r="X84" i="8" s="1"/>
  <c r="L168" i="8"/>
  <c r="L171" i="8" s="1"/>
  <c r="L172" i="8" s="1"/>
  <c r="L84" i="8" s="1"/>
  <c r="AT112" i="8"/>
  <c r="AT110" i="8"/>
  <c r="AT111" i="8" s="1"/>
  <c r="R189" i="8" l="1"/>
  <c r="N181" i="8"/>
  <c r="T189" i="8"/>
  <c r="AQ83" i="8"/>
  <c r="AP83" i="8"/>
  <c r="V83" i="8"/>
  <c r="V189" i="8"/>
  <c r="N189" i="8"/>
  <c r="AB83" i="8"/>
  <c r="AL83" i="8"/>
  <c r="U83" i="8"/>
  <c r="AX83" i="8"/>
  <c r="BF83" i="8"/>
  <c r="AI83" i="8"/>
  <c r="Q83" i="8"/>
  <c r="L189" i="8"/>
  <c r="BB83" i="8"/>
  <c r="AH83" i="8"/>
  <c r="N83" i="8"/>
  <c r="V181" i="8"/>
  <c r="AY83" i="8"/>
  <c r="AD83" i="8"/>
  <c r="M83" i="8"/>
  <c r="Q189" i="8"/>
  <c r="L181" i="8"/>
  <c r="R181" i="8"/>
  <c r="U189" i="8"/>
  <c r="M189" i="8"/>
  <c r="BA83" i="8"/>
  <c r="AS83" i="8"/>
  <c r="AK83" i="8"/>
  <c r="AC83" i="8"/>
  <c r="L83" i="8"/>
  <c r="P83" i="8"/>
  <c r="V173" i="8"/>
  <c r="V86" i="8" s="1"/>
  <c r="N173" i="8"/>
  <c r="N86" i="8" s="1"/>
  <c r="L178" i="8"/>
  <c r="AZ83" i="8"/>
  <c r="AR83" i="8"/>
  <c r="AJ83" i="8"/>
  <c r="X83" i="8"/>
  <c r="O83" i="8"/>
  <c r="S173" i="8"/>
  <c r="S86" i="8" s="1"/>
  <c r="BE83" i="8"/>
  <c r="AW83" i="8"/>
  <c r="AO83" i="8"/>
  <c r="AG83" i="8"/>
  <c r="T83" i="8"/>
  <c r="P189" i="8"/>
  <c r="BD83" i="8"/>
  <c r="AV83" i="8"/>
  <c r="AN83" i="8"/>
  <c r="AF83" i="8"/>
  <c r="S83" i="8"/>
  <c r="N186" i="8"/>
  <c r="AT73" i="8"/>
  <c r="L173" i="8"/>
  <c r="L86" i="8" s="1"/>
  <c r="O189" i="8"/>
  <c r="S189" i="8"/>
  <c r="BC83" i="8"/>
  <c r="AU83" i="8"/>
  <c r="AM83" i="8"/>
  <c r="AE83" i="8"/>
  <c r="R83" i="8"/>
  <c r="AC27" i="9"/>
  <c r="S21" i="9"/>
  <c r="T21" i="9"/>
  <c r="W21" i="9"/>
  <c r="X21" i="9"/>
  <c r="B17" i="9"/>
  <c r="W17" i="9"/>
  <c r="X17" i="9"/>
  <c r="T17" i="9"/>
  <c r="U17" i="9"/>
  <c r="U21" i="9" s="1"/>
  <c r="AX26" i="6"/>
  <c r="D47" i="6" s="1"/>
  <c r="AH24" i="6"/>
  <c r="U42" i="6" s="1"/>
  <c r="Z26" i="6"/>
  <c r="AL25" i="6"/>
  <c r="J46" i="6" s="1"/>
  <c r="AD25" i="6"/>
  <c r="O46" i="6" s="1"/>
  <c r="X25" i="6"/>
  <c r="AW25" i="6"/>
  <c r="W46" i="6" s="1"/>
  <c r="AO25" i="6"/>
  <c r="AG25" i="6"/>
  <c r="N46" i="6" s="1"/>
  <c r="Y25" i="6"/>
  <c r="H46" i="6" s="1"/>
  <c r="AP24" i="6"/>
  <c r="AV25" i="6"/>
  <c r="C46" i="6" s="1"/>
  <c r="AN25" i="6"/>
  <c r="I46" i="6" s="1"/>
  <c r="AF25" i="6"/>
  <c r="Q46" i="6" s="1"/>
  <c r="BB24" i="6"/>
  <c r="M42" i="6" s="1"/>
  <c r="AT24" i="6"/>
  <c r="F42" i="6" s="1"/>
  <c r="AL24" i="6"/>
  <c r="J42" i="6" s="1"/>
  <c r="AD24" i="6"/>
  <c r="O42" i="6" s="1"/>
  <c r="AU25" i="6"/>
  <c r="R46" i="6" s="1"/>
  <c r="BA24" i="6"/>
  <c r="X42" i="6" s="1"/>
  <c r="AS24" i="6"/>
  <c r="AK24" i="6"/>
  <c r="E42" i="6" s="1"/>
  <c r="AC24" i="6"/>
  <c r="V42" i="6" s="1"/>
  <c r="AM25" i="6"/>
  <c r="AZ24" i="6"/>
  <c r="T42" i="6" s="1"/>
  <c r="AR24" i="6"/>
  <c r="AJ24" i="6"/>
  <c r="Y42" i="6" s="1"/>
  <c r="AB24" i="6"/>
  <c r="S42" i="6" s="1"/>
  <c r="AY24" i="6"/>
  <c r="AQ24" i="6"/>
  <c r="L42" i="6" s="1"/>
  <c r="AI24" i="6"/>
  <c r="G42" i="6" s="1"/>
  <c r="AA24" i="6"/>
  <c r="AP26" i="6"/>
  <c r="BB25" i="6"/>
  <c r="M46" i="6" s="1"/>
  <c r="AE25" i="6"/>
  <c r="AX25" i="6"/>
  <c r="D46" i="6" s="1"/>
  <c r="AH25" i="6"/>
  <c r="U46" i="6" s="1"/>
  <c r="Z25" i="6"/>
  <c r="AH26" i="6"/>
  <c r="U47" i="6" s="1"/>
  <c r="AT25" i="6"/>
  <c r="F46" i="6" s="1"/>
  <c r="AX24" i="6"/>
  <c r="D42" i="6" s="1"/>
  <c r="AW26" i="6"/>
  <c r="W47" i="6" s="1"/>
  <c r="AO26" i="6"/>
  <c r="AG26" i="6"/>
  <c r="N47" i="6" s="1"/>
  <c r="Y26" i="6"/>
  <c r="H47" i="6" s="1"/>
  <c r="BA25" i="6"/>
  <c r="X46" i="6" s="1"/>
  <c r="AS25" i="6"/>
  <c r="AK25" i="6"/>
  <c r="E46" i="6" s="1"/>
  <c r="AC25" i="6"/>
  <c r="V46" i="6" s="1"/>
  <c r="AW24" i="6"/>
  <c r="W42" i="6" s="1"/>
  <c r="AO24" i="6"/>
  <c r="AG24" i="6"/>
  <c r="N42" i="6" s="1"/>
  <c r="Y24" i="6"/>
  <c r="H42" i="6" s="1"/>
  <c r="AV26" i="6"/>
  <c r="C47" i="6" s="1"/>
  <c r="AN26" i="6"/>
  <c r="I47" i="6" s="1"/>
  <c r="AF26" i="6"/>
  <c r="Q47" i="6" s="1"/>
  <c r="X26" i="6"/>
  <c r="AZ25" i="6"/>
  <c r="T46" i="6" s="1"/>
  <c r="AR25" i="6"/>
  <c r="AJ25" i="6"/>
  <c r="Y46" i="6" s="1"/>
  <c r="AB25" i="6"/>
  <c r="S46" i="6" s="1"/>
  <c r="AV24" i="6"/>
  <c r="C42" i="6" s="1"/>
  <c r="AN24" i="6"/>
  <c r="I42" i="6" s="1"/>
  <c r="AF24" i="6"/>
  <c r="Q42" i="6" s="1"/>
  <c r="X24" i="6"/>
  <c r="AU26" i="6"/>
  <c r="R47" i="6" s="1"/>
  <c r="AM26" i="6"/>
  <c r="AE26" i="6"/>
  <c r="AY25" i="6"/>
  <c r="AQ25" i="6"/>
  <c r="L46" i="6" s="1"/>
  <c r="AI25" i="6"/>
  <c r="G46" i="6" s="1"/>
  <c r="AA25" i="6"/>
  <c r="AU24" i="6"/>
  <c r="R42" i="6" s="1"/>
  <c r="AM24" i="6"/>
  <c r="AE24" i="6"/>
  <c r="BB26" i="6"/>
  <c r="M47" i="6" s="1"/>
  <c r="AT26" i="6"/>
  <c r="F47" i="6" s="1"/>
  <c r="AL26" i="6"/>
  <c r="J47" i="6" s="1"/>
  <c r="AD26" i="6"/>
  <c r="O47" i="6" s="1"/>
  <c r="BA26" i="6"/>
  <c r="X47" i="6" s="1"/>
  <c r="AS26" i="6"/>
  <c r="AK26" i="6"/>
  <c r="E47" i="6" s="1"/>
  <c r="AC26" i="6"/>
  <c r="V47" i="6" s="1"/>
  <c r="AZ26" i="6"/>
  <c r="T47" i="6" s="1"/>
  <c r="AR26" i="6"/>
  <c r="AJ26" i="6"/>
  <c r="Y47" i="6" s="1"/>
  <c r="AB26" i="6"/>
  <c r="S47" i="6" s="1"/>
  <c r="AY26" i="6"/>
  <c r="AQ26" i="6"/>
  <c r="L47" i="6" s="1"/>
  <c r="AI26" i="6"/>
  <c r="G47" i="6" s="1"/>
  <c r="AA26" i="6"/>
  <c r="F25" i="6"/>
  <c r="O25" i="6"/>
  <c r="K26" i="6"/>
  <c r="P26" i="6"/>
  <c r="I26" i="6"/>
  <c r="R26" i="6"/>
  <c r="J26" i="6"/>
  <c r="E26" i="6"/>
  <c r="Q26" i="6"/>
  <c r="P25" i="6"/>
  <c r="O26" i="6"/>
  <c r="L26" i="6"/>
  <c r="G25" i="6"/>
  <c r="N26" i="6"/>
  <c r="P47" i="6" s="1"/>
  <c r="G26" i="6"/>
  <c r="N25" i="6"/>
  <c r="P46" i="6" s="1"/>
  <c r="F26" i="6"/>
  <c r="M25" i="6"/>
  <c r="M26" i="6"/>
  <c r="L25" i="6"/>
  <c r="K25" i="6"/>
  <c r="E24" i="6"/>
  <c r="R25" i="6"/>
  <c r="J25" i="6"/>
  <c r="E25" i="6"/>
  <c r="Q25" i="6"/>
  <c r="I25" i="6"/>
  <c r="Y44" i="6"/>
  <c r="O24" i="6"/>
  <c r="N24" i="6"/>
  <c r="P42" i="6" s="1"/>
  <c r="F24" i="6"/>
  <c r="Q24" i="6"/>
  <c r="P24" i="6"/>
  <c r="L24" i="6"/>
  <c r="I24" i="6"/>
  <c r="K24" i="6"/>
  <c r="X44" i="6"/>
  <c r="G24" i="6"/>
  <c r="R24" i="6"/>
  <c r="J24" i="6"/>
  <c r="V15" i="9"/>
  <c r="V14" i="9"/>
  <c r="V16" i="9"/>
  <c r="M10" i="2"/>
  <c r="M15" i="2"/>
  <c r="M14" i="2"/>
  <c r="O15" i="2"/>
  <c r="O8" i="2"/>
  <c r="N8" i="2"/>
  <c r="N12" i="2"/>
  <c r="N15" i="2"/>
  <c r="E84" i="8"/>
  <c r="D84" i="8"/>
  <c r="N10" i="2"/>
  <c r="O10" i="2"/>
  <c r="M18" i="2"/>
  <c r="N18" i="2"/>
  <c r="O18" i="2"/>
  <c r="G84" i="8"/>
  <c r="W83" i="8"/>
  <c r="F84" i="8"/>
  <c r="R173" i="8"/>
  <c r="R86" i="8" s="1"/>
  <c r="R178" i="8"/>
  <c r="U181" i="8"/>
  <c r="M181" i="8"/>
  <c r="X189" i="8"/>
  <c r="Q173" i="8"/>
  <c r="Q86" i="8" s="1"/>
  <c r="O186" i="8"/>
  <c r="T181" i="8"/>
  <c r="W189" i="8"/>
  <c r="T187" i="8"/>
  <c r="T188" i="8" s="1"/>
  <c r="X173" i="8"/>
  <c r="X86" i="8" s="1"/>
  <c r="P173" i="8"/>
  <c r="P86" i="8" s="1"/>
  <c r="S181" i="8"/>
  <c r="W173" i="8"/>
  <c r="W86" i="8" s="1"/>
  <c r="O173" i="8"/>
  <c r="O86" i="8" s="1"/>
  <c r="Q181" i="8"/>
  <c r="X181" i="8"/>
  <c r="P181" i="8"/>
  <c r="T173" i="8"/>
  <c r="T86" i="8" s="1"/>
  <c r="R186" i="8"/>
  <c r="W181" i="8"/>
  <c r="O181" i="8"/>
  <c r="V163" i="8"/>
  <c r="V164" i="8" s="1"/>
  <c r="N163" i="8"/>
  <c r="N164" i="8" s="1"/>
  <c r="U173" i="8"/>
  <c r="U86" i="8" s="1"/>
  <c r="M173" i="8"/>
  <c r="M86" i="8" s="1"/>
  <c r="AZ165" i="8"/>
  <c r="AZ86" i="8" s="1"/>
  <c r="AQ165" i="8"/>
  <c r="AQ86" i="8" s="1"/>
  <c r="AI165" i="8"/>
  <c r="AI86" i="8" s="1"/>
  <c r="AA165" i="8"/>
  <c r="AY165" i="8"/>
  <c r="AY86" i="8" s="1"/>
  <c r="AP165" i="8"/>
  <c r="AP86" i="8" s="1"/>
  <c r="AH165" i="8"/>
  <c r="AH86" i="8" s="1"/>
  <c r="BF165" i="8"/>
  <c r="BF86" i="8" s="1"/>
  <c r="AX165" i="8"/>
  <c r="AX86" i="8" s="1"/>
  <c r="AO165" i="8"/>
  <c r="AO86" i="8" s="1"/>
  <c r="AG165" i="8"/>
  <c r="AG86" i="8" s="1"/>
  <c r="BE165" i="8"/>
  <c r="BE86" i="8" s="1"/>
  <c r="AW165" i="8"/>
  <c r="AW86" i="8" s="1"/>
  <c r="AN165" i="8"/>
  <c r="AN86" i="8" s="1"/>
  <c r="AF165" i="8"/>
  <c r="AF86" i="8" s="1"/>
  <c r="BD165" i="8"/>
  <c r="BD86" i="8" s="1"/>
  <c r="AV165" i="8"/>
  <c r="AV86" i="8" s="1"/>
  <c r="AM165" i="8"/>
  <c r="AM86" i="8" s="1"/>
  <c r="AE165" i="8"/>
  <c r="AE86" i="8" s="1"/>
  <c r="BC165" i="8"/>
  <c r="BC86" i="8" s="1"/>
  <c r="AU165" i="8"/>
  <c r="AU86" i="8" s="1"/>
  <c r="AL165" i="8"/>
  <c r="AL86" i="8" s="1"/>
  <c r="AD165" i="8"/>
  <c r="AD86" i="8" s="1"/>
  <c r="BB165" i="8"/>
  <c r="BB86" i="8" s="1"/>
  <c r="AS165" i="8"/>
  <c r="AS86" i="8" s="1"/>
  <c r="AK165" i="8"/>
  <c r="AK86" i="8" s="1"/>
  <c r="AC165" i="8"/>
  <c r="AC86" i="8" s="1"/>
  <c r="BA165" i="8"/>
  <c r="BA86" i="8" s="1"/>
  <c r="AR165" i="8"/>
  <c r="AR86" i="8" s="1"/>
  <c r="AJ165" i="8"/>
  <c r="AJ86" i="8" s="1"/>
  <c r="AB165" i="8"/>
  <c r="AB86" i="8" s="1"/>
  <c r="E83" i="8" l="1"/>
  <c r="D83" i="8"/>
  <c r="F83" i="8"/>
  <c r="G83" i="8"/>
  <c r="V17" i="9"/>
  <c r="V21" i="9" s="1"/>
  <c r="N14" i="2"/>
  <c r="O14" i="2"/>
  <c r="C30" i="3" s="1"/>
  <c r="K30" i="3" s="1"/>
  <c r="E86" i="8"/>
  <c r="D86" i="8"/>
  <c r="G86" i="8"/>
  <c r="F86" i="8"/>
  <c r="BF80" i="8"/>
  <c r="BD80" i="8"/>
  <c r="BB80" i="8"/>
  <c r="AZ80" i="8"/>
  <c r="AW80" i="8"/>
  <c r="AU80" i="8"/>
  <c r="AQ80" i="8"/>
  <c r="AO80" i="8"/>
  <c r="AM80" i="8"/>
  <c r="AC80" i="8"/>
  <c r="AB80" i="8"/>
  <c r="BF75" i="8"/>
  <c r="BD75" i="8"/>
  <c r="AW75" i="8"/>
  <c r="AQ75" i="8"/>
  <c r="AO75" i="8"/>
  <c r="AB75" i="8"/>
  <c r="V75" i="8"/>
  <c r="T75" i="8"/>
  <c r="M75" i="8"/>
  <c r="N75" i="8"/>
  <c r="O75" i="8"/>
  <c r="P75" i="8"/>
  <c r="Q75" i="8"/>
  <c r="R75" i="8"/>
  <c r="L75" i="8"/>
  <c r="AC127" i="8"/>
  <c r="AC81" i="8" s="1"/>
  <c r="AM127" i="8"/>
  <c r="AM81" i="8" s="1"/>
  <c r="AO127" i="8"/>
  <c r="AO81" i="8" s="1"/>
  <c r="AP127" i="8"/>
  <c r="AP81" i="8" s="1"/>
  <c r="AQ127" i="8"/>
  <c r="AQ81" i="8" s="1"/>
  <c r="AU127" i="8"/>
  <c r="AU81" i="8" s="1"/>
  <c r="AW127" i="8"/>
  <c r="AW81" i="8" s="1"/>
  <c r="AZ127" i="8"/>
  <c r="AZ81" i="8" s="1"/>
  <c r="BB127" i="8"/>
  <c r="BB81" i="8" s="1"/>
  <c r="BD127" i="8"/>
  <c r="BD81" i="8" s="1"/>
  <c r="BF127" i="8"/>
  <c r="BF81" i="8" s="1"/>
  <c r="AB127" i="8"/>
  <c r="AB81" i="8" s="1"/>
  <c r="AB112" i="8"/>
  <c r="AB76" i="8" s="1"/>
  <c r="AO112" i="8"/>
  <c r="AO76" i="8" s="1"/>
  <c r="AQ112" i="8"/>
  <c r="AQ76" i="8" s="1"/>
  <c r="AW112" i="8"/>
  <c r="AW76" i="8" s="1"/>
  <c r="BD112" i="8"/>
  <c r="BD76" i="8" s="1"/>
  <c r="BF112" i="8"/>
  <c r="BF76" i="8" s="1"/>
  <c r="M112" i="8"/>
  <c r="M76" i="8" s="1"/>
  <c r="N112" i="8"/>
  <c r="N76" i="8" s="1"/>
  <c r="O112" i="8"/>
  <c r="O76" i="8" s="1"/>
  <c r="P112" i="8"/>
  <c r="P76" i="8" s="1"/>
  <c r="Q112" i="8"/>
  <c r="Q76" i="8" s="1"/>
  <c r="R112" i="8"/>
  <c r="R76" i="8" s="1"/>
  <c r="S112" i="8"/>
  <c r="S76" i="8" s="1"/>
  <c r="T112" i="8"/>
  <c r="T76" i="8" s="1"/>
  <c r="U112" i="8"/>
  <c r="U76" i="8" s="1"/>
  <c r="V112" i="8"/>
  <c r="V76" i="8" s="1"/>
  <c r="L112" i="8"/>
  <c r="L76" i="8" s="1"/>
  <c r="AC126" i="8"/>
  <c r="AC79" i="8" s="1"/>
  <c r="AM126" i="8"/>
  <c r="AM79" i="8" s="1"/>
  <c r="AO126" i="8"/>
  <c r="AO79" i="8" s="1"/>
  <c r="AP126" i="8"/>
  <c r="AP79" i="8" s="1"/>
  <c r="AQ126" i="8"/>
  <c r="AQ79" i="8" s="1"/>
  <c r="AU126" i="8"/>
  <c r="AU79" i="8" s="1"/>
  <c r="AW126" i="8"/>
  <c r="AW79" i="8" s="1"/>
  <c r="AZ126" i="8"/>
  <c r="AZ79" i="8" s="1"/>
  <c r="BB126" i="8"/>
  <c r="BB79" i="8" s="1"/>
  <c r="BD126" i="8"/>
  <c r="BD79" i="8" s="1"/>
  <c r="BF126" i="8"/>
  <c r="BF79" i="8" s="1"/>
  <c r="AB126" i="8"/>
  <c r="AB79" i="8" s="1"/>
  <c r="AC125" i="8"/>
  <c r="AC78" i="8" s="1"/>
  <c r="AM125" i="8"/>
  <c r="AM78" i="8" s="1"/>
  <c r="AO125" i="8"/>
  <c r="AO78" i="8" s="1"/>
  <c r="AP125" i="8"/>
  <c r="AP78" i="8" s="1"/>
  <c r="AQ125" i="8"/>
  <c r="AQ78" i="8" s="1"/>
  <c r="AU125" i="8"/>
  <c r="AU78" i="8" s="1"/>
  <c r="AW125" i="8"/>
  <c r="AW78" i="8" s="1"/>
  <c r="AZ125" i="8"/>
  <c r="AZ78" i="8" s="1"/>
  <c r="BB125" i="8"/>
  <c r="BB78" i="8" s="1"/>
  <c r="BD125" i="8"/>
  <c r="BD78" i="8" s="1"/>
  <c r="BF125" i="8"/>
  <c r="BF78" i="8" s="1"/>
  <c r="AB125" i="8"/>
  <c r="AB78" i="8" s="1"/>
  <c r="M110" i="8"/>
  <c r="N110" i="8"/>
  <c r="O110" i="8"/>
  <c r="P110" i="8"/>
  <c r="Q110" i="8"/>
  <c r="R110" i="8"/>
  <c r="S110" i="8"/>
  <c r="T110" i="8"/>
  <c r="U110" i="8"/>
  <c r="V110" i="8"/>
  <c r="AB110" i="8"/>
  <c r="AO110" i="8"/>
  <c r="AQ110" i="8"/>
  <c r="AW110" i="8"/>
  <c r="BD110" i="8"/>
  <c r="BF110" i="8"/>
  <c r="L110" i="8"/>
  <c r="M111" i="8" l="1"/>
  <c r="M74" i="8" s="1"/>
  <c r="M73" i="8"/>
  <c r="T111" i="8"/>
  <c r="T74" i="8" s="1"/>
  <c r="T73" i="8"/>
  <c r="S111" i="8"/>
  <c r="S74" i="8" s="1"/>
  <c r="S73" i="8"/>
  <c r="BF111" i="8"/>
  <c r="BF73" i="8"/>
  <c r="U111" i="8"/>
  <c r="U74" i="8" s="1"/>
  <c r="U73" i="8"/>
  <c r="G78" i="8"/>
  <c r="F78" i="8"/>
  <c r="BD111" i="8"/>
  <c r="BD73" i="8"/>
  <c r="Q111" i="8"/>
  <c r="Q74" i="8" s="1"/>
  <c r="Q73" i="8"/>
  <c r="AQ111" i="8"/>
  <c r="AQ73" i="8"/>
  <c r="AO111" i="8"/>
  <c r="AO73" i="8"/>
  <c r="P111" i="8"/>
  <c r="P74" i="8" s="1"/>
  <c r="P73" i="8"/>
  <c r="AW111" i="8"/>
  <c r="AW73" i="8"/>
  <c r="AB111" i="8"/>
  <c r="AB73" i="8"/>
  <c r="O111" i="8"/>
  <c r="O74" i="8" s="1"/>
  <c r="O73" i="8"/>
  <c r="L111" i="8"/>
  <c r="L74" i="8" s="1"/>
  <c r="L73" i="8"/>
  <c r="R111" i="8"/>
  <c r="R74" i="8" s="1"/>
  <c r="R73" i="8"/>
  <c r="V111" i="8"/>
  <c r="V74" i="8" s="1"/>
  <c r="V73" i="8"/>
  <c r="N111" i="8"/>
  <c r="N74" i="8" s="1"/>
  <c r="N73" i="8"/>
  <c r="I30" i="3"/>
  <c r="J30" i="3"/>
  <c r="O30" i="3"/>
  <c r="H30" i="3"/>
  <c r="M30" i="3"/>
  <c r="L30" i="3"/>
  <c r="E30" i="3"/>
  <c r="F30" i="3"/>
  <c r="D30" i="3"/>
  <c r="R30" i="3"/>
  <c r="G30" i="3"/>
  <c r="N30" i="3"/>
  <c r="Q30" i="3"/>
  <c r="P30" i="3"/>
  <c r="G79" i="8"/>
  <c r="F79" i="8"/>
  <c r="E76" i="8"/>
  <c r="G81" i="8"/>
  <c r="E74" i="8"/>
  <c r="D74" i="8"/>
  <c r="D76" i="8"/>
  <c r="F81" i="8"/>
  <c r="D73" i="8" l="1"/>
  <c r="E73" i="8"/>
  <c r="S102" i="8"/>
  <c r="X102" i="8"/>
  <c r="AQ102" i="8"/>
  <c r="AT102" i="8"/>
  <c r="S97" i="8"/>
  <c r="S98" i="8"/>
  <c r="S99" i="8"/>
  <c r="X99" i="8"/>
  <c r="AQ99" i="8"/>
  <c r="AT99" i="8"/>
  <c r="S100" i="8"/>
  <c r="S101" i="8"/>
  <c r="BC68" i="4" l="1"/>
  <c r="BB68" i="4"/>
  <c r="M94" i="8" l="1"/>
  <c r="N94" i="8"/>
  <c r="O94" i="8"/>
  <c r="P94" i="8"/>
  <c r="Q94" i="8"/>
  <c r="R94" i="8"/>
  <c r="T94" i="8"/>
  <c r="U94" i="8"/>
  <c r="V94" i="8"/>
  <c r="W94" i="8"/>
  <c r="Y94" i="8"/>
  <c r="AB94" i="8"/>
  <c r="AC94" i="8"/>
  <c r="AD94" i="8"/>
  <c r="AE94" i="8"/>
  <c r="AF94" i="8"/>
  <c r="AG94" i="8"/>
  <c r="AH94" i="8"/>
  <c r="AI94" i="8"/>
  <c r="AJ94" i="8"/>
  <c r="AK94" i="8"/>
  <c r="AL94" i="8"/>
  <c r="AM94" i="8"/>
  <c r="AN94" i="8"/>
  <c r="AO94" i="8"/>
  <c r="AP94" i="8"/>
  <c r="AR94" i="8"/>
  <c r="AS94" i="8"/>
  <c r="AU94" i="8"/>
  <c r="AV94" i="8"/>
  <c r="AW94" i="8"/>
  <c r="AX94" i="8"/>
  <c r="AY94" i="8"/>
  <c r="AZ94" i="8"/>
  <c r="BA94" i="8"/>
  <c r="BB94" i="8"/>
  <c r="BC94" i="8"/>
  <c r="BD94" i="8"/>
  <c r="BE94" i="8"/>
  <c r="BF94" i="8"/>
  <c r="L94" i="8"/>
  <c r="L99" i="8" s="1"/>
  <c r="BC95" i="8" l="1"/>
  <c r="BC96" i="8" s="1"/>
  <c r="BC102" i="8"/>
  <c r="BC99" i="8"/>
  <c r="AC99" i="8"/>
  <c r="AC102" i="8"/>
  <c r="Q95" i="8"/>
  <c r="Q96" i="8" s="1"/>
  <c r="Q99" i="8"/>
  <c r="Q102" i="8"/>
  <c r="BB99" i="8"/>
  <c r="BB102" i="8"/>
  <c r="AS99" i="8"/>
  <c r="AS102" i="8"/>
  <c r="AJ102" i="8"/>
  <c r="AJ99" i="8"/>
  <c r="AB99" i="8"/>
  <c r="AB102" i="8"/>
  <c r="P95" i="8"/>
  <c r="P96" i="8" s="1"/>
  <c r="P99" i="8"/>
  <c r="P102" i="8"/>
  <c r="BA99" i="8"/>
  <c r="BA102" i="8"/>
  <c r="Y99" i="8"/>
  <c r="Y102" i="8"/>
  <c r="AK99" i="8"/>
  <c r="AK102" i="8"/>
  <c r="AZ99" i="8"/>
  <c r="AZ102" i="8"/>
  <c r="AP95" i="8"/>
  <c r="AP96" i="8" s="1"/>
  <c r="AP99" i="8"/>
  <c r="AP102" i="8"/>
  <c r="AH95" i="8"/>
  <c r="AH96" i="8" s="1"/>
  <c r="AH99" i="8"/>
  <c r="AH102" i="8"/>
  <c r="W95" i="8"/>
  <c r="W96" i="8" s="1"/>
  <c r="W102" i="8"/>
  <c r="W99" i="8"/>
  <c r="N95" i="8"/>
  <c r="N96" i="8" s="1"/>
  <c r="N102" i="8"/>
  <c r="N99" i="8"/>
  <c r="AU95" i="8"/>
  <c r="AU96" i="8" s="1"/>
  <c r="AU102" i="8"/>
  <c r="AU99" i="8"/>
  <c r="AI95" i="8"/>
  <c r="AI96" i="8" s="1"/>
  <c r="AI99" i="8"/>
  <c r="AI102" i="8"/>
  <c r="AY99" i="8"/>
  <c r="AY102" i="8"/>
  <c r="AO95" i="8"/>
  <c r="AO96" i="8" s="1"/>
  <c r="AO102" i="8"/>
  <c r="AO99" i="8"/>
  <c r="AG102" i="8"/>
  <c r="AG99" i="8"/>
  <c r="V95" i="8"/>
  <c r="V96" i="8" s="1"/>
  <c r="V102" i="8"/>
  <c r="V99" i="8"/>
  <c r="M102" i="8"/>
  <c r="M99" i="8"/>
  <c r="L95" i="8"/>
  <c r="L96" i="8" s="1"/>
  <c r="L102" i="8"/>
  <c r="BF99" i="8"/>
  <c r="BF102" i="8"/>
  <c r="AX99" i="8"/>
  <c r="AX102" i="8"/>
  <c r="AN95" i="8"/>
  <c r="AN96" i="8" s="1"/>
  <c r="AN102" i="8"/>
  <c r="AN99" i="8"/>
  <c r="AF102" i="8"/>
  <c r="AF99" i="8"/>
  <c r="U99" i="8"/>
  <c r="U102" i="8"/>
  <c r="BF95" i="8"/>
  <c r="BF96" i="8" s="1"/>
  <c r="AR102" i="8"/>
  <c r="AR99" i="8"/>
  <c r="BE102" i="8"/>
  <c r="BE99" i="8"/>
  <c r="AW102" i="8"/>
  <c r="AW99" i="8"/>
  <c r="AM95" i="8"/>
  <c r="AM96" i="8" s="1"/>
  <c r="AM102" i="8"/>
  <c r="AM99" i="8"/>
  <c r="AE102" i="8"/>
  <c r="AE99" i="8"/>
  <c r="T99" i="8"/>
  <c r="T102" i="8"/>
  <c r="AG95" i="8"/>
  <c r="AG96" i="8" s="1"/>
  <c r="BD102" i="8"/>
  <c r="BD99" i="8"/>
  <c r="AV102" i="8"/>
  <c r="AV99" i="8"/>
  <c r="AL102" i="8"/>
  <c r="AL99" i="8"/>
  <c r="AD99" i="8"/>
  <c r="AD102" i="8"/>
  <c r="R99" i="8"/>
  <c r="R102" i="8"/>
  <c r="M95" i="8"/>
  <c r="M96" i="8" s="1"/>
  <c r="O95" i="8"/>
  <c r="O96" i="8" s="1"/>
  <c r="O102" i="8"/>
  <c r="O99" i="8"/>
  <c r="BE95" i="8"/>
  <c r="BE96" i="8" s="1"/>
  <c r="AF95" i="8"/>
  <c r="AF96" i="8" s="1"/>
  <c r="AY95" i="8"/>
  <c r="AY96" i="8" s="1"/>
  <c r="AE95" i="8"/>
  <c r="AE96" i="8" s="1"/>
  <c r="AX95" i="8"/>
  <c r="AX96" i="8" s="1"/>
  <c r="Y95" i="8"/>
  <c r="Y96" i="8" s="1"/>
  <c r="AW95" i="8"/>
  <c r="AW96" i="8" s="1"/>
  <c r="AV95" i="8"/>
  <c r="AV96" i="8" s="1"/>
  <c r="U95" i="8"/>
  <c r="U96" i="8" s="1"/>
  <c r="AK95" i="8"/>
  <c r="AK96" i="8" s="1"/>
  <c r="BD95" i="8"/>
  <c r="BD96" i="8" s="1"/>
  <c r="AL95" i="8"/>
  <c r="AL96" i="8" s="1"/>
  <c r="AD95" i="8"/>
  <c r="AD96" i="8" s="1"/>
  <c r="AC95" i="8"/>
  <c r="AC96" i="8" s="1"/>
  <c r="T95" i="8"/>
  <c r="T96" i="8" s="1"/>
  <c r="BB95" i="8"/>
  <c r="BB96" i="8" s="1"/>
  <c r="AS95" i="8"/>
  <c r="AS96" i="8" s="1"/>
  <c r="AJ95" i="8"/>
  <c r="AJ96" i="8" s="1"/>
  <c r="AB95" i="8"/>
  <c r="AB96" i="8" s="1"/>
  <c r="R95" i="8"/>
  <c r="R96" i="8" s="1"/>
  <c r="BA95" i="8"/>
  <c r="BA96" i="8" s="1"/>
  <c r="AR95" i="8"/>
  <c r="AR96" i="8" s="1"/>
  <c r="AZ95" i="8"/>
  <c r="AZ96" i="8" s="1"/>
  <c r="C33" i="9"/>
  <c r="BE42" i="4"/>
  <c r="BE52" i="4"/>
  <c r="BE60" i="4"/>
  <c r="N33" i="9" s="1"/>
  <c r="BE61" i="4"/>
  <c r="BC42" i="4"/>
  <c r="BC52" i="4"/>
  <c r="BC60" i="4"/>
  <c r="L33" i="9" s="1"/>
  <c r="BC61" i="4"/>
  <c r="BD42" i="4"/>
  <c r="BD52" i="4"/>
  <c r="BD60" i="4"/>
  <c r="M33" i="9" s="1"/>
  <c r="BD61" i="4"/>
  <c r="J9" i="9"/>
  <c r="J13" i="9"/>
  <c r="J4" i="9"/>
  <c r="BB42" i="4"/>
  <c r="BB52" i="4"/>
  <c r="BB60" i="4"/>
  <c r="O33" i="9" s="1"/>
  <c r="BB61" i="4"/>
  <c r="J33" i="9"/>
  <c r="J32" i="9"/>
  <c r="J31" i="9"/>
  <c r="J30" i="9"/>
  <c r="J29" i="9"/>
  <c r="I33" i="9"/>
  <c r="G33" i="9"/>
  <c r="F33" i="9"/>
  <c r="E33" i="9"/>
  <c r="X33" i="9"/>
  <c r="W33" i="9"/>
  <c r="AZ13" i="3"/>
  <c r="U13" i="3"/>
  <c r="V13" i="3"/>
  <c r="W13" i="3"/>
  <c r="X13" i="3"/>
  <c r="Y13" i="3"/>
  <c r="Z13" i="3"/>
  <c r="AA13" i="3"/>
  <c r="AB13" i="3"/>
  <c r="AC13" i="3"/>
  <c r="AE13" i="3"/>
  <c r="AI13" i="3"/>
  <c r="AJ13" i="3"/>
  <c r="AM13" i="3"/>
  <c r="AO13" i="3"/>
  <c r="AP13" i="3"/>
  <c r="AR13" i="3"/>
  <c r="AT13" i="3"/>
  <c r="AV13" i="3"/>
  <c r="BA13" i="3" l="1"/>
  <c r="P33" i="9"/>
  <c r="Q33" i="9"/>
  <c r="BF90" i="8"/>
  <c r="BE90" i="8"/>
  <c r="BD90" i="8"/>
  <c r="BC90" i="8"/>
  <c r="BB90" i="8"/>
  <c r="BN90" i="8" s="1"/>
  <c r="BA90" i="8"/>
  <c r="AZ90" i="8"/>
  <c r="AY90" i="8"/>
  <c r="AX90" i="8"/>
  <c r="AW90" i="8"/>
  <c r="AV90" i="8"/>
  <c r="AU90" i="8"/>
  <c r="AT90" i="8"/>
  <c r="AS90" i="8"/>
  <c r="AR90" i="8"/>
  <c r="AQ90" i="8"/>
  <c r="AP90" i="8"/>
  <c r="AO90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Y90" i="8"/>
  <c r="X90" i="8"/>
  <c r="W90" i="8"/>
  <c r="V90" i="8"/>
  <c r="U90" i="8"/>
  <c r="T90" i="8"/>
  <c r="R90" i="8"/>
  <c r="Q90" i="8"/>
  <c r="P90" i="8"/>
  <c r="O90" i="8"/>
  <c r="N90" i="8"/>
  <c r="M90" i="8"/>
  <c r="L90" i="8"/>
  <c r="BF89" i="8"/>
  <c r="BE89" i="8"/>
  <c r="BD89" i="8"/>
  <c r="BC89" i="8"/>
  <c r="BB89" i="8"/>
  <c r="BA89" i="8"/>
  <c r="AZ89" i="8"/>
  <c r="AY89" i="8"/>
  <c r="AX89" i="8"/>
  <c r="AW89" i="8"/>
  <c r="AV89" i="8"/>
  <c r="AU89" i="8"/>
  <c r="AT89" i="8"/>
  <c r="AS89" i="8"/>
  <c r="AR89" i="8"/>
  <c r="AQ89" i="8"/>
  <c r="AP89" i="8"/>
  <c r="AO89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Y89" i="8"/>
  <c r="X89" i="8"/>
  <c r="W89" i="8"/>
  <c r="V89" i="8"/>
  <c r="U89" i="8"/>
  <c r="T89" i="8"/>
  <c r="R89" i="8"/>
  <c r="Q89" i="8"/>
  <c r="P89" i="8"/>
  <c r="O89" i="8"/>
  <c r="N89" i="8"/>
  <c r="M89" i="8"/>
  <c r="L89" i="8"/>
  <c r="BF88" i="8"/>
  <c r="BE88" i="8"/>
  <c r="BD88" i="8"/>
  <c r="BC88" i="8"/>
  <c r="BB88" i="8"/>
  <c r="BA88" i="8"/>
  <c r="AZ88" i="8"/>
  <c r="AY88" i="8"/>
  <c r="AX88" i="8"/>
  <c r="AW88" i="8"/>
  <c r="AV88" i="8"/>
  <c r="AU88" i="8"/>
  <c r="AT88" i="8"/>
  <c r="AS88" i="8"/>
  <c r="AR88" i="8"/>
  <c r="AQ88" i="8"/>
  <c r="AP88" i="8"/>
  <c r="AO88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Y88" i="8"/>
  <c r="X88" i="8"/>
  <c r="W88" i="8"/>
  <c r="V88" i="8"/>
  <c r="U88" i="8"/>
  <c r="T88" i="8"/>
  <c r="R88" i="8"/>
  <c r="Q88" i="8"/>
  <c r="P88" i="8"/>
  <c r="O88" i="8"/>
  <c r="N88" i="8"/>
  <c r="M88" i="8"/>
  <c r="L88" i="8"/>
  <c r="BJ64" i="8"/>
  <c r="BI64" i="8"/>
  <c r="Z64" i="8"/>
  <c r="AA64" i="8" s="1"/>
  <c r="BH64" i="8" s="1"/>
  <c r="BJ63" i="8"/>
  <c r="BI63" i="8"/>
  <c r="Z63" i="8"/>
  <c r="AA63" i="8" s="1"/>
  <c r="BH63" i="8" s="1"/>
  <c r="BN62" i="8"/>
  <c r="BJ62" i="8"/>
  <c r="BI62" i="8"/>
  <c r="Z62" i="8"/>
  <c r="AA62" i="8" s="1"/>
  <c r="BH62" i="8" s="1"/>
  <c r="BJ61" i="8"/>
  <c r="BI61" i="8"/>
  <c r="Z61" i="8"/>
  <c r="AA61" i="8" s="1"/>
  <c r="BH61" i="8" s="1"/>
  <c r="BJ60" i="8"/>
  <c r="BI60" i="8"/>
  <c r="Z60" i="8"/>
  <c r="AA60" i="8" s="1"/>
  <c r="BH60" i="8" s="1"/>
  <c r="BJ59" i="8"/>
  <c r="BI59" i="8"/>
  <c r="Z59" i="8"/>
  <c r="AA59" i="8" s="1"/>
  <c r="BH59" i="8" s="1"/>
  <c r="BJ58" i="8"/>
  <c r="BI58" i="8"/>
  <c r="Z58" i="8"/>
  <c r="AA58" i="8" s="1"/>
  <c r="BH58" i="8" s="1"/>
  <c r="BN57" i="8"/>
  <c r="BJ57" i="8"/>
  <c r="BI57" i="8"/>
  <c r="Z57" i="8"/>
  <c r="AA57" i="8" s="1"/>
  <c r="BH57" i="8" s="1"/>
  <c r="BJ56" i="8"/>
  <c r="BI56" i="8"/>
  <c r="Z56" i="8"/>
  <c r="AA56" i="8" s="1"/>
  <c r="BN55" i="8"/>
  <c r="BO55" i="8" s="1"/>
  <c r="BL55" i="8"/>
  <c r="BM55" i="8" s="1"/>
  <c r="BK55" i="8"/>
  <c r="BJ55" i="8"/>
  <c r="BI55" i="8"/>
  <c r="Z55" i="8"/>
  <c r="AA55" i="8" s="1"/>
  <c r="BH55" i="8" s="1"/>
  <c r="BN54" i="8"/>
  <c r="BO54" i="8" s="1"/>
  <c r="BL54" i="8"/>
  <c r="BM54" i="8" s="1"/>
  <c r="BK54" i="8"/>
  <c r="BJ54" i="8"/>
  <c r="BI54" i="8"/>
  <c r="BH54" i="8"/>
  <c r="Z54" i="8"/>
  <c r="BN53" i="8"/>
  <c r="BO53" i="8" s="1"/>
  <c r="BL53" i="8"/>
  <c r="BM53" i="8" s="1"/>
  <c r="BK53" i="8"/>
  <c r="BJ53" i="8"/>
  <c r="BI53" i="8"/>
  <c r="BH53" i="8"/>
  <c r="Z53" i="8"/>
  <c r="BN52" i="8"/>
  <c r="BO52" i="8" s="1"/>
  <c r="BL52" i="8"/>
  <c r="BM52" i="8" s="1"/>
  <c r="BK52" i="8"/>
  <c r="BJ52" i="8"/>
  <c r="BI52" i="8"/>
  <c r="BH52" i="8"/>
  <c r="Z52" i="8"/>
  <c r="BN51" i="8"/>
  <c r="BO51" i="8" s="1"/>
  <c r="BL51" i="8"/>
  <c r="BM51" i="8" s="1"/>
  <c r="BK51" i="8"/>
  <c r="BJ51" i="8"/>
  <c r="BI51" i="8"/>
  <c r="Z51" i="8"/>
  <c r="AA51" i="8" s="1"/>
  <c r="BH51" i="8" s="1"/>
  <c r="BN50" i="8"/>
  <c r="BO50" i="8" s="1"/>
  <c r="BL50" i="8"/>
  <c r="BM50" i="8" s="1"/>
  <c r="BK50" i="8"/>
  <c r="BJ50" i="8"/>
  <c r="BI50" i="8"/>
  <c r="BH50" i="8"/>
  <c r="Z50" i="8"/>
  <c r="BN49" i="8"/>
  <c r="BO49" i="8" s="1"/>
  <c r="BL49" i="8"/>
  <c r="BM49" i="8" s="1"/>
  <c r="BK49" i="8"/>
  <c r="BJ49" i="8"/>
  <c r="BI49" i="8"/>
  <c r="Z49" i="8"/>
  <c r="AA49" i="8" s="1"/>
  <c r="BH49" i="8" s="1"/>
  <c r="BN48" i="8"/>
  <c r="BO48" i="8" s="1"/>
  <c r="BL48" i="8"/>
  <c r="BM48" i="8" s="1"/>
  <c r="BK48" i="8"/>
  <c r="BJ48" i="8"/>
  <c r="BI48" i="8"/>
  <c r="Z48" i="8"/>
  <c r="AA48" i="8" s="1"/>
  <c r="BN47" i="8"/>
  <c r="BO47" i="8" s="1"/>
  <c r="BL47" i="8"/>
  <c r="BM47" i="8" s="1"/>
  <c r="BK47" i="8"/>
  <c r="BJ47" i="8"/>
  <c r="BI47" i="8"/>
  <c r="BH47" i="8"/>
  <c r="Z47" i="8"/>
  <c r="BN46" i="8"/>
  <c r="BO46" i="8" s="1"/>
  <c r="BL46" i="8"/>
  <c r="BM46" i="8" s="1"/>
  <c r="BK46" i="8"/>
  <c r="BJ46" i="8"/>
  <c r="BI46" i="8"/>
  <c r="BH46" i="8"/>
  <c r="Z46" i="8"/>
  <c r="BN45" i="8"/>
  <c r="BO45" i="8" s="1"/>
  <c r="BL45" i="8"/>
  <c r="BM45" i="8" s="1"/>
  <c r="BK45" i="8"/>
  <c r="BJ45" i="8"/>
  <c r="BI45" i="8"/>
  <c r="BH45" i="8"/>
  <c r="Z45" i="8"/>
  <c r="BN44" i="8"/>
  <c r="BO44" i="8" s="1"/>
  <c r="BL44" i="8"/>
  <c r="BM44" i="8" s="1"/>
  <c r="BK44" i="8"/>
  <c r="BJ44" i="8"/>
  <c r="BI44" i="8"/>
  <c r="BH44" i="8"/>
  <c r="Z44" i="8"/>
  <c r="BN43" i="8"/>
  <c r="BO43" i="8" s="1"/>
  <c r="BL43" i="8"/>
  <c r="BM43" i="8" s="1"/>
  <c r="BK43" i="8"/>
  <c r="BJ43" i="8"/>
  <c r="BI43" i="8"/>
  <c r="BH43" i="8"/>
  <c r="Z43" i="8"/>
  <c r="BN42" i="8"/>
  <c r="BO42" i="8" s="1"/>
  <c r="BL42" i="8"/>
  <c r="BM42" i="8" s="1"/>
  <c r="BK42" i="8"/>
  <c r="BJ42" i="8"/>
  <c r="BI42" i="8"/>
  <c r="BH42" i="8"/>
  <c r="Z42" i="8"/>
  <c r="BN41" i="8"/>
  <c r="BO41" i="8" s="1"/>
  <c r="BL41" i="8"/>
  <c r="BK41" i="8"/>
  <c r="BJ41" i="8"/>
  <c r="BI41" i="8"/>
  <c r="BH41" i="8"/>
  <c r="Z41" i="8"/>
  <c r="BN40" i="8"/>
  <c r="BO40" i="8" s="1"/>
  <c r="BL40" i="8"/>
  <c r="BM40" i="8" s="1"/>
  <c r="BK40" i="8"/>
  <c r="BJ40" i="8"/>
  <c r="BI40" i="8"/>
  <c r="Z40" i="8"/>
  <c r="AA40" i="8" s="1"/>
  <c r="BH40" i="8" s="1"/>
  <c r="BN39" i="8"/>
  <c r="BO39" i="8" s="1"/>
  <c r="BL39" i="8"/>
  <c r="BM39" i="8" s="1"/>
  <c r="BK39" i="8"/>
  <c r="BJ39" i="8"/>
  <c r="BI39" i="8"/>
  <c r="Z39" i="8"/>
  <c r="AA39" i="8" s="1"/>
  <c r="BH39" i="8" s="1"/>
  <c r="BN38" i="8"/>
  <c r="BO38" i="8" s="1"/>
  <c r="BL38" i="8"/>
  <c r="BM38" i="8" s="1"/>
  <c r="BK38" i="8"/>
  <c r="BJ38" i="8"/>
  <c r="BI38" i="8"/>
  <c r="BH38" i="8"/>
  <c r="Z38" i="8"/>
  <c r="BN37" i="8"/>
  <c r="BO37" i="8" s="1"/>
  <c r="BL37" i="8"/>
  <c r="BM37" i="8" s="1"/>
  <c r="BK37" i="8"/>
  <c r="BJ37" i="8"/>
  <c r="BI37" i="8"/>
  <c r="BH37" i="8"/>
  <c r="Z37" i="8"/>
  <c r="BN36" i="8"/>
  <c r="BO36" i="8" s="1"/>
  <c r="BL36" i="8"/>
  <c r="BM36" i="8" s="1"/>
  <c r="BK36" i="8"/>
  <c r="BJ36" i="8"/>
  <c r="BI36" i="8"/>
  <c r="Z36" i="8"/>
  <c r="AA36" i="8" s="1"/>
  <c r="BH36" i="8" s="1"/>
  <c r="BN35" i="8"/>
  <c r="BO35" i="8" s="1"/>
  <c r="BL35" i="8"/>
  <c r="BM35" i="8" s="1"/>
  <c r="BK35" i="8"/>
  <c r="BJ35" i="8"/>
  <c r="BI35" i="8"/>
  <c r="Z35" i="8"/>
  <c r="AA35" i="8" s="1"/>
  <c r="BH35" i="8" s="1"/>
  <c r="BJ34" i="8"/>
  <c r="BI34" i="8"/>
  <c r="Z34" i="8"/>
  <c r="AA34" i="8" s="1"/>
  <c r="BH34" i="8" s="1"/>
  <c r="BN33" i="8"/>
  <c r="BO33" i="8" s="1"/>
  <c r="BL33" i="8"/>
  <c r="BM33" i="8" s="1"/>
  <c r="BK33" i="8"/>
  <c r="BJ33" i="8"/>
  <c r="BI33" i="8"/>
  <c r="Z33" i="8"/>
  <c r="AA33" i="8" s="1"/>
  <c r="BH33" i="8" s="1"/>
  <c r="BN32" i="8"/>
  <c r="BO32" i="8" s="1"/>
  <c r="BL32" i="8"/>
  <c r="BM32" i="8" s="1"/>
  <c r="BK32" i="8"/>
  <c r="BJ32" i="8"/>
  <c r="BI32" i="8"/>
  <c r="Z32" i="8"/>
  <c r="AA32" i="8" s="1"/>
  <c r="BH32" i="8" s="1"/>
  <c r="BN31" i="8"/>
  <c r="BO31" i="8" s="1"/>
  <c r="BL31" i="8"/>
  <c r="BM31" i="8" s="1"/>
  <c r="BK31" i="8"/>
  <c r="BJ31" i="8"/>
  <c r="BI31" i="8"/>
  <c r="Z31" i="8"/>
  <c r="AA31" i="8" s="1"/>
  <c r="BH31" i="8" s="1"/>
  <c r="BN30" i="8"/>
  <c r="BO30" i="8" s="1"/>
  <c r="BL30" i="8"/>
  <c r="BM30" i="8" s="1"/>
  <c r="BK30" i="8"/>
  <c r="BJ30" i="8"/>
  <c r="BI30" i="8"/>
  <c r="Z30" i="8"/>
  <c r="AA30" i="8" s="1"/>
  <c r="BH30" i="8" s="1"/>
  <c r="BN29" i="8"/>
  <c r="BO29" i="8" s="1"/>
  <c r="BL29" i="8"/>
  <c r="BK29" i="8"/>
  <c r="BJ29" i="8"/>
  <c r="BI29" i="8"/>
  <c r="Z29" i="8"/>
  <c r="AA29" i="8" s="1"/>
  <c r="BN28" i="8"/>
  <c r="BO28" i="8" s="1"/>
  <c r="BL28" i="8"/>
  <c r="BM28" i="8" s="1"/>
  <c r="BK28" i="8"/>
  <c r="BJ28" i="8"/>
  <c r="BI28" i="8"/>
  <c r="BH28" i="8"/>
  <c r="Z28" i="8"/>
  <c r="BN27" i="8"/>
  <c r="BO27" i="8" s="1"/>
  <c r="BL27" i="8"/>
  <c r="BM27" i="8" s="1"/>
  <c r="BK27" i="8"/>
  <c r="BJ27" i="8"/>
  <c r="BI27" i="8"/>
  <c r="BH27" i="8"/>
  <c r="Z27" i="8"/>
  <c r="BN26" i="8"/>
  <c r="BO26" i="8" s="1"/>
  <c r="BL26" i="8"/>
  <c r="BK26" i="8"/>
  <c r="BJ26" i="8"/>
  <c r="BI26" i="8"/>
  <c r="BH26" i="8"/>
  <c r="Z26" i="8"/>
  <c r="BN25" i="8"/>
  <c r="BO25" i="8" s="1"/>
  <c r="BL25" i="8"/>
  <c r="BM25" i="8" s="1"/>
  <c r="BK25" i="8"/>
  <c r="BJ25" i="8"/>
  <c r="BI25" i="8"/>
  <c r="BH25" i="8"/>
  <c r="Z25" i="8"/>
  <c r="BN24" i="8"/>
  <c r="BO24" i="8" s="1"/>
  <c r="BL24" i="8"/>
  <c r="BM24" i="8" s="1"/>
  <c r="BK24" i="8"/>
  <c r="BJ24" i="8"/>
  <c r="BI24" i="8"/>
  <c r="BH24" i="8"/>
  <c r="Z24" i="8"/>
  <c r="BN23" i="8"/>
  <c r="BO23" i="8" s="1"/>
  <c r="BL23" i="8"/>
  <c r="BM23" i="8" s="1"/>
  <c r="BK23" i="8"/>
  <c r="BJ23" i="8"/>
  <c r="BI23" i="8"/>
  <c r="BH23" i="8"/>
  <c r="Z23" i="8"/>
  <c r="BN22" i="8"/>
  <c r="BO22" i="8" s="1"/>
  <c r="BL22" i="8"/>
  <c r="BM22" i="8" s="1"/>
  <c r="BK22" i="8"/>
  <c r="BJ22" i="8"/>
  <c r="BI22" i="8"/>
  <c r="BH22" i="8"/>
  <c r="Z22" i="8"/>
  <c r="BN21" i="8"/>
  <c r="BO21" i="8" s="1"/>
  <c r="BL21" i="8"/>
  <c r="BM21" i="8" s="1"/>
  <c r="BK21" i="8"/>
  <c r="BJ21" i="8"/>
  <c r="BI21" i="8"/>
  <c r="BH21" i="8"/>
  <c r="Z21" i="8"/>
  <c r="BN20" i="8"/>
  <c r="BO20" i="8" s="1"/>
  <c r="BL20" i="8"/>
  <c r="BM20" i="8" s="1"/>
  <c r="BK20" i="8"/>
  <c r="BJ20" i="8"/>
  <c r="BI20" i="8"/>
  <c r="BH20" i="8"/>
  <c r="Z20" i="8"/>
  <c r="BN19" i="8"/>
  <c r="BO19" i="8" s="1"/>
  <c r="BL19" i="8"/>
  <c r="BM19" i="8" s="1"/>
  <c r="BK19" i="8"/>
  <c r="BJ19" i="8"/>
  <c r="BI19" i="8"/>
  <c r="BH19" i="8"/>
  <c r="Z19" i="8"/>
  <c r="BN18" i="8"/>
  <c r="BO18" i="8" s="1"/>
  <c r="BL18" i="8"/>
  <c r="BM18" i="8" s="1"/>
  <c r="BK18" i="8"/>
  <c r="BJ18" i="8"/>
  <c r="BI18" i="8"/>
  <c r="BH18" i="8"/>
  <c r="Z18" i="8"/>
  <c r="BN17" i="8"/>
  <c r="BO17" i="8" s="1"/>
  <c r="BL17" i="8"/>
  <c r="BM17" i="8" s="1"/>
  <c r="BK17" i="8"/>
  <c r="BJ17" i="8"/>
  <c r="BI17" i="8"/>
  <c r="BH17" i="8"/>
  <c r="Z17" i="8"/>
  <c r="BN16" i="8"/>
  <c r="BO16" i="8" s="1"/>
  <c r="BL16" i="8"/>
  <c r="BM16" i="8" s="1"/>
  <c r="BK16" i="8"/>
  <c r="BJ16" i="8"/>
  <c r="BI16" i="8"/>
  <c r="BH16" i="8"/>
  <c r="Z16" i="8"/>
  <c r="BN15" i="8"/>
  <c r="BO15" i="8" s="1"/>
  <c r="BL15" i="8"/>
  <c r="BM15" i="8" s="1"/>
  <c r="BK15" i="8"/>
  <c r="BJ15" i="8"/>
  <c r="BI15" i="8"/>
  <c r="BH15" i="8"/>
  <c r="Z15" i="8"/>
  <c r="BN14" i="8"/>
  <c r="BO14" i="8" s="1"/>
  <c r="BL14" i="8"/>
  <c r="BM14" i="8" s="1"/>
  <c r="BK14" i="8"/>
  <c r="BJ14" i="8"/>
  <c r="BI14" i="8"/>
  <c r="BH14" i="8"/>
  <c r="Z14" i="8"/>
  <c r="BN13" i="8"/>
  <c r="BO13" i="8" s="1"/>
  <c r="BL13" i="8"/>
  <c r="BM13" i="8" s="1"/>
  <c r="BK13" i="8"/>
  <c r="BJ13" i="8"/>
  <c r="BI13" i="8"/>
  <c r="BH13" i="8"/>
  <c r="Z13" i="8"/>
  <c r="BN12" i="8"/>
  <c r="BO12" i="8" s="1"/>
  <c r="BL12" i="8"/>
  <c r="BM12" i="8" s="1"/>
  <c r="BK12" i="8"/>
  <c r="BJ12" i="8"/>
  <c r="BI12" i="8"/>
  <c r="BH12" i="8"/>
  <c r="Z12" i="8"/>
  <c r="BN11" i="8"/>
  <c r="BO11" i="8" s="1"/>
  <c r="BL11" i="8"/>
  <c r="BM11" i="8" s="1"/>
  <c r="BK11" i="8"/>
  <c r="BJ11" i="8"/>
  <c r="BI11" i="8"/>
  <c r="Z11" i="8"/>
  <c r="AA11" i="8" s="1"/>
  <c r="BH11" i="8" s="1"/>
  <c r="BN10" i="8"/>
  <c r="BO10" i="8" s="1"/>
  <c r="BL10" i="8"/>
  <c r="BM10" i="8" s="1"/>
  <c r="BK10" i="8"/>
  <c r="BJ10" i="8"/>
  <c r="BI10" i="8"/>
  <c r="BH10" i="8"/>
  <c r="Z10" i="8"/>
  <c r="BN9" i="8"/>
  <c r="BO9" i="8" s="1"/>
  <c r="BL9" i="8"/>
  <c r="BM9" i="8" s="1"/>
  <c r="BK9" i="8"/>
  <c r="BJ9" i="8"/>
  <c r="BI9" i="8"/>
  <c r="BH9" i="8"/>
  <c r="Z9" i="8"/>
  <c r="BN8" i="8"/>
  <c r="BO8" i="8" s="1"/>
  <c r="BL8" i="8"/>
  <c r="BM8" i="8" s="1"/>
  <c r="BK8" i="8"/>
  <c r="BJ8" i="8"/>
  <c r="BI8" i="8"/>
  <c r="BH8" i="8"/>
  <c r="Z8" i="8"/>
  <c r="BN7" i="8"/>
  <c r="BO7" i="8" s="1"/>
  <c r="BL7" i="8"/>
  <c r="BM7" i="8" s="1"/>
  <c r="BK7" i="8"/>
  <c r="BJ7" i="8"/>
  <c r="BI7" i="8"/>
  <c r="BH7" i="8"/>
  <c r="Z7" i="8"/>
  <c r="BN6" i="8"/>
  <c r="BO6" i="8" s="1"/>
  <c r="BL6" i="8"/>
  <c r="BM6" i="8" s="1"/>
  <c r="BK6" i="8"/>
  <c r="BJ6" i="8"/>
  <c r="BI6" i="8"/>
  <c r="BH6" i="8"/>
  <c r="Z6" i="8"/>
  <c r="BN5" i="8"/>
  <c r="BO5" i="8" s="1"/>
  <c r="BL5" i="8"/>
  <c r="BM5" i="8" s="1"/>
  <c r="BK5" i="8"/>
  <c r="BJ5" i="8"/>
  <c r="BI5" i="8"/>
  <c r="Z5" i="8"/>
  <c r="AA5" i="8" s="1"/>
  <c r="BH5" i="8" s="1"/>
  <c r="BN4" i="8"/>
  <c r="BO4" i="8" s="1"/>
  <c r="BL4" i="8"/>
  <c r="BM4" i="8" s="1"/>
  <c r="BK4" i="8"/>
  <c r="BJ4" i="8"/>
  <c r="BI4" i="8"/>
  <c r="BH4" i="8"/>
  <c r="Z4" i="8"/>
  <c r="BN3" i="8"/>
  <c r="BO3" i="8" s="1"/>
  <c r="BL3" i="8"/>
  <c r="BM3" i="8" s="1"/>
  <c r="BK3" i="8"/>
  <c r="BJ3" i="8"/>
  <c r="BI3" i="8"/>
  <c r="BH3" i="8"/>
  <c r="Z3" i="8"/>
  <c r="BN2" i="8"/>
  <c r="BO2" i="8" s="1"/>
  <c r="BL2" i="8"/>
  <c r="BM2" i="8" s="1"/>
  <c r="BK2" i="8"/>
  <c r="BJ2" i="8"/>
  <c r="BI2" i="8"/>
  <c r="BH2" i="8"/>
  <c r="Z2" i="8"/>
  <c r="K72" i="6"/>
  <c r="K71" i="6"/>
  <c r="K69" i="6"/>
  <c r="K68" i="6"/>
  <c r="K67" i="6"/>
  <c r="K66" i="6"/>
  <c r="K65" i="6"/>
  <c r="K64" i="6"/>
  <c r="K63" i="6"/>
  <c r="K62" i="6"/>
  <c r="Y60" i="6"/>
  <c r="X60" i="6"/>
  <c r="W61" i="6"/>
  <c r="V61" i="6"/>
  <c r="U61" i="6"/>
  <c r="T61" i="6"/>
  <c r="S61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D61" i="6"/>
  <c r="C61" i="6"/>
  <c r="A104" i="4"/>
  <c r="A103" i="4"/>
  <c r="A102" i="4"/>
  <c r="A101" i="4"/>
  <c r="A100" i="4"/>
  <c r="A99" i="4"/>
  <c r="A97" i="4"/>
  <c r="A95" i="4"/>
  <c r="A93" i="4"/>
  <c r="A92" i="4"/>
  <c r="A91" i="4"/>
  <c r="A90" i="4"/>
  <c r="A89" i="4"/>
  <c r="BI88" i="4"/>
  <c r="BH88" i="4"/>
  <c r="BG88" i="4"/>
  <c r="BF88" i="4"/>
  <c r="BE88" i="4"/>
  <c r="BD88" i="4"/>
  <c r="BC88" i="4"/>
  <c r="BB88" i="4"/>
  <c r="AK88" i="4"/>
  <c r="Y88" i="4"/>
  <c r="U88" i="4"/>
  <c r="A88" i="4"/>
  <c r="AF68" i="4"/>
  <c r="AB68" i="4"/>
  <c r="C68" i="4"/>
  <c r="C93" i="4" s="1"/>
  <c r="BA63" i="4"/>
  <c r="BA88" i="4" s="1"/>
  <c r="AZ63" i="4"/>
  <c r="AZ88" i="4" s="1"/>
  <c r="AY63" i="4"/>
  <c r="AY88" i="4" s="1"/>
  <c r="AX63" i="4"/>
  <c r="AX88" i="4" s="1"/>
  <c r="AW63" i="4"/>
  <c r="AW88" i="4" s="1"/>
  <c r="AV63" i="4"/>
  <c r="AV88" i="4" s="1"/>
  <c r="AU63" i="4"/>
  <c r="AU88" i="4" s="1"/>
  <c r="AT63" i="4"/>
  <c r="AT88" i="4" s="1"/>
  <c r="AS63" i="4"/>
  <c r="AS88" i="4" s="1"/>
  <c r="AR63" i="4"/>
  <c r="AR88" i="4" s="1"/>
  <c r="AQ63" i="4"/>
  <c r="AQ88" i="4" s="1"/>
  <c r="AP63" i="4"/>
  <c r="AP88" i="4" s="1"/>
  <c r="AO63" i="4"/>
  <c r="AO88" i="4" s="1"/>
  <c r="AN63" i="4"/>
  <c r="AN88" i="4" s="1"/>
  <c r="AM63" i="4"/>
  <c r="AM88" i="4" s="1"/>
  <c r="AL63" i="4"/>
  <c r="AL88" i="4" s="1"/>
  <c r="AK63" i="4"/>
  <c r="AJ63" i="4"/>
  <c r="AJ88" i="4" s="1"/>
  <c r="AI63" i="4"/>
  <c r="AI88" i="4" s="1"/>
  <c r="AH63" i="4"/>
  <c r="AH88" i="4" s="1"/>
  <c r="AG63" i="4"/>
  <c r="AG88" i="4" s="1"/>
  <c r="AF63" i="4"/>
  <c r="AF88" i="4" s="1"/>
  <c r="AE63" i="4"/>
  <c r="AE88" i="4" s="1"/>
  <c r="AD63" i="4"/>
  <c r="AD88" i="4" s="1"/>
  <c r="AC63" i="4"/>
  <c r="AC88" i="4" s="1"/>
  <c r="AB63" i="4"/>
  <c r="AB88" i="4" s="1"/>
  <c r="AA63" i="4"/>
  <c r="AA88" i="4" s="1"/>
  <c r="Z63" i="4"/>
  <c r="Z88" i="4" s="1"/>
  <c r="Y63" i="4"/>
  <c r="X63" i="4"/>
  <c r="X88" i="4" s="1"/>
  <c r="W63" i="4"/>
  <c r="W88" i="4" s="1"/>
  <c r="V63" i="4"/>
  <c r="V88" i="4" s="1"/>
  <c r="U63" i="4"/>
  <c r="T63" i="4"/>
  <c r="T88" i="4" s="1"/>
  <c r="S63" i="4"/>
  <c r="S88" i="4" s="1"/>
  <c r="R63" i="4"/>
  <c r="R88" i="4" s="1"/>
  <c r="Q63" i="4"/>
  <c r="Q88" i="4" s="1"/>
  <c r="P63" i="4"/>
  <c r="P88" i="4" s="1"/>
  <c r="O63" i="4"/>
  <c r="O88" i="4" s="1"/>
  <c r="N63" i="4"/>
  <c r="N88" i="4" s="1"/>
  <c r="M63" i="4"/>
  <c r="M88" i="4" s="1"/>
  <c r="L63" i="4"/>
  <c r="L88" i="4" s="1"/>
  <c r="K63" i="4"/>
  <c r="K88" i="4" s="1"/>
  <c r="J63" i="4"/>
  <c r="J88" i="4" s="1"/>
  <c r="I63" i="4"/>
  <c r="I88" i="4" s="1"/>
  <c r="H63" i="4"/>
  <c r="H88" i="4" s="1"/>
  <c r="G63" i="4"/>
  <c r="G88" i="4" s="1"/>
  <c r="F63" i="4"/>
  <c r="F88" i="4" s="1"/>
  <c r="E63" i="4"/>
  <c r="E88" i="4" s="1"/>
  <c r="D63" i="4"/>
  <c r="D88" i="4" s="1"/>
  <c r="C63" i="4"/>
  <c r="C88" i="4" s="1"/>
  <c r="BA61" i="4"/>
  <c r="AZ61" i="4"/>
  <c r="AY61" i="4"/>
  <c r="AX61" i="4"/>
  <c r="AW61" i="4"/>
  <c r="AV61" i="4"/>
  <c r="AU61" i="4"/>
  <c r="AT61" i="4"/>
  <c r="AS61" i="4"/>
  <c r="AR61" i="4"/>
  <c r="AQ61" i="4"/>
  <c r="AP61" i="4"/>
  <c r="AO61" i="4"/>
  <c r="AN61" i="4"/>
  <c r="AM61" i="4"/>
  <c r="AL61" i="4"/>
  <c r="AK61" i="4"/>
  <c r="AJ61" i="4"/>
  <c r="AI61" i="4"/>
  <c r="AH61" i="4"/>
  <c r="AG61" i="4"/>
  <c r="AF61" i="4"/>
  <c r="AE61" i="4"/>
  <c r="AD61" i="4"/>
  <c r="AC61" i="4"/>
  <c r="AB61" i="4"/>
  <c r="AA61" i="4"/>
  <c r="Z61" i="4"/>
  <c r="Y61" i="4"/>
  <c r="X61" i="4"/>
  <c r="W61" i="4"/>
  <c r="V60" i="4"/>
  <c r="U60" i="4"/>
  <c r="U68" i="4" s="1"/>
  <c r="T60" i="4"/>
  <c r="S60" i="4"/>
  <c r="S93" i="4" s="1"/>
  <c r="R60" i="4"/>
  <c r="Q60" i="4"/>
  <c r="Q93" i="4" s="1"/>
  <c r="P60" i="4"/>
  <c r="O60" i="4"/>
  <c r="N60" i="4"/>
  <c r="M60" i="4"/>
  <c r="L60" i="4"/>
  <c r="K60" i="4"/>
  <c r="K93" i="4" s="1"/>
  <c r="J60" i="4"/>
  <c r="J93" i="4" s="1"/>
  <c r="I60" i="4"/>
  <c r="I68" i="4" s="1"/>
  <c r="H60" i="4"/>
  <c r="G60" i="4"/>
  <c r="F60" i="4"/>
  <c r="E60" i="4"/>
  <c r="D60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BB56" i="4" s="1"/>
  <c r="W56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BA52" i="4"/>
  <c r="AZ52" i="4"/>
  <c r="AY52" i="4"/>
  <c r="AX52" i="4"/>
  <c r="AW52" i="4"/>
  <c r="AV52" i="4"/>
  <c r="AU52" i="4"/>
  <c r="AT52" i="4"/>
  <c r="AS52" i="4"/>
  <c r="AR52" i="4"/>
  <c r="AQ52" i="4"/>
  <c r="AP52" i="4"/>
  <c r="AO52" i="4"/>
  <c r="AN52" i="4"/>
  <c r="AM52" i="4"/>
  <c r="AL52" i="4"/>
  <c r="AK52" i="4"/>
  <c r="AJ52" i="4"/>
  <c r="AI52" i="4"/>
  <c r="AH52" i="4"/>
  <c r="AG52" i="4"/>
  <c r="AF52" i="4"/>
  <c r="AE52" i="4"/>
  <c r="AD52" i="4"/>
  <c r="AC52" i="4"/>
  <c r="AB52" i="4"/>
  <c r="AA52" i="4"/>
  <c r="Z52" i="4"/>
  <c r="Y52" i="4"/>
  <c r="X52" i="4"/>
  <c r="W52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Y49" i="4"/>
  <c r="X49" i="4"/>
  <c r="W49" i="4"/>
  <c r="BA48" i="4"/>
  <c r="AZ48" i="4"/>
  <c r="BE48" i="4" s="1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BC46" i="4" s="1"/>
  <c r="AG46" i="4"/>
  <c r="AF46" i="4"/>
  <c r="AE46" i="4"/>
  <c r="AD46" i="4"/>
  <c r="AC46" i="4"/>
  <c r="AB46" i="4"/>
  <c r="AA46" i="4"/>
  <c r="Z46" i="4"/>
  <c r="Y46" i="4"/>
  <c r="X46" i="4"/>
  <c r="W46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BC45" i="4" s="1"/>
  <c r="AG45" i="4"/>
  <c r="AF45" i="4"/>
  <c r="AE45" i="4"/>
  <c r="AD45" i="4"/>
  <c r="AC45" i="4"/>
  <c r="AB45" i="4"/>
  <c r="AA45" i="4"/>
  <c r="Z45" i="4"/>
  <c r="Y45" i="4"/>
  <c r="X45" i="4"/>
  <c r="W45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Z43" i="4" s="1"/>
  <c r="Y41" i="4"/>
  <c r="X41" i="4"/>
  <c r="W41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BC40" i="4" s="1"/>
  <c r="AG40" i="4"/>
  <c r="AF40" i="4"/>
  <c r="AE40" i="4"/>
  <c r="AD40" i="4"/>
  <c r="AC40" i="4"/>
  <c r="AB40" i="4"/>
  <c r="AA40" i="4"/>
  <c r="Z40" i="4"/>
  <c r="Y40" i="4"/>
  <c r="X40" i="4"/>
  <c r="W40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BA38" i="4"/>
  <c r="I29" i="9" s="1"/>
  <c r="AZ38" i="4"/>
  <c r="AY38" i="4"/>
  <c r="AX38" i="4"/>
  <c r="AW38" i="4"/>
  <c r="F29" i="9" s="1"/>
  <c r="AV38" i="4"/>
  <c r="AU38" i="4"/>
  <c r="E29" i="9" s="1"/>
  <c r="AT38" i="4"/>
  <c r="AS38" i="4"/>
  <c r="AR38" i="4"/>
  <c r="AQ38" i="4"/>
  <c r="AP38" i="4"/>
  <c r="AO38" i="4"/>
  <c r="AN38" i="4"/>
  <c r="AM38" i="4"/>
  <c r="AL38" i="4"/>
  <c r="AK38" i="4"/>
  <c r="AJ38" i="4"/>
  <c r="G29" i="9" s="1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BA32" i="4"/>
  <c r="AZ32" i="4"/>
  <c r="AY32" i="4"/>
  <c r="AX32" i="4"/>
  <c r="AW32" i="4"/>
  <c r="AV32" i="4"/>
  <c r="AU32" i="4"/>
  <c r="AS32" i="4"/>
  <c r="AR32" i="4"/>
  <c r="AQ32" i="4"/>
  <c r="AP32" i="4"/>
  <c r="AO32" i="4"/>
  <c r="AN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AX31" i="4"/>
  <c r="T31" i="4"/>
  <c r="R31" i="4"/>
  <c r="L31" i="4"/>
  <c r="AT30" i="4"/>
  <c r="C66" i="4"/>
  <c r="C65" i="4"/>
  <c r="C33" i="6" s="1"/>
  <c r="D33" i="6" s="1"/>
  <c r="AY27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BA23" i="4"/>
  <c r="BA60" i="4" s="1"/>
  <c r="AZ23" i="4"/>
  <c r="AZ60" i="4" s="1"/>
  <c r="AY23" i="4"/>
  <c r="AY60" i="4" s="1"/>
  <c r="AX23" i="4"/>
  <c r="AX60" i="4" s="1"/>
  <c r="AW23" i="4"/>
  <c r="AW60" i="4" s="1"/>
  <c r="AV23" i="4"/>
  <c r="AV60" i="4" s="1"/>
  <c r="AV93" i="4" s="1"/>
  <c r="AU23" i="4"/>
  <c r="AU60" i="4" s="1"/>
  <c r="AT23" i="4"/>
  <c r="AT60" i="4" s="1"/>
  <c r="AT93" i="4" s="1"/>
  <c r="AS23" i="4"/>
  <c r="AS60" i="4" s="1"/>
  <c r="AR23" i="4"/>
  <c r="AR60" i="4" s="1"/>
  <c r="AQ23" i="4"/>
  <c r="AQ60" i="4" s="1"/>
  <c r="AP23" i="4"/>
  <c r="AP60" i="4" s="1"/>
  <c r="AP68" i="4" s="1"/>
  <c r="AO23" i="4"/>
  <c r="AO60" i="4" s="1"/>
  <c r="AO93" i="4" s="1"/>
  <c r="AN23" i="4"/>
  <c r="AN60" i="4" s="1"/>
  <c r="AM23" i="4"/>
  <c r="AM60" i="4" s="1"/>
  <c r="AL23" i="4"/>
  <c r="AL60" i="4" s="1"/>
  <c r="AL93" i="4" s="1"/>
  <c r="AK23" i="4"/>
  <c r="AK60" i="4" s="1"/>
  <c r="AJ23" i="4"/>
  <c r="AJ60" i="4" s="1"/>
  <c r="AI23" i="4"/>
  <c r="AI60" i="4" s="1"/>
  <c r="AH23" i="4"/>
  <c r="AH60" i="4" s="1"/>
  <c r="AG23" i="4"/>
  <c r="AG60" i="4" s="1"/>
  <c r="AF23" i="4"/>
  <c r="AF60" i="4" s="1"/>
  <c r="AF93" i="4" s="1"/>
  <c r="AE23" i="4"/>
  <c r="AE60" i="4" s="1"/>
  <c r="AD23" i="4"/>
  <c r="AD60" i="4" s="1"/>
  <c r="AC23" i="4"/>
  <c r="AC60" i="4" s="1"/>
  <c r="AB23" i="4"/>
  <c r="AB60" i="4" s="1"/>
  <c r="AB93" i="4" s="1"/>
  <c r="AA23" i="4"/>
  <c r="AA60" i="4" s="1"/>
  <c r="Z23" i="4"/>
  <c r="Z60" i="4" s="1"/>
  <c r="Y23" i="4"/>
  <c r="Y60" i="4" s="1"/>
  <c r="Y68" i="4" s="1"/>
  <c r="X23" i="4"/>
  <c r="X60" i="4" s="1"/>
  <c r="W23" i="4"/>
  <c r="W60" i="4" s="1"/>
  <c r="V23" i="4"/>
  <c r="V31" i="4" s="1"/>
  <c r="U23" i="4"/>
  <c r="U31" i="4" s="1"/>
  <c r="T23" i="4"/>
  <c r="S23" i="4"/>
  <c r="S31" i="4" s="1"/>
  <c r="R23" i="4"/>
  <c r="Q23" i="4"/>
  <c r="Q31" i="4" s="1"/>
  <c r="P23" i="4"/>
  <c r="P31" i="4" s="1"/>
  <c r="O23" i="4"/>
  <c r="O31" i="4" s="1"/>
  <c r="N23" i="4"/>
  <c r="N31" i="4" s="1"/>
  <c r="M23" i="4"/>
  <c r="M31" i="4" s="1"/>
  <c r="L23" i="4"/>
  <c r="K23" i="4"/>
  <c r="K31" i="4" s="1"/>
  <c r="J23" i="4"/>
  <c r="J31" i="4" s="1"/>
  <c r="I23" i="4"/>
  <c r="I31" i="4" s="1"/>
  <c r="H23" i="4"/>
  <c r="H31" i="4" s="1"/>
  <c r="G23" i="4"/>
  <c r="G31" i="4" s="1"/>
  <c r="F23" i="4"/>
  <c r="F31" i="4" s="1"/>
  <c r="E23" i="4"/>
  <c r="E31" i="4" s="1"/>
  <c r="D23" i="4"/>
  <c r="D31" i="4" s="1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AP7" i="4"/>
  <c r="AH7" i="4"/>
  <c r="Z7" i="4"/>
  <c r="W7" i="4"/>
  <c r="R7" i="4"/>
  <c r="R44" i="4" s="1"/>
  <c r="Q7" i="4"/>
  <c r="J7" i="4"/>
  <c r="J44" i="4" s="1"/>
  <c r="BA6" i="4"/>
  <c r="BA7" i="4" s="1"/>
  <c r="AZ6" i="4"/>
  <c r="AZ7" i="4" s="1"/>
  <c r="AY6" i="4"/>
  <c r="AZ31" i="4" s="1"/>
  <c r="AX6" i="4"/>
  <c r="AY31" i="4" s="1"/>
  <c r="AW6" i="4"/>
  <c r="AW7" i="4" s="1"/>
  <c r="AV6" i="4"/>
  <c r="AU6" i="4"/>
  <c r="AV31" i="4" s="1"/>
  <c r="AT6" i="4"/>
  <c r="AU31" i="4" s="1"/>
  <c r="AS6" i="4"/>
  <c r="AS7" i="4" s="1"/>
  <c r="AR6" i="4"/>
  <c r="AR7" i="4" s="1"/>
  <c r="AQ6" i="4"/>
  <c r="AR31" i="4" s="1"/>
  <c r="AP6" i="4"/>
  <c r="AQ31" i="4" s="1"/>
  <c r="AO6" i="4"/>
  <c r="AP31" i="4" s="1"/>
  <c r="AN6" i="4"/>
  <c r="AM6" i="4"/>
  <c r="AN31" i="4" s="1"/>
  <c r="AL6" i="4"/>
  <c r="AM31" i="4" s="1"/>
  <c r="AK6" i="4"/>
  <c r="AK7" i="4" s="1"/>
  <c r="AJ6" i="4"/>
  <c r="AJ7" i="4" s="1"/>
  <c r="AI6" i="4"/>
  <c r="AJ31" i="4" s="1"/>
  <c r="AH6" i="4"/>
  <c r="AI31" i="4" s="1"/>
  <c r="AG6" i="4"/>
  <c r="AH31" i="4" s="1"/>
  <c r="AF6" i="4"/>
  <c r="AG31" i="4" s="1"/>
  <c r="AE6" i="4"/>
  <c r="AF31" i="4" s="1"/>
  <c r="AD6" i="4"/>
  <c r="AE31" i="4" s="1"/>
  <c r="AC6" i="4"/>
  <c r="AC7" i="4" s="1"/>
  <c r="AB6" i="4"/>
  <c r="AB7" i="4" s="1"/>
  <c r="AA6" i="4"/>
  <c r="AB31" i="4" s="1"/>
  <c r="Z6" i="4"/>
  <c r="AA31" i="4" s="1"/>
  <c r="Y6" i="4"/>
  <c r="Y7" i="4" s="1"/>
  <c r="X6" i="4"/>
  <c r="W6" i="4"/>
  <c r="X31" i="4" s="1"/>
  <c r="V6" i="4"/>
  <c r="W31" i="4" s="1"/>
  <c r="U6" i="4"/>
  <c r="U7" i="4" s="1"/>
  <c r="T6" i="4"/>
  <c r="T7" i="4" s="1"/>
  <c r="S6" i="4"/>
  <c r="R6" i="4"/>
  <c r="Q6" i="4"/>
  <c r="P6" i="4"/>
  <c r="O6" i="4"/>
  <c r="O7" i="4" s="1"/>
  <c r="N6" i="4"/>
  <c r="M6" i="4"/>
  <c r="M7" i="4" s="1"/>
  <c r="L6" i="4"/>
  <c r="L7" i="4" s="1"/>
  <c r="K6" i="4"/>
  <c r="J6" i="4"/>
  <c r="I6" i="4"/>
  <c r="I7" i="4" s="1"/>
  <c r="H6" i="4"/>
  <c r="G6" i="4"/>
  <c r="G7" i="4" s="1"/>
  <c r="G44" i="4" s="1"/>
  <c r="F6" i="4"/>
  <c r="E6" i="4"/>
  <c r="E7" i="4" s="1"/>
  <c r="D6" i="4"/>
  <c r="D7" i="4" s="1"/>
  <c r="B97" i="3"/>
  <c r="B96" i="3"/>
  <c r="B95" i="3"/>
  <c r="AX94" i="3"/>
  <c r="B93" i="3"/>
  <c r="B92" i="3"/>
  <c r="B91" i="3"/>
  <c r="B90" i="3"/>
  <c r="B89" i="3"/>
  <c r="B88" i="3"/>
  <c r="B87" i="3"/>
  <c r="B86" i="3"/>
  <c r="B85" i="3"/>
  <c r="B84" i="3"/>
  <c r="BC83" i="3"/>
  <c r="BB83" i="3"/>
  <c r="BA83" i="3"/>
  <c r="AY83" i="3"/>
  <c r="AX83" i="3"/>
  <c r="C73" i="3"/>
  <c r="C72" i="3"/>
  <c r="C54" i="3"/>
  <c r="AW53" i="3"/>
  <c r="AW94" i="3" s="1"/>
  <c r="AV53" i="3"/>
  <c r="AU53" i="3"/>
  <c r="AU94" i="3" s="1"/>
  <c r="AT53" i="3"/>
  <c r="AS53" i="3"/>
  <c r="AR53" i="3"/>
  <c r="AQ53" i="3"/>
  <c r="AP53" i="3"/>
  <c r="AO53" i="3"/>
  <c r="AN53" i="3"/>
  <c r="AM53" i="3"/>
  <c r="AM94" i="3" s="1"/>
  <c r="AL53" i="3"/>
  <c r="AK53" i="3"/>
  <c r="AK94" i="3" s="1"/>
  <c r="AJ53" i="3"/>
  <c r="AI53" i="3"/>
  <c r="AH53" i="3"/>
  <c r="AG53" i="3"/>
  <c r="AF53" i="3"/>
  <c r="AE53" i="3"/>
  <c r="AE83" i="3" s="1"/>
  <c r="AD53" i="3"/>
  <c r="AC53" i="3"/>
  <c r="AB53" i="3"/>
  <c r="AA53" i="3"/>
  <c r="Z53" i="3"/>
  <c r="Y53" i="3"/>
  <c r="X53" i="3"/>
  <c r="X94" i="3" s="1"/>
  <c r="W53" i="3"/>
  <c r="W83" i="3" s="1"/>
  <c r="V53" i="3"/>
  <c r="U53" i="3"/>
  <c r="U83" i="3" s="1"/>
  <c r="T53" i="3"/>
  <c r="S53" i="3"/>
  <c r="R53" i="3"/>
  <c r="D53" i="3"/>
  <c r="C53" i="3"/>
  <c r="R43" i="3"/>
  <c r="R72" i="3" s="1"/>
  <c r="Q43" i="3"/>
  <c r="Q72" i="3" s="1"/>
  <c r="P43" i="3"/>
  <c r="P72" i="3" s="1"/>
  <c r="O43" i="3"/>
  <c r="O72" i="3" s="1"/>
  <c r="N43" i="3"/>
  <c r="N72" i="3" s="1"/>
  <c r="M43" i="3"/>
  <c r="L43" i="3"/>
  <c r="L72" i="3" s="1"/>
  <c r="K43" i="3"/>
  <c r="K72" i="3" s="1"/>
  <c r="J43" i="3"/>
  <c r="J72" i="3" s="1"/>
  <c r="I43" i="3"/>
  <c r="I72" i="3" s="1"/>
  <c r="H43" i="3"/>
  <c r="H72" i="3" s="1"/>
  <c r="G43" i="3"/>
  <c r="G72" i="3" s="1"/>
  <c r="F43" i="3"/>
  <c r="F72" i="3" s="1"/>
  <c r="E43" i="3"/>
  <c r="E72" i="3" s="1"/>
  <c r="D43" i="3"/>
  <c r="D72" i="3" s="1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7" i="9" s="1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6" i="9" s="1"/>
  <c r="R39" i="3"/>
  <c r="R54" i="3" s="1"/>
  <c r="Q39" i="3"/>
  <c r="Q54" i="3" s="1"/>
  <c r="R2" i="6" s="1"/>
  <c r="R21" i="6" s="1"/>
  <c r="P39" i="3"/>
  <c r="P54" i="3" s="1"/>
  <c r="Q2" i="6" s="1"/>
  <c r="Q21" i="6" s="1"/>
  <c r="O39" i="3"/>
  <c r="O54" i="3" s="1"/>
  <c r="P2" i="6" s="1"/>
  <c r="P21" i="6" s="1"/>
  <c r="N39" i="3"/>
  <c r="N54" i="3" s="1"/>
  <c r="O2" i="6" s="1"/>
  <c r="O21" i="6" s="1"/>
  <c r="M39" i="3"/>
  <c r="L39" i="3"/>
  <c r="L54" i="3" s="1"/>
  <c r="M2" i="6" s="1"/>
  <c r="M21" i="6" s="1"/>
  <c r="K39" i="3"/>
  <c r="K54" i="3" s="1"/>
  <c r="L2" i="6" s="1"/>
  <c r="L21" i="6" s="1"/>
  <c r="J39" i="3"/>
  <c r="J54" i="3" s="1"/>
  <c r="K2" i="6" s="1"/>
  <c r="K21" i="6" s="1"/>
  <c r="I39" i="3"/>
  <c r="I54" i="3" s="1"/>
  <c r="J2" i="6" s="1"/>
  <c r="J21" i="6" s="1"/>
  <c r="H39" i="3"/>
  <c r="H54" i="3" s="1"/>
  <c r="I2" i="6" s="1"/>
  <c r="I21" i="6" s="1"/>
  <c r="G39" i="3"/>
  <c r="G54" i="3" s="1"/>
  <c r="G2" i="6" s="1"/>
  <c r="G21" i="6" s="1"/>
  <c r="F39" i="3"/>
  <c r="F54" i="3" s="1"/>
  <c r="F2" i="6" s="1"/>
  <c r="F21" i="6" s="1"/>
  <c r="E39" i="3"/>
  <c r="E54" i="3" s="1"/>
  <c r="E2" i="6" s="1"/>
  <c r="E21" i="6" s="1"/>
  <c r="D39" i="3"/>
  <c r="D54" i="3" s="1"/>
  <c r="C5" i="9" s="1"/>
  <c r="Q38" i="3"/>
  <c r="Q53" i="3" s="1"/>
  <c r="P38" i="3"/>
  <c r="P53" i="3" s="1"/>
  <c r="O38" i="3"/>
  <c r="O53" i="3" s="1"/>
  <c r="N38" i="3"/>
  <c r="N53" i="3" s="1"/>
  <c r="M38" i="3"/>
  <c r="M53" i="3" s="1"/>
  <c r="L38" i="3"/>
  <c r="L53" i="3" s="1"/>
  <c r="K38" i="3"/>
  <c r="K53" i="3" s="1"/>
  <c r="J38" i="3"/>
  <c r="J53" i="3" s="1"/>
  <c r="I38" i="3"/>
  <c r="I53" i="3" s="1"/>
  <c r="H38" i="3"/>
  <c r="H53" i="3" s="1"/>
  <c r="G38" i="3"/>
  <c r="G53" i="3" s="1"/>
  <c r="F38" i="3"/>
  <c r="F53" i="3" s="1"/>
  <c r="E38" i="3"/>
  <c r="E53" i="3" s="1"/>
  <c r="C36" i="3"/>
  <c r="L36" i="3" s="1"/>
  <c r="L74" i="3" s="1"/>
  <c r="M9" i="6" s="1"/>
  <c r="R31" i="3"/>
  <c r="R73" i="3" s="1"/>
  <c r="Q31" i="3"/>
  <c r="Q73" i="3" s="1"/>
  <c r="P31" i="3"/>
  <c r="P73" i="3" s="1"/>
  <c r="O31" i="3"/>
  <c r="O73" i="3" s="1"/>
  <c r="N31" i="3"/>
  <c r="N73" i="3" s="1"/>
  <c r="M31" i="3"/>
  <c r="M73" i="3" s="1"/>
  <c r="P44" i="6" s="1"/>
  <c r="L31" i="3"/>
  <c r="L73" i="3" s="1"/>
  <c r="K31" i="3"/>
  <c r="K73" i="3" s="1"/>
  <c r="J31" i="3"/>
  <c r="J73" i="3" s="1"/>
  <c r="I31" i="3"/>
  <c r="I73" i="3" s="1"/>
  <c r="H31" i="3"/>
  <c r="H73" i="3" s="1"/>
  <c r="G31" i="3"/>
  <c r="G73" i="3" s="1"/>
  <c r="F31" i="3"/>
  <c r="F73" i="3" s="1"/>
  <c r="E31" i="3"/>
  <c r="D31" i="3"/>
  <c r="D73" i="3" s="1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R20" i="3"/>
  <c r="Q16" i="3"/>
  <c r="Q19" i="3" s="1"/>
  <c r="Q20" i="3" s="1"/>
  <c r="P16" i="3"/>
  <c r="O16" i="3"/>
  <c r="O19" i="3" s="1"/>
  <c r="N16" i="3"/>
  <c r="N19" i="3" s="1"/>
  <c r="M16" i="3"/>
  <c r="L16" i="3"/>
  <c r="L19" i="3" s="1"/>
  <c r="K16" i="3"/>
  <c r="K19" i="3" s="1"/>
  <c r="J16" i="3"/>
  <c r="I16" i="3"/>
  <c r="H16" i="3"/>
  <c r="H19" i="3" s="1"/>
  <c r="G16" i="3"/>
  <c r="G19" i="3" s="1"/>
  <c r="F16" i="3"/>
  <c r="F19" i="3" s="1"/>
  <c r="E16" i="3"/>
  <c r="E19" i="3" s="1"/>
  <c r="AW15" i="3"/>
  <c r="I13" i="9" s="1"/>
  <c r="AV15" i="3"/>
  <c r="AU15" i="3"/>
  <c r="AT15" i="3"/>
  <c r="AS15" i="3"/>
  <c r="AR15" i="3"/>
  <c r="AR36" i="3" s="1"/>
  <c r="AR74" i="3" s="1"/>
  <c r="AW9" i="6" s="1"/>
  <c r="W52" i="6" s="1"/>
  <c r="AQ15" i="3"/>
  <c r="AP15" i="3"/>
  <c r="AO15" i="3"/>
  <c r="AN15" i="3"/>
  <c r="AM15" i="3"/>
  <c r="AL15" i="3"/>
  <c r="AK15" i="3"/>
  <c r="AJ15" i="3"/>
  <c r="AJ36" i="3" s="1"/>
  <c r="AJ74" i="3" s="1"/>
  <c r="AO9" i="6" s="1"/>
  <c r="AI15" i="3"/>
  <c r="AH15" i="3"/>
  <c r="AG15" i="3"/>
  <c r="AF15" i="3"/>
  <c r="G13" i="9" s="1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AW13" i="3"/>
  <c r="I4" i="9" s="1"/>
  <c r="AU13" i="3"/>
  <c r="AS13" i="3"/>
  <c r="AQ13" i="3"/>
  <c r="E4" i="9" s="1"/>
  <c r="AP42" i="3"/>
  <c r="AN13" i="3"/>
  <c r="AL13" i="3"/>
  <c r="AK13" i="3"/>
  <c r="AK39" i="3" s="1"/>
  <c r="AK54" i="3" s="1"/>
  <c r="AP2" i="6" s="1"/>
  <c r="AP21" i="6" s="1"/>
  <c r="AH13" i="3"/>
  <c r="AG13" i="3"/>
  <c r="AF13" i="3"/>
  <c r="G4" i="9" s="1"/>
  <c r="AD13" i="3"/>
  <c r="AC41" i="3"/>
  <c r="T13" i="3"/>
  <c r="S13" i="3"/>
  <c r="R9" i="3"/>
  <c r="AW5" i="3"/>
  <c r="AV5" i="3"/>
  <c r="AU5" i="3"/>
  <c r="AU8" i="3" s="1"/>
  <c r="AT5" i="3"/>
  <c r="AS5" i="3"/>
  <c r="AS8" i="3" s="1"/>
  <c r="AS9" i="3" s="1"/>
  <c r="AR5" i="3"/>
  <c r="AR8" i="3" s="1"/>
  <c r="AQ5" i="3"/>
  <c r="AP5" i="3"/>
  <c r="AP8" i="3" s="1"/>
  <c r="AO5" i="3"/>
  <c r="AO8" i="3" s="1"/>
  <c r="AN5" i="3"/>
  <c r="AM5" i="3"/>
  <c r="AM8" i="3" s="1"/>
  <c r="AL5" i="3"/>
  <c r="AK5" i="3"/>
  <c r="AJ5" i="3"/>
  <c r="AI5" i="3"/>
  <c r="AI8" i="3" s="1"/>
  <c r="AI9" i="3" s="1"/>
  <c r="AH5" i="3"/>
  <c r="AH8" i="3" s="1"/>
  <c r="AG5" i="3"/>
  <c r="AG8" i="3" s="1"/>
  <c r="AF5" i="3"/>
  <c r="AF8" i="3" s="1"/>
  <c r="AE5" i="3"/>
  <c r="AE8" i="3" s="1"/>
  <c r="AD5" i="3"/>
  <c r="AC5" i="3"/>
  <c r="AC8" i="3" s="1"/>
  <c r="AB5" i="3"/>
  <c r="AB8" i="3" s="1"/>
  <c r="AA5" i="3"/>
  <c r="Z5" i="3"/>
  <c r="Z8" i="3" s="1"/>
  <c r="Y5" i="3"/>
  <c r="Y8" i="3" s="1"/>
  <c r="X5" i="3"/>
  <c r="W5" i="3"/>
  <c r="W8" i="3" s="1"/>
  <c r="V5" i="3"/>
  <c r="V8" i="3" s="1"/>
  <c r="V9" i="3" s="1"/>
  <c r="U5" i="3"/>
  <c r="U8" i="3" s="1"/>
  <c r="U9" i="3" s="1"/>
  <c r="T5" i="3"/>
  <c r="S5" i="3"/>
  <c r="S8" i="3" s="1"/>
  <c r="S9" i="3" s="1"/>
  <c r="Q5" i="3"/>
  <c r="Q8" i="3" s="1"/>
  <c r="P5" i="3"/>
  <c r="P8" i="3" s="1"/>
  <c r="P9" i="3" s="1"/>
  <c r="O5" i="3"/>
  <c r="N5" i="3"/>
  <c r="N8" i="3" s="1"/>
  <c r="M5" i="3"/>
  <c r="M8" i="3" s="1"/>
  <c r="L5" i="3"/>
  <c r="L8" i="3" s="1"/>
  <c r="L9" i="3" s="1"/>
  <c r="K5" i="3"/>
  <c r="J5" i="3"/>
  <c r="I5" i="3"/>
  <c r="I8" i="3" s="1"/>
  <c r="H5" i="3"/>
  <c r="G5" i="3"/>
  <c r="G8" i="3" s="1"/>
  <c r="G9" i="3" s="1"/>
  <c r="F5" i="3"/>
  <c r="F8" i="3" s="1"/>
  <c r="E5" i="3"/>
  <c r="E8" i="3" s="1"/>
  <c r="L43" i="2"/>
  <c r="L42" i="2"/>
  <c r="L40" i="2"/>
  <c r="H40" i="2"/>
  <c r="G40" i="2"/>
  <c r="F40" i="2"/>
  <c r="L39" i="2"/>
  <c r="H39" i="2"/>
  <c r="G39" i="2"/>
  <c r="F39" i="2"/>
  <c r="L37" i="2"/>
  <c r="H37" i="2"/>
  <c r="J37" i="2" s="1"/>
  <c r="G37" i="2"/>
  <c r="F37" i="2"/>
  <c r="L36" i="2"/>
  <c r="H36" i="2"/>
  <c r="G36" i="2"/>
  <c r="F36" i="2"/>
  <c r="L35" i="2"/>
  <c r="H35" i="2"/>
  <c r="J35" i="2" s="1"/>
  <c r="G35" i="2"/>
  <c r="F35" i="2"/>
  <c r="P35" i="2" s="1"/>
  <c r="L34" i="2"/>
  <c r="H34" i="2"/>
  <c r="G34" i="2"/>
  <c r="F34" i="2"/>
  <c r="L33" i="2"/>
  <c r="H33" i="2"/>
  <c r="J33" i="2" s="1"/>
  <c r="G33" i="2"/>
  <c r="F33" i="2"/>
  <c r="M33" i="2" s="1"/>
  <c r="B30" i="9" s="1"/>
  <c r="L32" i="2"/>
  <c r="H32" i="2"/>
  <c r="J32" i="2" s="1"/>
  <c r="G32" i="2"/>
  <c r="F32" i="2"/>
  <c r="L31" i="2"/>
  <c r="L29" i="2"/>
  <c r="L28" i="2"/>
  <c r="L25" i="2"/>
  <c r="L23" i="2"/>
  <c r="L21" i="2"/>
  <c r="L17" i="2"/>
  <c r="H17" i="2"/>
  <c r="G17" i="2"/>
  <c r="F17" i="2"/>
  <c r="L16" i="2"/>
  <c r="H16" i="2"/>
  <c r="G16" i="2"/>
  <c r="F16" i="2"/>
  <c r="L13" i="2"/>
  <c r="H13" i="2"/>
  <c r="G13" i="2"/>
  <c r="F13" i="2"/>
  <c r="M13" i="2" s="1"/>
  <c r="L11" i="2"/>
  <c r="H11" i="2"/>
  <c r="G11" i="2"/>
  <c r="F11" i="2"/>
  <c r="L9" i="2"/>
  <c r="H9" i="2"/>
  <c r="G9" i="2"/>
  <c r="F9" i="2"/>
  <c r="L7" i="2"/>
  <c r="L6" i="2"/>
  <c r="H6" i="2"/>
  <c r="G6" i="2"/>
  <c r="F6" i="2"/>
  <c r="L5" i="2"/>
  <c r="H5" i="2"/>
  <c r="G5" i="2"/>
  <c r="F5" i="2"/>
  <c r="L4" i="2"/>
  <c r="H4" i="2"/>
  <c r="G4" i="2"/>
  <c r="F4" i="2"/>
  <c r="L3" i="2"/>
  <c r="H3" i="2"/>
  <c r="G3" i="2"/>
  <c r="F3" i="2"/>
  <c r="L2" i="2"/>
  <c r="H2" i="2"/>
  <c r="G2" i="2"/>
  <c r="F2" i="2"/>
  <c r="C8" i="9" l="1"/>
  <c r="M54" i="3"/>
  <c r="N2" i="6" s="1"/>
  <c r="N21" i="6" s="1"/>
  <c r="P41" i="6" s="1"/>
  <c r="M72" i="3"/>
  <c r="P43" i="6" s="1"/>
  <c r="I81" i="3"/>
  <c r="Q81" i="3"/>
  <c r="C84" i="3"/>
  <c r="Z84" i="3" s="1"/>
  <c r="C2" i="6"/>
  <c r="D2" i="6" s="1"/>
  <c r="BI92" i="8"/>
  <c r="BI90" i="8"/>
  <c r="BI91" i="8"/>
  <c r="BM29" i="8"/>
  <c r="BM92" i="8" s="1"/>
  <c r="BL92" i="8"/>
  <c r="BL90" i="8"/>
  <c r="BL91" i="8"/>
  <c r="BM41" i="8"/>
  <c r="BJ92" i="8"/>
  <c r="BK92" i="8"/>
  <c r="BK90" i="8"/>
  <c r="BK91" i="8"/>
  <c r="BI88" i="8"/>
  <c r="BJ91" i="8"/>
  <c r="BJ90" i="8"/>
  <c r="BJ88" i="8"/>
  <c r="BM26" i="8"/>
  <c r="BL88" i="8"/>
  <c r="BK88" i="8"/>
  <c r="AF30" i="3"/>
  <c r="AV30" i="3"/>
  <c r="AO30" i="3"/>
  <c r="Z30" i="3"/>
  <c r="AH30" i="3"/>
  <c r="AP30" i="3"/>
  <c r="AN30" i="3"/>
  <c r="T30" i="3"/>
  <c r="AB30" i="3"/>
  <c r="AJ30" i="3"/>
  <c r="AR30" i="3"/>
  <c r="AW30" i="3"/>
  <c r="AA30" i="3"/>
  <c r="U30" i="3"/>
  <c r="AC30" i="3"/>
  <c r="AK30" i="3"/>
  <c r="AS30" i="3"/>
  <c r="AG30" i="3"/>
  <c r="AI30" i="3"/>
  <c r="V30" i="3"/>
  <c r="AD30" i="3"/>
  <c r="AL30" i="3"/>
  <c r="AT30" i="3"/>
  <c r="X30" i="3"/>
  <c r="Y30" i="3"/>
  <c r="S30" i="3"/>
  <c r="AQ30" i="3"/>
  <c r="W30" i="3"/>
  <c r="AE30" i="3"/>
  <c r="AM30" i="3"/>
  <c r="AU30" i="3"/>
  <c r="AM36" i="3"/>
  <c r="AM74" i="3" s="1"/>
  <c r="AR9" i="6" s="1"/>
  <c r="AU36" i="3"/>
  <c r="AU74" i="3" s="1"/>
  <c r="AZ9" i="6" s="1"/>
  <c r="T52" i="6" s="1"/>
  <c r="AQ8" i="3"/>
  <c r="AQ9" i="3" s="1"/>
  <c r="AA8" i="3"/>
  <c r="AA9" i="3" s="1"/>
  <c r="Z16" i="3"/>
  <c r="Z19" i="3" s="1"/>
  <c r="Z20" i="3" s="1"/>
  <c r="AH16" i="3"/>
  <c r="AH19" i="3" s="1"/>
  <c r="AH20" i="3" s="1"/>
  <c r="AP16" i="3"/>
  <c r="AP19" i="3" s="1"/>
  <c r="AP20" i="3" s="1"/>
  <c r="AG31" i="3"/>
  <c r="AG73" i="3" s="1"/>
  <c r="J44" i="6" s="1"/>
  <c r="I9" i="9"/>
  <c r="F9" i="9"/>
  <c r="AJ16" i="3"/>
  <c r="AJ19" i="3" s="1"/>
  <c r="AJ20" i="3" s="1"/>
  <c r="AR16" i="3"/>
  <c r="AR19" i="3" s="1"/>
  <c r="AR20" i="3" s="1"/>
  <c r="AZ14" i="3"/>
  <c r="N9" i="9" s="1"/>
  <c r="H81" i="3"/>
  <c r="P81" i="3"/>
  <c r="G9" i="9"/>
  <c r="W36" i="3"/>
  <c r="W74" i="3" s="1"/>
  <c r="AB9" i="6" s="1"/>
  <c r="S52" i="6" s="1"/>
  <c r="AZ15" i="3"/>
  <c r="N13" i="9" s="1"/>
  <c r="E9" i="9"/>
  <c r="AC9" i="3"/>
  <c r="U36" i="3"/>
  <c r="U74" i="3" s="1"/>
  <c r="Z9" i="6" s="1"/>
  <c r="AK36" i="3"/>
  <c r="AK74" i="3" s="1"/>
  <c r="AP9" i="6" s="1"/>
  <c r="AS36" i="3"/>
  <c r="AS74" i="3" s="1"/>
  <c r="AX9" i="6" s="1"/>
  <c r="D52" i="6" s="1"/>
  <c r="F13" i="9"/>
  <c r="H20" i="3"/>
  <c r="P19" i="3"/>
  <c r="P20" i="3" s="1"/>
  <c r="K36" i="3"/>
  <c r="K74" i="3" s="1"/>
  <c r="L9" i="6" s="1"/>
  <c r="AY14" i="3"/>
  <c r="AS41" i="3"/>
  <c r="F4" i="9"/>
  <c r="Q9" i="3"/>
  <c r="H8" i="3"/>
  <c r="H9" i="3" s="1"/>
  <c r="F9" i="3"/>
  <c r="AI36" i="3"/>
  <c r="BA15" i="3"/>
  <c r="AQ36" i="3"/>
  <c r="AQ74" i="3" s="1"/>
  <c r="AV9" i="6" s="1"/>
  <c r="C52" i="6" s="1"/>
  <c r="E13" i="9"/>
  <c r="J19" i="3"/>
  <c r="J20" i="3" s="1"/>
  <c r="BA14" i="3"/>
  <c r="O20" i="3"/>
  <c r="AY13" i="3"/>
  <c r="AY15" i="3"/>
  <c r="G81" i="3"/>
  <c r="O81" i="3"/>
  <c r="Q97" i="8"/>
  <c r="Q100" i="8"/>
  <c r="Q98" i="8"/>
  <c r="Q101" i="8"/>
  <c r="AB101" i="8"/>
  <c r="AB97" i="8"/>
  <c r="AB98" i="8"/>
  <c r="AB100" i="8"/>
  <c r="AJ101" i="8"/>
  <c r="AJ97" i="8"/>
  <c r="AJ98" i="8"/>
  <c r="AJ100" i="8"/>
  <c r="AR101" i="8"/>
  <c r="AR97" i="8"/>
  <c r="AR98" i="8"/>
  <c r="AR100" i="8"/>
  <c r="AZ101" i="8"/>
  <c r="AZ97" i="8"/>
  <c r="AZ98" i="8"/>
  <c r="AZ100" i="8"/>
  <c r="R101" i="8"/>
  <c r="R97" i="8"/>
  <c r="R98" i="8"/>
  <c r="R100" i="8"/>
  <c r="AC98" i="8"/>
  <c r="AC97" i="8"/>
  <c r="AC101" i="8"/>
  <c r="AC100" i="8"/>
  <c r="AK98" i="8"/>
  <c r="AK101" i="8"/>
  <c r="AK97" i="8"/>
  <c r="AK100" i="8"/>
  <c r="AS98" i="8"/>
  <c r="AS101" i="8"/>
  <c r="AS97" i="8"/>
  <c r="AS100" i="8"/>
  <c r="BA98" i="8"/>
  <c r="BA101" i="8"/>
  <c r="BA97" i="8"/>
  <c r="BA100" i="8"/>
  <c r="T98" i="8"/>
  <c r="T101" i="8"/>
  <c r="T97" i="8"/>
  <c r="T100" i="8"/>
  <c r="AD98" i="8"/>
  <c r="AD100" i="8"/>
  <c r="AD97" i="8"/>
  <c r="AD101" i="8"/>
  <c r="AL98" i="8"/>
  <c r="AL100" i="8"/>
  <c r="AL97" i="8"/>
  <c r="AL101" i="8"/>
  <c r="AT98" i="8"/>
  <c r="AT100" i="8"/>
  <c r="AT97" i="8"/>
  <c r="AT101" i="8"/>
  <c r="BB98" i="8"/>
  <c r="BB101" i="8"/>
  <c r="BB100" i="8"/>
  <c r="BB97" i="8"/>
  <c r="L101" i="8"/>
  <c r="L100" i="8"/>
  <c r="L97" i="8"/>
  <c r="L98" i="8"/>
  <c r="U98" i="8"/>
  <c r="U100" i="8"/>
  <c r="U101" i="8"/>
  <c r="U97" i="8"/>
  <c r="AE100" i="8"/>
  <c r="AE101" i="8"/>
  <c r="AE98" i="8"/>
  <c r="AE97" i="8"/>
  <c r="AM100" i="8"/>
  <c r="AM98" i="8"/>
  <c r="AM97" i="8"/>
  <c r="AM101" i="8"/>
  <c r="AU100" i="8"/>
  <c r="AU98" i="8"/>
  <c r="AU101" i="8"/>
  <c r="AU97" i="8"/>
  <c r="BC100" i="8"/>
  <c r="BC98" i="8"/>
  <c r="BC97" i="8"/>
  <c r="BC101" i="8"/>
  <c r="M100" i="8"/>
  <c r="M98" i="8"/>
  <c r="M101" i="8"/>
  <c r="M97" i="8"/>
  <c r="V100" i="8"/>
  <c r="V98" i="8"/>
  <c r="V101" i="8"/>
  <c r="V97" i="8"/>
  <c r="AF98" i="8"/>
  <c r="AF100" i="8"/>
  <c r="AF101" i="8"/>
  <c r="AF97" i="8"/>
  <c r="AN98" i="8"/>
  <c r="AN100" i="8"/>
  <c r="AN101" i="8"/>
  <c r="AN97" i="8"/>
  <c r="AV98" i="8"/>
  <c r="AV100" i="8"/>
  <c r="AV101" i="8"/>
  <c r="AV97" i="8"/>
  <c r="BD100" i="8"/>
  <c r="BD98" i="8"/>
  <c r="BD101" i="8"/>
  <c r="BD97" i="8"/>
  <c r="N98" i="8"/>
  <c r="N100" i="8"/>
  <c r="N101" i="8"/>
  <c r="N97" i="8"/>
  <c r="W98" i="8"/>
  <c r="W100" i="8"/>
  <c r="W101" i="8"/>
  <c r="W97" i="8"/>
  <c r="AG97" i="8"/>
  <c r="AG100" i="8"/>
  <c r="AG98" i="8"/>
  <c r="AG101" i="8"/>
  <c r="AO97" i="8"/>
  <c r="AO100" i="8"/>
  <c r="AO98" i="8"/>
  <c r="AO101" i="8"/>
  <c r="AW97" i="8"/>
  <c r="AW98" i="8"/>
  <c r="AW100" i="8"/>
  <c r="AW101" i="8"/>
  <c r="BE97" i="8"/>
  <c r="BE100" i="8"/>
  <c r="BE98" i="8"/>
  <c r="BE101" i="8"/>
  <c r="X97" i="8"/>
  <c r="X98" i="8"/>
  <c r="X100" i="8"/>
  <c r="X101" i="8"/>
  <c r="AH97" i="8"/>
  <c r="AH98" i="8"/>
  <c r="AH100" i="8"/>
  <c r="AH101" i="8"/>
  <c r="AP97" i="8"/>
  <c r="AP100" i="8"/>
  <c r="AP101" i="8"/>
  <c r="AP98" i="8"/>
  <c r="AX97" i="8"/>
  <c r="AX98" i="8"/>
  <c r="AX101" i="8"/>
  <c r="AX100" i="8"/>
  <c r="BF97" i="8"/>
  <c r="BF100" i="8"/>
  <c r="BF98" i="8"/>
  <c r="BF101" i="8"/>
  <c r="P97" i="8"/>
  <c r="P100" i="8"/>
  <c r="P98" i="8"/>
  <c r="P101" i="8"/>
  <c r="Y97" i="8"/>
  <c r="Y98" i="8"/>
  <c r="Y101" i="8"/>
  <c r="Y100" i="8"/>
  <c r="AI101" i="8"/>
  <c r="AI97" i="8"/>
  <c r="AI98" i="8"/>
  <c r="AI100" i="8"/>
  <c r="AQ101" i="8"/>
  <c r="AQ97" i="8"/>
  <c r="AQ98" i="8"/>
  <c r="AQ100" i="8"/>
  <c r="AY101" i="8"/>
  <c r="AY97" i="8"/>
  <c r="AY98" i="8"/>
  <c r="AY100" i="8"/>
  <c r="O100" i="8"/>
  <c r="O101" i="8"/>
  <c r="O97" i="8"/>
  <c r="O98" i="8"/>
  <c r="BB38" i="4"/>
  <c r="O29" i="9" s="1"/>
  <c r="BC39" i="4"/>
  <c r="BE40" i="4"/>
  <c r="BD51" i="4"/>
  <c r="BE46" i="4"/>
  <c r="BE41" i="4"/>
  <c r="Z55" i="4"/>
  <c r="BE47" i="4"/>
  <c r="BD50" i="4"/>
  <c r="BB51" i="4"/>
  <c r="BC38" i="4"/>
  <c r="L29" i="9" s="1"/>
  <c r="P29" i="9" s="1"/>
  <c r="BB50" i="4"/>
  <c r="AB43" i="4"/>
  <c r="BE39" i="4"/>
  <c r="AS43" i="4"/>
  <c r="BA43" i="4"/>
  <c r="I30" i="9" s="1"/>
  <c r="BE45" i="4"/>
  <c r="BD48" i="4"/>
  <c r="BB49" i="4"/>
  <c r="BC51" i="4"/>
  <c r="D93" i="4"/>
  <c r="L93" i="4"/>
  <c r="T93" i="4"/>
  <c r="AY55" i="4"/>
  <c r="BE38" i="4"/>
  <c r="N29" i="9" s="1"/>
  <c r="BD41" i="4"/>
  <c r="BD47" i="4"/>
  <c r="BB48" i="4"/>
  <c r="BC50" i="4"/>
  <c r="BE56" i="4"/>
  <c r="M93" i="4"/>
  <c r="BD49" i="4"/>
  <c r="BD40" i="4"/>
  <c r="X43" i="4"/>
  <c r="X65" i="4" s="1"/>
  <c r="Y32" i="6" s="1"/>
  <c r="H58" i="6" s="1"/>
  <c r="BB41" i="4"/>
  <c r="AF43" i="4"/>
  <c r="AF44" i="4" s="1"/>
  <c r="AN43" i="4"/>
  <c r="AV43" i="4"/>
  <c r="AD55" i="4"/>
  <c r="AL55" i="4"/>
  <c r="AT55" i="4"/>
  <c r="BD46" i="4"/>
  <c r="BB47" i="4"/>
  <c r="AN55" i="4"/>
  <c r="BC49" i="4"/>
  <c r="AA55" i="4"/>
  <c r="BE51" i="4"/>
  <c r="F93" i="4"/>
  <c r="N93" i="4"/>
  <c r="V93" i="4"/>
  <c r="AQ55" i="4"/>
  <c r="BC56" i="4"/>
  <c r="BD39" i="4"/>
  <c r="BB40" i="4"/>
  <c r="AO43" i="4"/>
  <c r="AO64" i="4" s="1"/>
  <c r="AW43" i="4"/>
  <c r="F30" i="9" s="1"/>
  <c r="BD45" i="4"/>
  <c r="BB46" i="4"/>
  <c r="BC48" i="4"/>
  <c r="BE50" i="4"/>
  <c r="BD38" i="4"/>
  <c r="M29" i="9" s="1"/>
  <c r="BB39" i="4"/>
  <c r="BC41" i="4"/>
  <c r="AP43" i="4"/>
  <c r="AP44" i="4" s="1"/>
  <c r="AX43" i="4"/>
  <c r="AX66" i="4" s="1"/>
  <c r="BB45" i="4"/>
  <c r="BC47" i="4"/>
  <c r="BE49" i="4"/>
  <c r="BD56" i="4"/>
  <c r="H93" i="4"/>
  <c r="P93" i="4"/>
  <c r="Z94" i="8"/>
  <c r="BH48" i="8"/>
  <c r="BH90" i="8" s="1"/>
  <c r="AA94" i="8"/>
  <c r="C90" i="4"/>
  <c r="E90" i="4" s="1"/>
  <c r="C30" i="9"/>
  <c r="F28" i="4"/>
  <c r="N28" i="4"/>
  <c r="C91" i="4"/>
  <c r="K91" i="4" s="1"/>
  <c r="C31" i="9"/>
  <c r="L64" i="4"/>
  <c r="C29" i="9"/>
  <c r="K81" i="3"/>
  <c r="L81" i="3"/>
  <c r="AB16" i="3"/>
  <c r="AB19" i="3" s="1"/>
  <c r="AB20" i="3" s="1"/>
  <c r="F81" i="3"/>
  <c r="N81" i="3"/>
  <c r="AD16" i="3"/>
  <c r="AD19" i="3" s="1"/>
  <c r="AD20" i="3" s="1"/>
  <c r="AC39" i="3"/>
  <c r="AC54" i="3" s="1"/>
  <c r="AH2" i="6" s="1"/>
  <c r="AH21" i="6" s="1"/>
  <c r="U41" i="6" s="1"/>
  <c r="X31" i="3"/>
  <c r="AP39" i="3"/>
  <c r="AP54" i="3" s="1"/>
  <c r="AU2" i="6" s="1"/>
  <c r="AU21" i="6" s="1"/>
  <c r="R41" i="6" s="1"/>
  <c r="AE41" i="3"/>
  <c r="U94" i="3"/>
  <c r="AQ31" i="3"/>
  <c r="AQ73" i="3" s="1"/>
  <c r="C44" i="6" s="1"/>
  <c r="AE36" i="3"/>
  <c r="AE74" i="3" s="1"/>
  <c r="AJ9" i="6" s="1"/>
  <c r="AU41" i="3"/>
  <c r="AH42" i="3"/>
  <c r="AE43" i="3"/>
  <c r="AE72" i="3" s="1"/>
  <c r="T16" i="3"/>
  <c r="T19" i="3" s="1"/>
  <c r="T20" i="3" s="1"/>
  <c r="Q27" i="4"/>
  <c r="AT27" i="4"/>
  <c r="E27" i="4"/>
  <c r="M27" i="4"/>
  <c r="AW27" i="4"/>
  <c r="R27" i="4"/>
  <c r="R28" i="4"/>
  <c r="J28" i="4"/>
  <c r="Z27" i="4"/>
  <c r="AJ28" i="4"/>
  <c r="AF27" i="4"/>
  <c r="AX28" i="4"/>
  <c r="AH27" i="4"/>
  <c r="Q65" i="4"/>
  <c r="R33" i="6" s="1"/>
  <c r="D27" i="4"/>
  <c r="AO27" i="4"/>
  <c r="AP29" i="4"/>
  <c r="P27" i="4"/>
  <c r="AE27" i="4"/>
  <c r="AS27" i="4"/>
  <c r="AW64" i="4"/>
  <c r="G27" i="4"/>
  <c r="V27" i="4"/>
  <c r="AJ27" i="4"/>
  <c r="AX27" i="4"/>
  <c r="H27" i="4"/>
  <c r="W27" i="4"/>
  <c r="AK27" i="4"/>
  <c r="BA27" i="4"/>
  <c r="D64" i="4"/>
  <c r="AW29" i="4"/>
  <c r="W29" i="4"/>
  <c r="I27" i="4"/>
  <c r="Y27" i="4"/>
  <c r="AN27" i="4"/>
  <c r="N27" i="4"/>
  <c r="AB27" i="4"/>
  <c r="AR27" i="4"/>
  <c r="O65" i="4"/>
  <c r="P33" i="6" s="1"/>
  <c r="Z64" i="4"/>
  <c r="BN88" i="8"/>
  <c r="Z88" i="8"/>
  <c r="Z90" i="8"/>
  <c r="BH56" i="8"/>
  <c r="AA89" i="8"/>
  <c r="AA88" i="8"/>
  <c r="BH29" i="8"/>
  <c r="BH92" i="8" s="1"/>
  <c r="Z89" i="8"/>
  <c r="AA90" i="8"/>
  <c r="P48" i="6"/>
  <c r="O44" i="4"/>
  <c r="O29" i="4"/>
  <c r="T68" i="4"/>
  <c r="F7" i="4"/>
  <c r="AB29" i="4"/>
  <c r="AJ29" i="4"/>
  <c r="AR29" i="4"/>
  <c r="AZ29" i="4"/>
  <c r="AL7" i="4"/>
  <c r="AL29" i="4" s="1"/>
  <c r="E30" i="4"/>
  <c r="M30" i="4"/>
  <c r="U30" i="4"/>
  <c r="L28" i="4"/>
  <c r="AE28" i="4"/>
  <c r="AD43" i="4"/>
  <c r="AD66" i="4" s="1"/>
  <c r="AL43" i="4"/>
  <c r="AT43" i="4"/>
  <c r="AC29" i="4"/>
  <c r="AK29" i="4"/>
  <c r="AS29" i="4"/>
  <c r="BA29" i="4"/>
  <c r="V7" i="4"/>
  <c r="V44" i="4" s="1"/>
  <c r="AM7" i="4"/>
  <c r="AM29" i="4" s="1"/>
  <c r="F27" i="4"/>
  <c r="O27" i="4"/>
  <c r="X27" i="4"/>
  <c r="AG27" i="4"/>
  <c r="AP27" i="4"/>
  <c r="AZ27" i="4"/>
  <c r="O28" i="4"/>
  <c r="AH28" i="4"/>
  <c r="AZ28" i="4"/>
  <c r="W43" i="4"/>
  <c r="AU43" i="4"/>
  <c r="E30" i="9" s="1"/>
  <c r="V65" i="4"/>
  <c r="W33" i="6" s="1"/>
  <c r="AC55" i="4"/>
  <c r="AK55" i="4"/>
  <c r="AS55" i="4"/>
  <c r="BA55" i="4"/>
  <c r="I32" i="9" s="1"/>
  <c r="V68" i="4"/>
  <c r="AD7" i="4"/>
  <c r="AD29" i="4" s="1"/>
  <c r="AU7" i="4"/>
  <c r="AU29" i="4" s="1"/>
  <c r="D28" i="4"/>
  <c r="W28" i="4"/>
  <c r="AO28" i="4"/>
  <c r="AJ30" i="4"/>
  <c r="X55" i="4"/>
  <c r="AV55" i="4"/>
  <c r="AV68" i="4"/>
  <c r="I93" i="4"/>
  <c r="N65" i="4"/>
  <c r="O33" i="6" s="1"/>
  <c r="Q28" i="4"/>
  <c r="Y29" i="4"/>
  <c r="N7" i="4"/>
  <c r="AE7" i="4"/>
  <c r="AE29" i="4" s="1"/>
  <c r="J30" i="4"/>
  <c r="R30" i="4"/>
  <c r="J27" i="4"/>
  <c r="T27" i="4"/>
  <c r="AC27" i="4"/>
  <c r="AL27" i="4"/>
  <c r="AU27" i="4"/>
  <c r="G28" i="4"/>
  <c r="Y28" i="4"/>
  <c r="AP28" i="4"/>
  <c r="Y43" i="4"/>
  <c r="Y66" i="4" s="1"/>
  <c r="AG43" i="4"/>
  <c r="AG44" i="4" s="1"/>
  <c r="AA43" i="4"/>
  <c r="U93" i="4"/>
  <c r="Z29" i="4"/>
  <c r="T28" i="4"/>
  <c r="N30" i="4"/>
  <c r="AG7" i="4"/>
  <c r="AG29" i="4" s="1"/>
  <c r="AX7" i="4"/>
  <c r="AX29" i="4" s="1"/>
  <c r="L27" i="4"/>
  <c r="U27" i="4"/>
  <c r="AD27" i="4"/>
  <c r="AM27" i="4"/>
  <c r="AV27" i="4"/>
  <c r="I28" i="4"/>
  <c r="Z28" i="4"/>
  <c r="AR28" i="4"/>
  <c r="AH43" i="4"/>
  <c r="AJ43" i="4"/>
  <c r="G30" i="9" s="1"/>
  <c r="AR43" i="4"/>
  <c r="AR44" i="4" s="1"/>
  <c r="AZ43" i="4"/>
  <c r="AZ64" i="4" s="1"/>
  <c r="D68" i="4"/>
  <c r="Y93" i="4"/>
  <c r="AT7" i="4"/>
  <c r="AT29" i="4" s="1"/>
  <c r="AM28" i="4"/>
  <c r="Q29" i="4"/>
  <c r="AH29" i="4"/>
  <c r="L30" i="4"/>
  <c r="T30" i="4"/>
  <c r="AB28" i="4"/>
  <c r="AU28" i="4"/>
  <c r="AI55" i="4"/>
  <c r="AF55" i="4"/>
  <c r="J68" i="4"/>
  <c r="I29" i="4"/>
  <c r="I44" i="4"/>
  <c r="Y44" i="4"/>
  <c r="AG66" i="4"/>
  <c r="AG64" i="4"/>
  <c r="AH65" i="4"/>
  <c r="AI32" i="6" s="1"/>
  <c r="G58" i="6" s="1"/>
  <c r="AR65" i="4"/>
  <c r="AS32" i="6" s="1"/>
  <c r="AZ66" i="4"/>
  <c r="Z68" i="4"/>
  <c r="Z93" i="4"/>
  <c r="AH93" i="4"/>
  <c r="AH68" i="4"/>
  <c r="AS68" i="4"/>
  <c r="AS93" i="4"/>
  <c r="BA68" i="4"/>
  <c r="BA93" i="4"/>
  <c r="L44" i="4"/>
  <c r="L29" i="4"/>
  <c r="AS66" i="4"/>
  <c r="AS65" i="4"/>
  <c r="AT32" i="6" s="1"/>
  <c r="F58" i="6" s="1"/>
  <c r="AS64" i="4"/>
  <c r="AT65" i="4"/>
  <c r="AU32" i="6" s="1"/>
  <c r="R58" i="6" s="1"/>
  <c r="AT64" i="4"/>
  <c r="AT66" i="4"/>
  <c r="AT44" i="4"/>
  <c r="E44" i="4"/>
  <c r="E29" i="4"/>
  <c r="M44" i="4"/>
  <c r="M29" i="4"/>
  <c r="U29" i="4"/>
  <c r="U44" i="4"/>
  <c r="S30" i="4"/>
  <c r="AL30" i="4"/>
  <c r="AC43" i="4"/>
  <c r="AK43" i="4"/>
  <c r="W64" i="4"/>
  <c r="W66" i="4"/>
  <c r="W65" i="4"/>
  <c r="X32" i="6" s="1"/>
  <c r="AE43" i="4"/>
  <c r="AM43" i="4"/>
  <c r="AU65" i="4"/>
  <c r="AV32" i="6" s="1"/>
  <c r="C58" i="6" s="1"/>
  <c r="AU44" i="4"/>
  <c r="E31" i="9" s="1"/>
  <c r="Y55" i="4"/>
  <c r="AG55" i="4"/>
  <c r="AW55" i="4"/>
  <c r="F32" i="9" s="1"/>
  <c r="AX93" i="4"/>
  <c r="AX68" i="4"/>
  <c r="G29" i="4"/>
  <c r="AQ30" i="4"/>
  <c r="AF65" i="4"/>
  <c r="AG32" i="6" s="1"/>
  <c r="N58" i="6" s="1"/>
  <c r="AF64" i="4"/>
  <c r="AF66" i="4"/>
  <c r="AN65" i="4"/>
  <c r="AO32" i="6" s="1"/>
  <c r="AN64" i="4"/>
  <c r="AN44" i="4"/>
  <c r="AN66" i="4"/>
  <c r="AV65" i="4"/>
  <c r="AW32" i="6" s="1"/>
  <c r="W58" i="6" s="1"/>
  <c r="AV64" i="4"/>
  <c r="AV66" i="4"/>
  <c r="AV44" i="4"/>
  <c r="AH55" i="4"/>
  <c r="AP55" i="4"/>
  <c r="AX55" i="4"/>
  <c r="T44" i="4"/>
  <c r="T29" i="4"/>
  <c r="AQ93" i="4"/>
  <c r="AQ68" i="4"/>
  <c r="AR30" i="4"/>
  <c r="H28" i="4"/>
  <c r="H7" i="4"/>
  <c r="P28" i="4"/>
  <c r="P7" i="4"/>
  <c r="X28" i="4"/>
  <c r="Y30" i="4"/>
  <c r="X7" i="4"/>
  <c r="X29" i="4" s="1"/>
  <c r="AF28" i="4"/>
  <c r="AG30" i="4"/>
  <c r="AF7" i="4"/>
  <c r="AF29" i="4" s="1"/>
  <c r="AN28" i="4"/>
  <c r="AO30" i="4"/>
  <c r="AN7" i="4"/>
  <c r="AN29" i="4" s="1"/>
  <c r="AV28" i="4"/>
  <c r="AW30" i="4"/>
  <c r="AV7" i="4"/>
  <c r="AV29" i="4" s="1"/>
  <c r="AO7" i="4"/>
  <c r="AO29" i="4" s="1"/>
  <c r="D30" i="4"/>
  <c r="AA30" i="4"/>
  <c r="AO31" i="4"/>
  <c r="I64" i="4"/>
  <c r="Q66" i="4"/>
  <c r="Q64" i="4"/>
  <c r="W44" i="4"/>
  <c r="AS44" i="4"/>
  <c r="AB55" i="4"/>
  <c r="AJ55" i="4"/>
  <c r="G32" i="9" s="1"/>
  <c r="AR55" i="4"/>
  <c r="AZ55" i="4"/>
  <c r="I66" i="4"/>
  <c r="AP93" i="4"/>
  <c r="AA93" i="4"/>
  <c r="AA68" i="4"/>
  <c r="C67" i="4"/>
  <c r="AV30" i="4"/>
  <c r="AN30" i="4"/>
  <c r="AF30" i="4"/>
  <c r="X30" i="4"/>
  <c r="Z66" i="4"/>
  <c r="Z65" i="4"/>
  <c r="AA32" i="6" s="1"/>
  <c r="AH30" i="4"/>
  <c r="AG28" i="4"/>
  <c r="F30" i="4"/>
  <c r="AB30" i="4"/>
  <c r="AI43" i="4"/>
  <c r="AQ43" i="4"/>
  <c r="AY43" i="4"/>
  <c r="J65" i="4"/>
  <c r="K33" i="6" s="1"/>
  <c r="J66" i="4"/>
  <c r="J64" i="4"/>
  <c r="R65" i="4"/>
  <c r="S33" i="6" s="1"/>
  <c r="R66" i="4"/>
  <c r="R64" i="4"/>
  <c r="V66" i="4"/>
  <c r="AI93" i="4"/>
  <c r="AI68" i="4"/>
  <c r="Q44" i="4"/>
  <c r="AX30" i="4"/>
  <c r="AK93" i="4"/>
  <c r="AK68" i="4"/>
  <c r="AW28" i="4"/>
  <c r="H30" i="4"/>
  <c r="AZ30" i="4"/>
  <c r="Z44" i="4"/>
  <c r="AO55" i="4"/>
  <c r="I65" i="4"/>
  <c r="J33" i="6" s="1"/>
  <c r="D44" i="4"/>
  <c r="D29" i="4"/>
  <c r="BA66" i="4"/>
  <c r="BA64" i="4"/>
  <c r="BA65" i="4"/>
  <c r="BB32" i="6" s="1"/>
  <c r="M58" i="6" s="1"/>
  <c r="BA44" i="4"/>
  <c r="I31" i="9" s="1"/>
  <c r="AL65" i="4"/>
  <c r="AM32" i="6" s="1"/>
  <c r="AL64" i="4"/>
  <c r="AL66" i="4"/>
  <c r="AL44" i="4"/>
  <c r="AY93" i="4"/>
  <c r="AY68" i="4"/>
  <c r="V30" i="4"/>
  <c r="AW65" i="4"/>
  <c r="AX32" i="6" s="1"/>
  <c r="D58" i="6" s="1"/>
  <c r="AW44" i="4"/>
  <c r="F31" i="9" s="1"/>
  <c r="AW66" i="4"/>
  <c r="Z30" i="4"/>
  <c r="AP30" i="4"/>
  <c r="G30" i="4"/>
  <c r="O30" i="4"/>
  <c r="AC93" i="4"/>
  <c r="AC68" i="4"/>
  <c r="AY30" i="4"/>
  <c r="P30" i="4"/>
  <c r="K30" i="4"/>
  <c r="AD30" i="4"/>
  <c r="Y31" i="4"/>
  <c r="K7" i="4"/>
  <c r="K28" i="4"/>
  <c r="S7" i="4"/>
  <c r="S28" i="4"/>
  <c r="AA7" i="4"/>
  <c r="AA29" i="4" s="1"/>
  <c r="AA28" i="4"/>
  <c r="AI7" i="4"/>
  <c r="AI29" i="4" s="1"/>
  <c r="AI28" i="4"/>
  <c r="AQ7" i="4"/>
  <c r="AQ29" i="4" s="1"/>
  <c r="AQ28" i="4"/>
  <c r="AY7" i="4"/>
  <c r="AY29" i="4" s="1"/>
  <c r="AY28" i="4"/>
  <c r="I30" i="4"/>
  <c r="Q30" i="4"/>
  <c r="V29" i="4"/>
  <c r="AI30" i="4"/>
  <c r="Z31" i="4"/>
  <c r="AW31" i="4"/>
  <c r="D65" i="4"/>
  <c r="E33" i="6" s="1"/>
  <c r="D66" i="4"/>
  <c r="L65" i="4"/>
  <c r="M33" i="6" s="1"/>
  <c r="L66" i="4"/>
  <c r="T65" i="4"/>
  <c r="U33" i="6" s="1"/>
  <c r="T66" i="4"/>
  <c r="T64" i="4"/>
  <c r="W55" i="4"/>
  <c r="AE55" i="4"/>
  <c r="AM55" i="4"/>
  <c r="AU55" i="4"/>
  <c r="E32" i="9" s="1"/>
  <c r="R93" i="4"/>
  <c r="R68" i="4"/>
  <c r="AU66" i="4"/>
  <c r="AJ93" i="4"/>
  <c r="AJ68" i="4"/>
  <c r="AR93" i="4"/>
  <c r="AR68" i="4"/>
  <c r="AZ93" i="4"/>
  <c r="AZ68" i="4"/>
  <c r="AC30" i="4"/>
  <c r="AK30" i="4"/>
  <c r="AS30" i="4"/>
  <c r="BA30" i="4"/>
  <c r="K65" i="4"/>
  <c r="L33" i="6" s="1"/>
  <c r="K66" i="4"/>
  <c r="K64" i="4"/>
  <c r="S65" i="4"/>
  <c r="T33" i="6" s="1"/>
  <c r="S64" i="4"/>
  <c r="AD93" i="4"/>
  <c r="AD68" i="4"/>
  <c r="E28" i="4"/>
  <c r="M28" i="4"/>
  <c r="U28" i="4"/>
  <c r="AC28" i="4"/>
  <c r="AK28" i="4"/>
  <c r="AS28" i="4"/>
  <c r="BA28" i="4"/>
  <c r="J29" i="4"/>
  <c r="R29" i="4"/>
  <c r="W30" i="4"/>
  <c r="AE30" i="4"/>
  <c r="AM30" i="4"/>
  <c r="AU30" i="4"/>
  <c r="AC31" i="4"/>
  <c r="AK31" i="4"/>
  <c r="AS31" i="4"/>
  <c r="BA31" i="4"/>
  <c r="E66" i="4"/>
  <c r="E65" i="4"/>
  <c r="F33" i="6" s="1"/>
  <c r="E64" i="4"/>
  <c r="M66" i="4"/>
  <c r="M65" i="4"/>
  <c r="N33" i="6" s="1"/>
  <c r="P58" i="6" s="1"/>
  <c r="M64" i="4"/>
  <c r="U66" i="4"/>
  <c r="U65" i="4"/>
  <c r="V33" i="6" s="1"/>
  <c r="U64" i="4"/>
  <c r="K68" i="4"/>
  <c r="W93" i="4"/>
  <c r="W68" i="4"/>
  <c r="AE93" i="4"/>
  <c r="AE68" i="4"/>
  <c r="AM93" i="4"/>
  <c r="AM68" i="4"/>
  <c r="AU93" i="4"/>
  <c r="AU68" i="4"/>
  <c r="V28" i="4"/>
  <c r="AD28" i="4"/>
  <c r="AL28" i="4"/>
  <c r="AT28" i="4"/>
  <c r="AD31" i="4"/>
  <c r="AL31" i="4"/>
  <c r="AT31" i="4"/>
  <c r="F66" i="4"/>
  <c r="F64" i="4"/>
  <c r="N64" i="4"/>
  <c r="N66" i="4"/>
  <c r="V64" i="4"/>
  <c r="M68" i="4"/>
  <c r="AL68" i="4"/>
  <c r="X93" i="4"/>
  <c r="X68" i="4"/>
  <c r="AN93" i="4"/>
  <c r="AN68" i="4"/>
  <c r="G66" i="4"/>
  <c r="G64" i="4"/>
  <c r="O64" i="4"/>
  <c r="O66" i="4"/>
  <c r="E68" i="4"/>
  <c r="E93" i="4"/>
  <c r="F65" i="4"/>
  <c r="G33" i="6" s="1"/>
  <c r="S68" i="4"/>
  <c r="AO68" i="4"/>
  <c r="AG93" i="4"/>
  <c r="AG68" i="4"/>
  <c r="AW93" i="4"/>
  <c r="AW68" i="4"/>
  <c r="K27" i="4"/>
  <c r="S27" i="4"/>
  <c r="AA27" i="4"/>
  <c r="AI27" i="4"/>
  <c r="AQ27" i="4"/>
  <c r="H66" i="4"/>
  <c r="H64" i="4"/>
  <c r="H65" i="4"/>
  <c r="I33" i="6" s="1"/>
  <c r="P64" i="4"/>
  <c r="P66" i="4"/>
  <c r="P65" i="4"/>
  <c r="Q33" i="6" s="1"/>
  <c r="G65" i="4"/>
  <c r="H33" i="6" s="1"/>
  <c r="S66" i="4"/>
  <c r="AT68" i="4"/>
  <c r="L68" i="4"/>
  <c r="C89" i="4"/>
  <c r="N68" i="4"/>
  <c r="G93" i="4"/>
  <c r="G68" i="4"/>
  <c r="O93" i="4"/>
  <c r="O68" i="4"/>
  <c r="F68" i="4"/>
  <c r="P68" i="4"/>
  <c r="H68" i="4"/>
  <c r="Q68" i="4"/>
  <c r="AN43" i="3"/>
  <c r="AN72" i="3" s="1"/>
  <c r="AN42" i="3"/>
  <c r="AN41" i="3"/>
  <c r="AN40" i="3"/>
  <c r="AN39" i="3"/>
  <c r="AN54" i="3" s="1"/>
  <c r="AS2" i="6" s="1"/>
  <c r="AS21" i="6" s="1"/>
  <c r="T8" i="3"/>
  <c r="T9" i="3" s="1"/>
  <c r="J8" i="3"/>
  <c r="J9" i="3" s="1"/>
  <c r="AU9" i="3"/>
  <c r="G20" i="3"/>
  <c r="F94" i="3"/>
  <c r="F83" i="3"/>
  <c r="N94" i="3"/>
  <c r="N83" i="3"/>
  <c r="Y16" i="3"/>
  <c r="Y31" i="3"/>
  <c r="Y73" i="3" s="1"/>
  <c r="O44" i="6" s="1"/>
  <c r="AD8" i="3"/>
  <c r="AD9" i="3" s="1"/>
  <c r="AL8" i="3"/>
  <c r="AL9" i="3" s="1"/>
  <c r="AT8" i="3"/>
  <c r="AT9" i="3" s="1"/>
  <c r="K8" i="3"/>
  <c r="K9" i="3" s="1"/>
  <c r="X8" i="3"/>
  <c r="X9" i="3" s="1"/>
  <c r="AE9" i="3"/>
  <c r="I19" i="3"/>
  <c r="I20" i="3" s="1"/>
  <c r="AJ43" i="3"/>
  <c r="AJ72" i="3" s="1"/>
  <c r="AJ42" i="3"/>
  <c r="AJ41" i="3"/>
  <c r="AJ40" i="3"/>
  <c r="AJ39" i="3"/>
  <c r="AJ54" i="3" s="1"/>
  <c r="AO2" i="6" s="1"/>
  <c r="AO21" i="6" s="1"/>
  <c r="AC31" i="3"/>
  <c r="AC73" i="3" s="1"/>
  <c r="U44" i="6" s="1"/>
  <c r="AC16" i="3"/>
  <c r="V36" i="3"/>
  <c r="V74" i="3" s="1"/>
  <c r="AA9" i="6" s="1"/>
  <c r="AD36" i="3"/>
  <c r="AL36" i="3"/>
  <c r="AL74" i="3" s="1"/>
  <c r="AQ9" i="6" s="1"/>
  <c r="L52" i="6" s="1"/>
  <c r="AT36" i="3"/>
  <c r="AT74" i="3" s="1"/>
  <c r="AY9" i="6" s="1"/>
  <c r="AL16" i="3"/>
  <c r="E20" i="3"/>
  <c r="X43" i="3"/>
  <c r="X72" i="3" s="1"/>
  <c r="V43" i="6" s="1"/>
  <c r="X42" i="3"/>
  <c r="X41" i="3"/>
  <c r="X40" i="3"/>
  <c r="X39" i="3"/>
  <c r="X54" i="3" s="1"/>
  <c r="AC2" i="6" s="1"/>
  <c r="AC21" i="6" s="1"/>
  <c r="V41" i="6" s="1"/>
  <c r="AR9" i="3"/>
  <c r="AR43" i="3"/>
  <c r="AR72" i="3" s="1"/>
  <c r="W43" i="6" s="1"/>
  <c r="AR42" i="3"/>
  <c r="AR41" i="3"/>
  <c r="AR40" i="3"/>
  <c r="AR39" i="3"/>
  <c r="AR54" i="3" s="1"/>
  <c r="AW2" i="6" s="1"/>
  <c r="AW21" i="6" s="1"/>
  <c r="W41" i="6" s="1"/>
  <c r="AJ8" i="3"/>
  <c r="AJ9" i="3" s="1"/>
  <c r="M19" i="3"/>
  <c r="M20" i="3" s="1"/>
  <c r="D94" i="3"/>
  <c r="D83" i="3"/>
  <c r="AV43" i="3"/>
  <c r="AV72" i="3" s="1"/>
  <c r="AV42" i="3"/>
  <c r="AV41" i="3"/>
  <c r="AV40" i="3"/>
  <c r="AV39" i="3"/>
  <c r="AV54" i="3" s="1"/>
  <c r="BA2" i="6" s="1"/>
  <c r="BA21" i="6" s="1"/>
  <c r="T43" i="3"/>
  <c r="T42" i="3"/>
  <c r="T41" i="3"/>
  <c r="T40" i="3"/>
  <c r="T39" i="3"/>
  <c r="U31" i="3"/>
  <c r="U73" i="3" s="1"/>
  <c r="U16" i="3"/>
  <c r="AS31" i="3"/>
  <c r="AS73" i="3" s="1"/>
  <c r="D44" i="6" s="1"/>
  <c r="AS16" i="3"/>
  <c r="O8" i="3"/>
  <c r="O9" i="3" s="1"/>
  <c r="AV8" i="3"/>
  <c r="AV9" i="3" s="1"/>
  <c r="AG9" i="3"/>
  <c r="AW8" i="3"/>
  <c r="AW9" i="3" s="1"/>
  <c r="V43" i="3"/>
  <c r="V72" i="3" s="1"/>
  <c r="V40" i="3"/>
  <c r="V39" i="3"/>
  <c r="V54" i="3" s="1"/>
  <c r="AA2" i="6" s="1"/>
  <c r="AA21" i="6" s="1"/>
  <c r="V41" i="3"/>
  <c r="V42" i="3"/>
  <c r="AD43" i="3"/>
  <c r="AD41" i="3"/>
  <c r="AD42" i="3"/>
  <c r="AD39" i="3"/>
  <c r="AT43" i="3"/>
  <c r="AT72" i="3" s="1"/>
  <c r="AT42" i="3"/>
  <c r="AT41" i="3"/>
  <c r="AT39" i="3"/>
  <c r="AT54" i="3" s="1"/>
  <c r="AY2" i="6" s="1"/>
  <c r="AY21" i="6" s="1"/>
  <c r="W31" i="3"/>
  <c r="W73" i="3" s="1"/>
  <c r="S44" i="6" s="1"/>
  <c r="W16" i="3"/>
  <c r="AE31" i="3"/>
  <c r="AE73" i="3" s="1"/>
  <c r="Y43" i="6" s="1"/>
  <c r="AE16" i="3"/>
  <c r="AM31" i="3"/>
  <c r="AM73" i="3" s="1"/>
  <c r="AM16" i="3"/>
  <c r="AU31" i="3"/>
  <c r="AU73" i="3" s="1"/>
  <c r="T44" i="6" s="1"/>
  <c r="AU16" i="3"/>
  <c r="X36" i="3"/>
  <c r="AF36" i="3"/>
  <c r="AF74" i="3" s="1"/>
  <c r="AK9" i="6" s="1"/>
  <c r="E52" i="6" s="1"/>
  <c r="AN36" i="3"/>
  <c r="AN74" i="3" s="1"/>
  <c r="AS9" i="6" s="1"/>
  <c r="AV36" i="3"/>
  <c r="AV74" i="3" s="1"/>
  <c r="BA9" i="6" s="1"/>
  <c r="V16" i="3"/>
  <c r="K20" i="3"/>
  <c r="AG16" i="3"/>
  <c r="AB9" i="3"/>
  <c r="AB84" i="3"/>
  <c r="AB43" i="3"/>
  <c r="AB72" i="3" s="1"/>
  <c r="N43" i="6" s="1"/>
  <c r="AB42" i="3"/>
  <c r="AB41" i="3"/>
  <c r="AB40" i="3"/>
  <c r="AB39" i="3"/>
  <c r="AB54" i="3" s="1"/>
  <c r="AG2" i="6" s="1"/>
  <c r="AG21" i="6" s="1"/>
  <c r="N41" i="6" s="1"/>
  <c r="AK31" i="3"/>
  <c r="AK73" i="3" s="1"/>
  <c r="AK16" i="3"/>
  <c r="AF9" i="3"/>
  <c r="M9" i="3"/>
  <c r="Y9" i="3"/>
  <c r="AO9" i="3"/>
  <c r="AK8" i="3"/>
  <c r="AK9" i="3" s="1"/>
  <c r="N9" i="3"/>
  <c r="W9" i="3"/>
  <c r="AL43" i="3"/>
  <c r="AL72" i="3" s="1"/>
  <c r="L43" i="6" s="1"/>
  <c r="AL42" i="3"/>
  <c r="AL39" i="3"/>
  <c r="AL54" i="3" s="1"/>
  <c r="AQ2" i="6" s="1"/>
  <c r="AQ21" i="6" s="1"/>
  <c r="L41" i="6" s="1"/>
  <c r="AL40" i="3"/>
  <c r="AL41" i="3"/>
  <c r="I9" i="3"/>
  <c r="Z9" i="3"/>
  <c r="AH9" i="3"/>
  <c r="AP9" i="3"/>
  <c r="AN8" i="3"/>
  <c r="AN9" i="3" s="1"/>
  <c r="E9" i="3"/>
  <c r="AM9" i="3"/>
  <c r="AT16" i="3"/>
  <c r="AD40" i="3"/>
  <c r="AF43" i="3"/>
  <c r="AF72" i="3" s="1"/>
  <c r="E43" i="6" s="1"/>
  <c r="AF42" i="3"/>
  <c r="AF41" i="3"/>
  <c r="AF40" i="3"/>
  <c r="AF39" i="3"/>
  <c r="AF54" i="3" s="1"/>
  <c r="AK2" i="6" s="1"/>
  <c r="AK21" i="6" s="1"/>
  <c r="E41" i="6" s="1"/>
  <c r="AO31" i="3"/>
  <c r="AO73" i="3" s="1"/>
  <c r="F44" i="6" s="1"/>
  <c r="AO16" i="3"/>
  <c r="AW31" i="3"/>
  <c r="AW73" i="3" s="1"/>
  <c r="M44" i="6" s="1"/>
  <c r="AW16" i="3"/>
  <c r="Z36" i="3"/>
  <c r="Z74" i="3" s="1"/>
  <c r="AE9" i="6" s="1"/>
  <c r="AH36" i="3"/>
  <c r="AH74" i="3" s="1"/>
  <c r="AM9" i="6" s="1"/>
  <c r="AP36" i="3"/>
  <c r="AP74" i="3" s="1"/>
  <c r="AU9" i="6" s="1"/>
  <c r="R52" i="6" s="1"/>
  <c r="AT40" i="3"/>
  <c r="Y36" i="3"/>
  <c r="Y74" i="3" s="1"/>
  <c r="AD9" i="6" s="1"/>
  <c r="O52" i="6" s="1"/>
  <c r="AG36" i="3"/>
  <c r="AG74" i="3" s="1"/>
  <c r="AL9" i="6" s="1"/>
  <c r="J52" i="6" s="1"/>
  <c r="AO36" i="3"/>
  <c r="AO74" i="3" s="1"/>
  <c r="AT9" i="6" s="1"/>
  <c r="F52" i="6" s="1"/>
  <c r="AW36" i="3"/>
  <c r="AW74" i="3" s="1"/>
  <c r="BB9" i="6" s="1"/>
  <c r="M52" i="6" s="1"/>
  <c r="L20" i="3"/>
  <c r="AI31" i="3"/>
  <c r="AR31" i="3"/>
  <c r="AR73" i="3" s="1"/>
  <c r="W44" i="6" s="1"/>
  <c r="G94" i="3"/>
  <c r="G83" i="3"/>
  <c r="O94" i="3"/>
  <c r="O83" i="3"/>
  <c r="AS39" i="3"/>
  <c r="AS54" i="3" s="1"/>
  <c r="AX2" i="6" s="1"/>
  <c r="AX21" i="6" s="1"/>
  <c r="D41" i="6" s="1"/>
  <c r="AE40" i="3"/>
  <c r="AU40" i="3"/>
  <c r="AH41" i="3"/>
  <c r="U42" i="3"/>
  <c r="AK42" i="3"/>
  <c r="AM43" i="3"/>
  <c r="AM72" i="3" s="1"/>
  <c r="AA31" i="3"/>
  <c r="AA73" i="3" s="1"/>
  <c r="Q44" i="6" s="1"/>
  <c r="AJ31" i="3"/>
  <c r="AJ73" i="3" s="1"/>
  <c r="C74" i="3"/>
  <c r="C9" i="6" s="1"/>
  <c r="D9" i="6" s="1"/>
  <c r="Q36" i="3"/>
  <c r="Q74" i="3" s="1"/>
  <c r="R9" i="6" s="1"/>
  <c r="I36" i="3"/>
  <c r="I74" i="3" s="1"/>
  <c r="J9" i="6" s="1"/>
  <c r="P36" i="3"/>
  <c r="P74" i="3" s="1"/>
  <c r="Q9" i="6" s="1"/>
  <c r="H36" i="3"/>
  <c r="H74" i="3" s="1"/>
  <c r="I9" i="6" s="1"/>
  <c r="M36" i="3"/>
  <c r="H94" i="3"/>
  <c r="H83" i="3"/>
  <c r="P94" i="3"/>
  <c r="P83" i="3"/>
  <c r="AE39" i="3"/>
  <c r="AE54" i="3" s="1"/>
  <c r="AH40" i="3"/>
  <c r="U41" i="3"/>
  <c r="AK41" i="3"/>
  <c r="AM42" i="3"/>
  <c r="AU43" i="3"/>
  <c r="AU72" i="3" s="1"/>
  <c r="T43" i="6" s="1"/>
  <c r="Y43" i="3"/>
  <c r="Y72" i="3" s="1"/>
  <c r="O43" i="6" s="1"/>
  <c r="Y42" i="3"/>
  <c r="Y41" i="3"/>
  <c r="Y40" i="3"/>
  <c r="Y39" i="3"/>
  <c r="Y54" i="3" s="1"/>
  <c r="AD2" i="6" s="1"/>
  <c r="AD21" i="6" s="1"/>
  <c r="O41" i="6" s="1"/>
  <c r="AG43" i="3"/>
  <c r="AG72" i="3" s="1"/>
  <c r="J43" i="6" s="1"/>
  <c r="AG42" i="3"/>
  <c r="AG41" i="3"/>
  <c r="AG40" i="3"/>
  <c r="AG39" i="3"/>
  <c r="AG54" i="3" s="1"/>
  <c r="AL2" i="6" s="1"/>
  <c r="AL21" i="6" s="1"/>
  <c r="J41" i="6" s="1"/>
  <c r="AO43" i="3"/>
  <c r="AO72" i="3" s="1"/>
  <c r="F43" i="6" s="1"/>
  <c r="AO42" i="3"/>
  <c r="AO41" i="3"/>
  <c r="AO40" i="3"/>
  <c r="AO39" i="3"/>
  <c r="AO54" i="3" s="1"/>
  <c r="AT2" i="6" s="1"/>
  <c r="AT21" i="6" s="1"/>
  <c r="F41" i="6" s="1"/>
  <c r="AW84" i="3"/>
  <c r="AW43" i="3"/>
  <c r="AW72" i="3" s="1"/>
  <c r="M43" i="6" s="1"/>
  <c r="AW42" i="3"/>
  <c r="AW41" i="3"/>
  <c r="AW40" i="3"/>
  <c r="AW39" i="3"/>
  <c r="AW54" i="3" s="1"/>
  <c r="BB2" i="6" s="1"/>
  <c r="BB21" i="6" s="1"/>
  <c r="M41" i="6" s="1"/>
  <c r="Z31" i="3"/>
  <c r="Z73" i="3" s="1"/>
  <c r="AH31" i="3"/>
  <c r="AH73" i="3" s="1"/>
  <c r="AP31" i="3"/>
  <c r="AP73" i="3" s="1"/>
  <c r="R44" i="6" s="1"/>
  <c r="F20" i="3"/>
  <c r="N20" i="3"/>
  <c r="S31" i="3"/>
  <c r="S73" i="3" s="1"/>
  <c r="AB31" i="3"/>
  <c r="AB73" i="3" s="1"/>
  <c r="N44" i="6" s="1"/>
  <c r="AT31" i="3"/>
  <c r="AT73" i="3" s="1"/>
  <c r="D36" i="3"/>
  <c r="D74" i="3" s="1"/>
  <c r="N36" i="3"/>
  <c r="N74" i="3" s="1"/>
  <c r="O9" i="6" s="1"/>
  <c r="I94" i="3"/>
  <c r="I83" i="3"/>
  <c r="Q94" i="3"/>
  <c r="Q83" i="3"/>
  <c r="U39" i="3"/>
  <c r="U54" i="3" s="1"/>
  <c r="Z2" i="6" s="1"/>
  <c r="Z21" i="6" s="1"/>
  <c r="AU39" i="3"/>
  <c r="AU54" i="3" s="1"/>
  <c r="U40" i="3"/>
  <c r="AK40" i="3"/>
  <c r="W42" i="3"/>
  <c r="BD42" i="3" s="1"/>
  <c r="AH43" i="3"/>
  <c r="AH72" i="3" s="1"/>
  <c r="AP43" i="3"/>
  <c r="AP72" i="3" s="1"/>
  <c r="R43" i="6" s="1"/>
  <c r="X16" i="3"/>
  <c r="AF16" i="3"/>
  <c r="AN16" i="3"/>
  <c r="AV16" i="3"/>
  <c r="T31" i="3"/>
  <c r="AL31" i="3"/>
  <c r="AL73" i="3" s="1"/>
  <c r="L44" i="6" s="1"/>
  <c r="E36" i="3"/>
  <c r="O36" i="3"/>
  <c r="O74" i="3" s="1"/>
  <c r="P9" i="6" s="1"/>
  <c r="AA36" i="3"/>
  <c r="AA74" i="3" s="1"/>
  <c r="AF9" i="6" s="1"/>
  <c r="Q52" i="6" s="1"/>
  <c r="AH39" i="3"/>
  <c r="AH54" i="3" s="1"/>
  <c r="AM2" i="6" s="1"/>
  <c r="AM21" i="6" s="1"/>
  <c r="W41" i="3"/>
  <c r="BD41" i="3" s="1"/>
  <c r="AM41" i="3"/>
  <c r="Z42" i="3"/>
  <c r="AS42" i="3"/>
  <c r="S43" i="3"/>
  <c r="S72" i="3" s="1"/>
  <c r="S42" i="3"/>
  <c r="S41" i="3"/>
  <c r="S40" i="3"/>
  <c r="S39" i="3"/>
  <c r="S54" i="3" s="1"/>
  <c r="X2" i="6" s="1"/>
  <c r="X21" i="6" s="1"/>
  <c r="AA43" i="3"/>
  <c r="AA72" i="3" s="1"/>
  <c r="Q43" i="6" s="1"/>
  <c r="AA42" i="3"/>
  <c r="AA41" i="3"/>
  <c r="AA40" i="3"/>
  <c r="AA39" i="3"/>
  <c r="AA54" i="3" s="1"/>
  <c r="AF2" i="6" s="1"/>
  <c r="AF21" i="6" s="1"/>
  <c r="Q41" i="6" s="1"/>
  <c r="AI43" i="3"/>
  <c r="AI72" i="3" s="1"/>
  <c r="I43" i="6" s="1"/>
  <c r="AI42" i="3"/>
  <c r="AI41" i="3"/>
  <c r="AI40" i="3"/>
  <c r="AI39" i="3"/>
  <c r="AI54" i="3" s="1"/>
  <c r="AN2" i="6" s="1"/>
  <c r="AN21" i="6" s="1"/>
  <c r="I41" i="6" s="1"/>
  <c r="AQ43" i="3"/>
  <c r="AQ72" i="3" s="1"/>
  <c r="C43" i="6" s="1"/>
  <c r="AQ42" i="3"/>
  <c r="AQ41" i="3"/>
  <c r="AQ40" i="3"/>
  <c r="AQ39" i="3"/>
  <c r="AQ54" i="3" s="1"/>
  <c r="AV2" i="6" s="1"/>
  <c r="AV21" i="6" s="1"/>
  <c r="C41" i="6" s="1"/>
  <c r="E73" i="3"/>
  <c r="M81" i="3"/>
  <c r="AD31" i="3"/>
  <c r="BC31" i="3" s="1"/>
  <c r="AV31" i="3"/>
  <c r="AV73" i="3" s="1"/>
  <c r="X43" i="6" s="1"/>
  <c r="F36" i="3"/>
  <c r="F74" i="3" s="1"/>
  <c r="F9" i="6" s="1"/>
  <c r="R36" i="3"/>
  <c r="R74" i="3" s="1"/>
  <c r="AB36" i="3"/>
  <c r="AB74" i="3" s="1"/>
  <c r="AG9" i="6" s="1"/>
  <c r="N52" i="6" s="1"/>
  <c r="K94" i="3"/>
  <c r="K83" i="3"/>
  <c r="W39" i="3"/>
  <c r="W40" i="3"/>
  <c r="BD40" i="3" s="1"/>
  <c r="AM40" i="3"/>
  <c r="Z41" i="3"/>
  <c r="AP41" i="3"/>
  <c r="AC42" i="3"/>
  <c r="AU42" i="3"/>
  <c r="V31" i="3"/>
  <c r="V73" i="3" s="1"/>
  <c r="AN31" i="3"/>
  <c r="AN73" i="3" s="1"/>
  <c r="G36" i="3"/>
  <c r="G74" i="3" s="1"/>
  <c r="G9" i="6" s="1"/>
  <c r="S36" i="3"/>
  <c r="S74" i="3" s="1"/>
  <c r="X9" i="6" s="1"/>
  <c r="AC36" i="3"/>
  <c r="AC74" i="3" s="1"/>
  <c r="AH9" i="6" s="1"/>
  <c r="U52" i="6" s="1"/>
  <c r="L94" i="3"/>
  <c r="L83" i="3"/>
  <c r="Z40" i="3"/>
  <c r="AP40" i="3"/>
  <c r="W43" i="3"/>
  <c r="U43" i="3"/>
  <c r="U72" i="3" s="1"/>
  <c r="AC43" i="3"/>
  <c r="AC72" i="3" s="1"/>
  <c r="U43" i="6" s="1"/>
  <c r="AK43" i="3"/>
  <c r="AK72" i="3" s="1"/>
  <c r="AS43" i="3"/>
  <c r="AS72" i="3" s="1"/>
  <c r="D43" i="6" s="1"/>
  <c r="S16" i="3"/>
  <c r="AA16" i="3"/>
  <c r="AI16" i="3"/>
  <c r="AQ16" i="3"/>
  <c r="AF31" i="3"/>
  <c r="AF73" i="3" s="1"/>
  <c r="E44" i="6" s="1"/>
  <c r="J36" i="3"/>
  <c r="J74" i="3" s="1"/>
  <c r="K9" i="6" s="1"/>
  <c r="T36" i="3"/>
  <c r="E94" i="3"/>
  <c r="E83" i="3"/>
  <c r="M94" i="3"/>
  <c r="M83" i="3"/>
  <c r="Z39" i="3"/>
  <c r="Z54" i="3" s="1"/>
  <c r="AM39" i="3"/>
  <c r="AM54" i="3" s="1"/>
  <c r="AR2" i="6" s="1"/>
  <c r="AR21" i="6" s="1"/>
  <c r="AC40" i="3"/>
  <c r="AS40" i="3"/>
  <c r="AE42" i="3"/>
  <c r="Z43" i="3"/>
  <c r="Z72" i="3" s="1"/>
  <c r="T94" i="3"/>
  <c r="T83" i="3"/>
  <c r="AB94" i="3"/>
  <c r="AB83" i="3"/>
  <c r="AJ94" i="3"/>
  <c r="AJ83" i="3"/>
  <c r="AR94" i="3"/>
  <c r="AR83" i="3"/>
  <c r="AC83" i="3"/>
  <c r="AC94" i="3"/>
  <c r="AS94" i="3"/>
  <c r="AS83" i="3"/>
  <c r="X83" i="3"/>
  <c r="J81" i="3"/>
  <c r="R81" i="3"/>
  <c r="AK83" i="3"/>
  <c r="J94" i="3"/>
  <c r="J83" i="3"/>
  <c r="AW83" i="3"/>
  <c r="AF94" i="3"/>
  <c r="AF83" i="3"/>
  <c r="AN94" i="3"/>
  <c r="AN83" i="3"/>
  <c r="AV94" i="3"/>
  <c r="AV83" i="3"/>
  <c r="Y94" i="3"/>
  <c r="Y83" i="3"/>
  <c r="AG94" i="3"/>
  <c r="AG83" i="3"/>
  <c r="AO94" i="3"/>
  <c r="AO83" i="3"/>
  <c r="V94" i="3"/>
  <c r="V83" i="3"/>
  <c r="AD94" i="3"/>
  <c r="AD83" i="3"/>
  <c r="AL94" i="3"/>
  <c r="AL83" i="3"/>
  <c r="AT94" i="3"/>
  <c r="AT83" i="3"/>
  <c r="AM83" i="3"/>
  <c r="W94" i="3"/>
  <c r="AE94" i="3"/>
  <c r="R94" i="3"/>
  <c r="R83" i="3"/>
  <c r="Z94" i="3"/>
  <c r="Z83" i="3"/>
  <c r="AH94" i="3"/>
  <c r="AH83" i="3"/>
  <c r="AP94" i="3"/>
  <c r="AP83" i="3"/>
  <c r="C94" i="3"/>
  <c r="C83" i="3"/>
  <c r="S94" i="3"/>
  <c r="S83" i="3"/>
  <c r="AA94" i="3"/>
  <c r="AA83" i="3"/>
  <c r="AI94" i="3"/>
  <c r="AI83" i="3"/>
  <c r="AQ94" i="3"/>
  <c r="AQ83" i="3"/>
  <c r="AU83" i="3"/>
  <c r="M4" i="2"/>
  <c r="N4" i="2" s="1"/>
  <c r="M9" i="2"/>
  <c r="N9" i="2" s="1"/>
  <c r="P32" i="2"/>
  <c r="Q33" i="2" s="1"/>
  <c r="M34" i="2"/>
  <c r="M5" i="2"/>
  <c r="M11" i="2"/>
  <c r="N11" i="2" s="1"/>
  <c r="P37" i="2"/>
  <c r="M40" i="2"/>
  <c r="N40" i="2" s="1"/>
  <c r="M35" i="2"/>
  <c r="O35" i="2" s="1"/>
  <c r="M2" i="2"/>
  <c r="M32" i="2"/>
  <c r="B29" i="9" s="1"/>
  <c r="M16" i="2"/>
  <c r="O16" i="2" s="1"/>
  <c r="M39" i="2"/>
  <c r="N39" i="2" s="1"/>
  <c r="M17" i="2"/>
  <c r="O17" i="2" s="1"/>
  <c r="M6" i="2"/>
  <c r="M36" i="2"/>
  <c r="B32" i="9" s="1"/>
  <c r="N33" i="2"/>
  <c r="O33" i="2"/>
  <c r="N13" i="2"/>
  <c r="O13" i="2"/>
  <c r="O9" i="2"/>
  <c r="M3" i="2"/>
  <c r="M37" i="2"/>
  <c r="N35" i="2"/>
  <c r="BH91" i="8" l="1"/>
  <c r="T48" i="6"/>
  <c r="M74" i="3"/>
  <c r="N9" i="6" s="1"/>
  <c r="P52" i="6" s="1"/>
  <c r="BA36" i="3"/>
  <c r="X74" i="3"/>
  <c r="AC9" i="6" s="1"/>
  <c r="V52" i="6" s="1"/>
  <c r="BD36" i="3"/>
  <c r="AI74" i="3"/>
  <c r="AN9" i="6" s="1"/>
  <c r="I52" i="6" s="1"/>
  <c r="BE36" i="3"/>
  <c r="T74" i="3"/>
  <c r="Y9" i="6" s="1"/>
  <c r="H52" i="6" s="1"/>
  <c r="BB36" i="3"/>
  <c r="BC36" i="3"/>
  <c r="BE30" i="3"/>
  <c r="F48" i="6"/>
  <c r="AC84" i="3"/>
  <c r="V84" i="3"/>
  <c r="V95" i="3" s="1"/>
  <c r="AA35" i="6" s="1"/>
  <c r="X73" i="3"/>
  <c r="V44" i="6" s="1"/>
  <c r="V48" i="6" s="1"/>
  <c r="BD31" i="3"/>
  <c r="H84" i="3"/>
  <c r="H95" i="3" s="1"/>
  <c r="I36" i="6" s="1"/>
  <c r="AI73" i="3"/>
  <c r="I44" i="6" s="1"/>
  <c r="I48" i="6" s="1"/>
  <c r="BE31" i="3"/>
  <c r="J84" i="3"/>
  <c r="J95" i="3" s="1"/>
  <c r="K36" i="6" s="1"/>
  <c r="E84" i="3"/>
  <c r="BD30" i="3"/>
  <c r="T73" i="3"/>
  <c r="H44" i="6" s="1"/>
  <c r="BA31" i="3"/>
  <c r="BB31" i="3"/>
  <c r="AI84" i="3"/>
  <c r="AI95" i="3" s="1"/>
  <c r="AN35" i="6" s="1"/>
  <c r="I53" i="6" s="1"/>
  <c r="M84" i="3"/>
  <c r="M95" i="3" s="1"/>
  <c r="N36" i="6" s="1"/>
  <c r="P53" i="6" s="1"/>
  <c r="Y84" i="3"/>
  <c r="Y95" i="3" s="1"/>
  <c r="AD35" i="6" s="1"/>
  <c r="O53" i="6" s="1"/>
  <c r="F84" i="3"/>
  <c r="F95" i="3" s="1"/>
  <c r="F36" i="6" s="1"/>
  <c r="AK84" i="3"/>
  <c r="AK95" i="3" s="1"/>
  <c r="AP35" i="6" s="1"/>
  <c r="AA84" i="3"/>
  <c r="AA95" i="3" s="1"/>
  <c r="AF35" i="6" s="1"/>
  <c r="Q53" i="6" s="1"/>
  <c r="AH84" i="3"/>
  <c r="G84" i="3"/>
  <c r="G95" i="3" s="1"/>
  <c r="G36" i="6" s="1"/>
  <c r="Q84" i="3"/>
  <c r="Q95" i="3" s="1"/>
  <c r="R36" i="6" s="1"/>
  <c r="T84" i="3"/>
  <c r="AR84" i="3"/>
  <c r="AR95" i="3" s="1"/>
  <c r="AW35" i="6" s="1"/>
  <c r="W53" i="6" s="1"/>
  <c r="BC30" i="3"/>
  <c r="AU84" i="3"/>
  <c r="AU95" i="3" s="1"/>
  <c r="AZ35" i="6" s="1"/>
  <c r="T53" i="6" s="1"/>
  <c r="AQ84" i="3"/>
  <c r="AQ95" i="3" s="1"/>
  <c r="AV35" i="6" s="1"/>
  <c r="C53" i="6" s="1"/>
  <c r="L84" i="3"/>
  <c r="L95" i="3" s="1"/>
  <c r="M36" i="6" s="1"/>
  <c r="N84" i="3"/>
  <c r="N95" i="3" s="1"/>
  <c r="O36" i="6" s="1"/>
  <c r="AF84" i="3"/>
  <c r="AF95" i="3" s="1"/>
  <c r="AK35" i="6" s="1"/>
  <c r="E53" i="6" s="1"/>
  <c r="AD84" i="3"/>
  <c r="BA40" i="3"/>
  <c r="X6" i="9" s="1"/>
  <c r="AN84" i="3"/>
  <c r="K84" i="3"/>
  <c r="K95" i="3" s="1"/>
  <c r="L36" i="6" s="1"/>
  <c r="AG84" i="3"/>
  <c r="AG95" i="3" s="1"/>
  <c r="AL35" i="6" s="1"/>
  <c r="J53" i="6" s="1"/>
  <c r="O84" i="3"/>
  <c r="O95" i="3" s="1"/>
  <c r="P36" i="6" s="1"/>
  <c r="BB41" i="3"/>
  <c r="W7" i="9" s="1"/>
  <c r="AJ84" i="3"/>
  <c r="AJ95" i="3" s="1"/>
  <c r="AO35" i="6" s="1"/>
  <c r="BB30" i="3"/>
  <c r="BA30" i="3"/>
  <c r="AS84" i="3"/>
  <c r="S84" i="3"/>
  <c r="S95" i="3" s="1"/>
  <c r="X35" i="6" s="1"/>
  <c r="AP84" i="3"/>
  <c r="AP95" i="3" s="1"/>
  <c r="AU35" i="6" s="1"/>
  <c r="R53" i="6" s="1"/>
  <c r="D84" i="3"/>
  <c r="P84" i="3"/>
  <c r="P95" i="3" s="1"/>
  <c r="Q36" i="6" s="1"/>
  <c r="AV84" i="3"/>
  <c r="AV95" i="3" s="1"/>
  <c r="BA35" i="6" s="1"/>
  <c r="X52" i="6" s="1"/>
  <c r="AL84" i="3"/>
  <c r="AL95" i="3" s="1"/>
  <c r="AQ35" i="6" s="1"/>
  <c r="L53" i="6" s="1"/>
  <c r="U84" i="3"/>
  <c r="U95" i="3" s="1"/>
  <c r="Z35" i="6" s="1"/>
  <c r="AO84" i="3"/>
  <c r="R84" i="3"/>
  <c r="R95" i="3" s="1"/>
  <c r="I84" i="3"/>
  <c r="I95" i="3" s="1"/>
  <c r="J36" i="6" s="1"/>
  <c r="AT84" i="3"/>
  <c r="X84" i="3"/>
  <c r="X95" i="3" s="1"/>
  <c r="AC35" i="6" s="1"/>
  <c r="V53" i="6" s="1"/>
  <c r="W72" i="3"/>
  <c r="S43" i="6" s="1"/>
  <c r="BD43" i="3"/>
  <c r="BB42" i="3"/>
  <c r="BA41" i="3"/>
  <c r="X7" i="9" s="1"/>
  <c r="Q48" i="6"/>
  <c r="T72" i="3"/>
  <c r="H43" i="6" s="1"/>
  <c r="BB43" i="3"/>
  <c r="BA42" i="3"/>
  <c r="W54" i="3"/>
  <c r="AB2" i="6" s="1"/>
  <c r="AB21" i="6" s="1"/>
  <c r="S41" i="6" s="1"/>
  <c r="BD39" i="3"/>
  <c r="BA43" i="3"/>
  <c r="C48" i="6"/>
  <c r="T54" i="3"/>
  <c r="Y2" i="6" s="1"/>
  <c r="Y21" i="6" s="1"/>
  <c r="H41" i="6" s="1"/>
  <c r="BB39" i="3"/>
  <c r="BA39" i="3"/>
  <c r="BB40" i="3"/>
  <c r="W6" i="9" s="1"/>
  <c r="S48" i="6"/>
  <c r="W48" i="6"/>
  <c r="J48" i="6"/>
  <c r="AM84" i="3"/>
  <c r="AM95" i="3" s="1"/>
  <c r="AR35" i="6" s="1"/>
  <c r="BC42" i="3"/>
  <c r="BE42" i="3" s="1"/>
  <c r="BC41" i="3"/>
  <c r="AD72" i="3"/>
  <c r="G43" i="6" s="1"/>
  <c r="BC43" i="3"/>
  <c r="BC40" i="3"/>
  <c r="AD54" i="3"/>
  <c r="AI2" i="6" s="1"/>
  <c r="AI21" i="6" s="1"/>
  <c r="G41" i="6" s="1"/>
  <c r="BC39" i="3"/>
  <c r="AE84" i="3"/>
  <c r="AE95" i="3" s="1"/>
  <c r="AJ35" i="6" s="1"/>
  <c r="Y52" i="6" s="1"/>
  <c r="W84" i="3"/>
  <c r="BH88" i="8"/>
  <c r="BM90" i="8"/>
  <c r="BM91" i="8"/>
  <c r="AT90" i="4"/>
  <c r="M22" i="2"/>
  <c r="M20" i="2"/>
  <c r="M25" i="2"/>
  <c r="M48" i="6"/>
  <c r="U48" i="6"/>
  <c r="R48" i="6"/>
  <c r="N48" i="6"/>
  <c r="O48" i="6"/>
  <c r="D48" i="6"/>
  <c r="L48" i="6"/>
  <c r="E48" i="6"/>
  <c r="X45" i="6"/>
  <c r="Y45" i="6"/>
  <c r="Z95" i="3"/>
  <c r="AE35" i="6" s="1"/>
  <c r="AE2" i="6"/>
  <c r="AE21" i="6" s="1"/>
  <c r="AJ2" i="6"/>
  <c r="AJ21" i="6" s="1"/>
  <c r="AZ2" i="6"/>
  <c r="AZ21" i="6" s="1"/>
  <c r="T41" i="6" s="1"/>
  <c r="U67" i="4"/>
  <c r="V34" i="6" s="1"/>
  <c r="C34" i="6"/>
  <c r="D34" i="6" s="1"/>
  <c r="AX30" i="3"/>
  <c r="AZ30" i="3"/>
  <c r="AE81" i="3"/>
  <c r="N5" i="2"/>
  <c r="N30" i="2" s="1"/>
  <c r="M30" i="2"/>
  <c r="N6" i="2"/>
  <c r="M29" i="2"/>
  <c r="Q6" i="2" s="1"/>
  <c r="O4" i="2"/>
  <c r="O25" i="2" s="1"/>
  <c r="C29" i="3" s="1"/>
  <c r="Q4" i="2"/>
  <c r="AG81" i="3"/>
  <c r="AB81" i="3"/>
  <c r="AD74" i="3"/>
  <c r="AZ36" i="3"/>
  <c r="AD73" i="3"/>
  <c r="AQ81" i="3"/>
  <c r="BB15" i="3"/>
  <c r="O13" i="9" s="1"/>
  <c r="L13" i="9"/>
  <c r="Q13" i="9" s="1"/>
  <c r="M9" i="9"/>
  <c r="L9" i="9"/>
  <c r="P9" i="9" s="1"/>
  <c r="BB14" i="3"/>
  <c r="O9" i="9" s="1"/>
  <c r="AH95" i="3"/>
  <c r="AM35" i="6" s="1"/>
  <c r="BB13" i="3"/>
  <c r="L4" i="9"/>
  <c r="Q4" i="9" s="1"/>
  <c r="M13" i="9"/>
  <c r="O32" i="2"/>
  <c r="R32" i="2" s="1"/>
  <c r="N32" i="2"/>
  <c r="O37" i="2"/>
  <c r="R37" i="2" s="1"/>
  <c r="B33" i="9"/>
  <c r="O2" i="2"/>
  <c r="O20" i="2" s="1"/>
  <c r="C22" i="3" s="1"/>
  <c r="B5" i="9"/>
  <c r="B8" i="9" s="1"/>
  <c r="V90" i="4"/>
  <c r="T90" i="4"/>
  <c r="AV90" i="4"/>
  <c r="P90" i="4"/>
  <c r="BA90" i="4"/>
  <c r="I90" i="4"/>
  <c r="W90" i="4"/>
  <c r="K90" i="4"/>
  <c r="L90" i="4"/>
  <c r="J90" i="4"/>
  <c r="AF90" i="4"/>
  <c r="N90" i="4"/>
  <c r="M90" i="4"/>
  <c r="H90" i="4"/>
  <c r="F90" i="4"/>
  <c r="AW90" i="4"/>
  <c r="AL90" i="4"/>
  <c r="Z90" i="4"/>
  <c r="AU90" i="4"/>
  <c r="D90" i="4"/>
  <c r="Q90" i="4"/>
  <c r="U90" i="4"/>
  <c r="O90" i="4"/>
  <c r="S90" i="4"/>
  <c r="R90" i="4"/>
  <c r="AN90" i="4"/>
  <c r="AA90" i="4"/>
  <c r="AS90" i="4"/>
  <c r="G90" i="4"/>
  <c r="AB90" i="4"/>
  <c r="Z101" i="8"/>
  <c r="Z97" i="8"/>
  <c r="Z98" i="8"/>
  <c r="Z100" i="8"/>
  <c r="Z99" i="8"/>
  <c r="Z102" i="8"/>
  <c r="AA102" i="8"/>
  <c r="AA99" i="8"/>
  <c r="AA100" i="8"/>
  <c r="AA98" i="8"/>
  <c r="AA101" i="8"/>
  <c r="AA97" i="8"/>
  <c r="BC55" i="4"/>
  <c r="L32" i="9" s="1"/>
  <c r="P32" i="9" s="1"/>
  <c r="X66" i="4"/>
  <c r="AZ90" i="4"/>
  <c r="AO44" i="4"/>
  <c r="X64" i="4"/>
  <c r="AO65" i="4"/>
  <c r="AP32" i="6" s="1"/>
  <c r="AB66" i="4"/>
  <c r="X90" i="4"/>
  <c r="AP64" i="4"/>
  <c r="AO66" i="4"/>
  <c r="AB44" i="4"/>
  <c r="AR90" i="4"/>
  <c r="AR89" i="4"/>
  <c r="AP66" i="4"/>
  <c r="AO90" i="4"/>
  <c r="AB65" i="4"/>
  <c r="AC32" i="6" s="1"/>
  <c r="V58" i="6" s="1"/>
  <c r="AJ66" i="4"/>
  <c r="AB64" i="4"/>
  <c r="AP65" i="4"/>
  <c r="AQ32" i="6" s="1"/>
  <c r="L58" i="6" s="1"/>
  <c r="AP90" i="4"/>
  <c r="U91" i="4"/>
  <c r="AX90" i="4"/>
  <c r="AU64" i="4"/>
  <c r="AJ44" i="4"/>
  <c r="G31" i="9" s="1"/>
  <c r="AH64" i="4"/>
  <c r="BC43" i="4"/>
  <c r="L30" i="9" s="1"/>
  <c r="P30" i="9" s="1"/>
  <c r="BB93" i="4"/>
  <c r="AA66" i="4"/>
  <c r="AJ65" i="4"/>
  <c r="AK32" i="6" s="1"/>
  <c r="E58" i="6" s="1"/>
  <c r="AA44" i="4"/>
  <c r="AJ90" i="4"/>
  <c r="Y64" i="4"/>
  <c r="BD55" i="4"/>
  <c r="M32" i="9" s="1"/>
  <c r="AA64" i="4"/>
  <c r="BD43" i="4"/>
  <c r="M30" i="9" s="1"/>
  <c r="AH44" i="4"/>
  <c r="Y65" i="4"/>
  <c r="Z32" i="6" s="1"/>
  <c r="AA65" i="4"/>
  <c r="AB32" i="6" s="1"/>
  <c r="S58" i="6" s="1"/>
  <c r="AX64" i="4"/>
  <c r="Y90" i="4"/>
  <c r="BB55" i="4"/>
  <c r="O32" i="9" s="1"/>
  <c r="AX44" i="4"/>
  <c r="AX65" i="4"/>
  <c r="AY32" i="6" s="1"/>
  <c r="BD93" i="4"/>
  <c r="AH66" i="4"/>
  <c r="AZ44" i="4"/>
  <c r="BE43" i="4"/>
  <c r="N30" i="9" s="1"/>
  <c r="X44" i="4"/>
  <c r="BB43" i="4"/>
  <c r="O30" i="9" s="1"/>
  <c r="BE93" i="4"/>
  <c r="BC93" i="4"/>
  <c r="BE55" i="4"/>
  <c r="N32" i="9" s="1"/>
  <c r="AJ64" i="4"/>
  <c r="AG65" i="4"/>
  <c r="AH32" i="6" s="1"/>
  <c r="U58" i="6" s="1"/>
  <c r="Q29" i="9"/>
  <c r="J91" i="4"/>
  <c r="AA91" i="4"/>
  <c r="AG91" i="4"/>
  <c r="W91" i="4"/>
  <c r="M91" i="4"/>
  <c r="AW91" i="4"/>
  <c r="G91" i="4"/>
  <c r="L91" i="4"/>
  <c r="AL91" i="4"/>
  <c r="Q91" i="4"/>
  <c r="AP91" i="4"/>
  <c r="AB91" i="4"/>
  <c r="Y91" i="4"/>
  <c r="V91" i="4"/>
  <c r="F91" i="4"/>
  <c r="I91" i="4"/>
  <c r="AU91" i="4"/>
  <c r="H91" i="4"/>
  <c r="S91" i="4"/>
  <c r="R91" i="4"/>
  <c r="AF91" i="4"/>
  <c r="AH91" i="4"/>
  <c r="AO91" i="4"/>
  <c r="Z91" i="4"/>
  <c r="AV91" i="4"/>
  <c r="X91" i="4"/>
  <c r="AS91" i="4"/>
  <c r="T91" i="4"/>
  <c r="D91" i="4"/>
  <c r="AX91" i="4"/>
  <c r="AT91" i="4"/>
  <c r="AZ91" i="4"/>
  <c r="BA91" i="4"/>
  <c r="E91" i="4"/>
  <c r="P91" i="4"/>
  <c r="O91" i="4"/>
  <c r="N91" i="4"/>
  <c r="AN91" i="4"/>
  <c r="AJ91" i="4"/>
  <c r="AR91" i="4"/>
  <c r="AA95" i="8"/>
  <c r="AA96" i="8" s="1"/>
  <c r="Z95" i="8"/>
  <c r="Z96" i="8" s="1"/>
  <c r="AY67" i="4"/>
  <c r="AZ33" i="6" s="1"/>
  <c r="T59" i="6" s="1"/>
  <c r="C32" i="9"/>
  <c r="C34" i="9" s="1"/>
  <c r="AT95" i="3"/>
  <c r="AY35" i="6" s="1"/>
  <c r="AC95" i="3"/>
  <c r="AH35" i="6" s="1"/>
  <c r="U53" i="6" s="1"/>
  <c r="V81" i="3"/>
  <c r="AX43" i="3"/>
  <c r="AY43" i="3" s="1"/>
  <c r="AF81" i="3"/>
  <c r="AJ81" i="3"/>
  <c r="AR81" i="3"/>
  <c r="S81" i="3"/>
  <c r="AN81" i="3"/>
  <c r="AX40" i="3"/>
  <c r="AY40" i="3" s="1"/>
  <c r="AX41" i="3"/>
  <c r="AY41" i="3" s="1"/>
  <c r="AM81" i="3"/>
  <c r="AX42" i="3"/>
  <c r="AY42" i="3" s="1"/>
  <c r="AV81" i="3"/>
  <c r="AT81" i="3"/>
  <c r="AS95" i="3"/>
  <c r="AX35" i="6" s="1"/>
  <c r="D53" i="6" s="1"/>
  <c r="AB95" i="3"/>
  <c r="AG35" i="6" s="1"/>
  <c r="N53" i="6" s="1"/>
  <c r="AK67" i="4"/>
  <c r="AL33" i="6" s="1"/>
  <c r="J59" i="6" s="1"/>
  <c r="I67" i="4"/>
  <c r="F67" i="4"/>
  <c r="AD67" i="4"/>
  <c r="AE33" i="6" s="1"/>
  <c r="L67" i="4"/>
  <c r="AT67" i="4"/>
  <c r="J67" i="4"/>
  <c r="V67" i="4"/>
  <c r="T67" i="4"/>
  <c r="AI67" i="4"/>
  <c r="AJ33" i="6" s="1"/>
  <c r="Y58" i="6" s="1"/>
  <c r="AC67" i="4"/>
  <c r="AD33" i="6" s="1"/>
  <c r="O59" i="6" s="1"/>
  <c r="D67" i="4"/>
  <c r="E34" i="6" s="1"/>
  <c r="S67" i="4"/>
  <c r="H67" i="4"/>
  <c r="P67" i="4"/>
  <c r="K67" i="4"/>
  <c r="C70" i="4"/>
  <c r="C32" i="6" s="1"/>
  <c r="D32" i="6" s="1"/>
  <c r="Q67" i="4"/>
  <c r="H89" i="4"/>
  <c r="S89" i="4"/>
  <c r="X67" i="4"/>
  <c r="Y33" i="6" s="1"/>
  <c r="H59" i="6" s="1"/>
  <c r="BA67" i="4"/>
  <c r="Z67" i="4"/>
  <c r="AS89" i="4"/>
  <c r="AB89" i="4"/>
  <c r="AD64" i="4"/>
  <c r="G89" i="4"/>
  <c r="D70" i="4"/>
  <c r="E32" i="6" s="1"/>
  <c r="AL89" i="4"/>
  <c r="AD90" i="4"/>
  <c r="N29" i="4"/>
  <c r="N44" i="4"/>
  <c r="AD65" i="4"/>
  <c r="AE32" i="6" s="1"/>
  <c r="BF68" i="4"/>
  <c r="T33" i="9" s="1"/>
  <c r="M67" i="4"/>
  <c r="N34" i="6" s="1"/>
  <c r="P59" i="6" s="1"/>
  <c r="R67" i="4"/>
  <c r="AD91" i="4"/>
  <c r="AR64" i="4"/>
  <c r="AH90" i="4"/>
  <c r="F44" i="4"/>
  <c r="F29" i="4"/>
  <c r="AZ65" i="4"/>
  <c r="BA32" i="6" s="1"/>
  <c r="X57" i="6" s="1"/>
  <c r="AR66" i="4"/>
  <c r="AG90" i="4"/>
  <c r="AW89" i="4"/>
  <c r="AD44" i="4"/>
  <c r="Y89" i="4"/>
  <c r="AF89" i="4"/>
  <c r="AM91" i="4"/>
  <c r="AM89" i="4"/>
  <c r="AM65" i="4"/>
  <c r="AN32" i="6" s="1"/>
  <c r="I58" i="6" s="1"/>
  <c r="AM64" i="4"/>
  <c r="AM66" i="4"/>
  <c r="AM44" i="4"/>
  <c r="BD44" i="4" s="1"/>
  <c r="M31" i="9" s="1"/>
  <c r="AM90" i="4"/>
  <c r="W67" i="4"/>
  <c r="S44" i="4"/>
  <c r="S29" i="4"/>
  <c r="H44" i="4"/>
  <c r="H29" i="4"/>
  <c r="AW67" i="4"/>
  <c r="AE91" i="4"/>
  <c r="AE89" i="4"/>
  <c r="AE90" i="4"/>
  <c r="AE64" i="4"/>
  <c r="AE65" i="4"/>
  <c r="AF32" i="6" s="1"/>
  <c r="Q58" i="6" s="1"/>
  <c r="AE44" i="4"/>
  <c r="AE66" i="4"/>
  <c r="AC66" i="4"/>
  <c r="AC89" i="4"/>
  <c r="AC65" i="4"/>
  <c r="AD32" i="6" s="1"/>
  <c r="O58" i="6" s="1"/>
  <c r="AC90" i="4"/>
  <c r="AC91" i="4"/>
  <c r="AC64" i="4"/>
  <c r="AC44" i="4"/>
  <c r="G67" i="4"/>
  <c r="N89" i="4"/>
  <c r="K89" i="4"/>
  <c r="L89" i="4"/>
  <c r="BF93" i="4"/>
  <c r="AA67" i="4"/>
  <c r="AB33" i="6" s="1"/>
  <c r="S59" i="6" s="1"/>
  <c r="R89" i="4"/>
  <c r="X89" i="4"/>
  <c r="AG67" i="4"/>
  <c r="AH33" i="6" s="1"/>
  <c r="U59" i="6" s="1"/>
  <c r="AH89" i="4"/>
  <c r="BG68" i="4"/>
  <c r="M89" i="4"/>
  <c r="AO67" i="4"/>
  <c r="AP33" i="6" s="1"/>
  <c r="J89" i="4"/>
  <c r="AZ67" i="4"/>
  <c r="BA33" i="6" s="1"/>
  <c r="X58" i="6" s="1"/>
  <c r="AG89" i="4"/>
  <c r="AI90" i="4"/>
  <c r="AI91" i="4"/>
  <c r="AI66" i="4"/>
  <c r="AI89" i="4"/>
  <c r="AI64" i="4"/>
  <c r="AI65" i="4"/>
  <c r="AJ32" i="6" s="1"/>
  <c r="Y57" i="6" s="1"/>
  <c r="AI44" i="4"/>
  <c r="P89" i="4"/>
  <c r="BG93" i="4"/>
  <c r="BI93" i="4" s="1"/>
  <c r="O89" i="4"/>
  <c r="BE68" i="4"/>
  <c r="S33" i="9" s="1"/>
  <c r="V89" i="4"/>
  <c r="T89" i="4"/>
  <c r="BA89" i="4"/>
  <c r="AX89" i="4"/>
  <c r="C92" i="4"/>
  <c r="AX92" i="4" s="1"/>
  <c r="E67" i="4"/>
  <c r="O67" i="4"/>
  <c r="AS67" i="4"/>
  <c r="N67" i="4"/>
  <c r="AR67" i="4"/>
  <c r="AS33" i="6" s="1"/>
  <c r="I89" i="4"/>
  <c r="AX67" i="4"/>
  <c r="AY33" i="6" s="1"/>
  <c r="AN89" i="4"/>
  <c r="AD89" i="4"/>
  <c r="AF67" i="4"/>
  <c r="AJ89" i="4"/>
  <c r="Y67" i="4"/>
  <c r="Z33" i="6" s="1"/>
  <c r="AU67" i="4"/>
  <c r="AV33" i="6" s="1"/>
  <c r="C59" i="6" s="1"/>
  <c r="AY90" i="4"/>
  <c r="AY91" i="4"/>
  <c r="AY66" i="4"/>
  <c r="AY89" i="4"/>
  <c r="AY64" i="4"/>
  <c r="AY65" i="4"/>
  <c r="AZ32" i="6" s="1"/>
  <c r="T58" i="6" s="1"/>
  <c r="AY44" i="4"/>
  <c r="AA89" i="4"/>
  <c r="Z89" i="4"/>
  <c r="AJ67" i="4"/>
  <c r="AK33" i="6" s="1"/>
  <c r="E59" i="6" s="1"/>
  <c r="AP67" i="4"/>
  <c r="AQ33" i="6" s="1"/>
  <c r="L59" i="6" s="1"/>
  <c r="AV89" i="4"/>
  <c r="AU89" i="4"/>
  <c r="W89" i="4"/>
  <c r="AV67" i="4"/>
  <c r="AO89" i="4"/>
  <c r="AT89" i="4"/>
  <c r="AN67" i="4"/>
  <c r="AE67" i="4"/>
  <c r="AF33" i="6" s="1"/>
  <c r="Q59" i="6" s="1"/>
  <c r="AK66" i="4"/>
  <c r="AK65" i="4"/>
  <c r="AL32" i="6" s="1"/>
  <c r="J58" i="6" s="1"/>
  <c r="AK64" i="4"/>
  <c r="AK89" i="4"/>
  <c r="AK91" i="4"/>
  <c r="AK44" i="4"/>
  <c r="AK90" i="4"/>
  <c r="K44" i="4"/>
  <c r="K29" i="4"/>
  <c r="U89" i="4"/>
  <c r="E89" i="4"/>
  <c r="F89" i="4"/>
  <c r="AL67" i="4"/>
  <c r="AM67" i="4"/>
  <c r="AN33" i="6" s="1"/>
  <c r="I59" i="6" s="1"/>
  <c r="D89" i="4"/>
  <c r="AQ67" i="4"/>
  <c r="AR33" i="6" s="1"/>
  <c r="AQ90" i="4"/>
  <c r="AQ89" i="4"/>
  <c r="AQ66" i="4"/>
  <c r="AQ65" i="4"/>
  <c r="AR32" i="6" s="1"/>
  <c r="AQ64" i="4"/>
  <c r="AQ91" i="4"/>
  <c r="AQ44" i="4"/>
  <c r="AB67" i="4"/>
  <c r="AC33" i="6" s="1"/>
  <c r="V59" i="6" s="1"/>
  <c r="Q89" i="4"/>
  <c r="P44" i="4"/>
  <c r="P29" i="4"/>
  <c r="AH67" i="4"/>
  <c r="AI33" i="6" s="1"/>
  <c r="G59" i="6" s="1"/>
  <c r="AP89" i="4"/>
  <c r="BD68" i="4"/>
  <c r="V33" i="9" s="1"/>
  <c r="AZ89" i="4"/>
  <c r="AI19" i="3"/>
  <c r="AI20" i="3" s="1"/>
  <c r="AC19" i="3"/>
  <c r="AC20" i="3" s="1"/>
  <c r="Y19" i="3"/>
  <c r="Y20" i="3" s="1"/>
  <c r="AA19" i="3"/>
  <c r="AA20" i="3" s="1"/>
  <c r="AV19" i="3"/>
  <c r="AV20" i="3" s="1"/>
  <c r="AP81" i="3"/>
  <c r="AU19" i="3"/>
  <c r="AU20" i="3" s="1"/>
  <c r="AC81" i="3"/>
  <c r="S19" i="3"/>
  <c r="S20" i="3" s="1"/>
  <c r="E74" i="3"/>
  <c r="E9" i="6" s="1"/>
  <c r="AX36" i="3"/>
  <c r="AY36" i="3" s="1"/>
  <c r="AN19" i="3"/>
  <c r="AN20" i="3" s="1"/>
  <c r="E95" i="3"/>
  <c r="E36" i="6" s="1"/>
  <c r="AU81" i="3"/>
  <c r="AM19" i="3"/>
  <c r="AM20" i="3" s="1"/>
  <c r="AG19" i="3"/>
  <c r="AG20" i="3" s="1"/>
  <c r="AE19" i="3"/>
  <c r="AE20" i="3" s="1"/>
  <c r="W81" i="3"/>
  <c r="AF19" i="3"/>
  <c r="AF20" i="3" s="1"/>
  <c r="AH81" i="3"/>
  <c r="X19" i="3"/>
  <c r="X20" i="3" s="1"/>
  <c r="AO95" i="3"/>
  <c r="AT35" i="6" s="1"/>
  <c r="F53" i="6" s="1"/>
  <c r="AK19" i="3"/>
  <c r="AK20" i="3" s="1"/>
  <c r="W19" i="3"/>
  <c r="W20" i="3" s="1"/>
  <c r="AL19" i="3"/>
  <c r="AL20" i="3" s="1"/>
  <c r="AQ19" i="3"/>
  <c r="AQ20" i="3" s="1"/>
  <c r="AX31" i="3"/>
  <c r="AY31" i="3" s="1"/>
  <c r="AL81" i="3"/>
  <c r="Z81" i="3"/>
  <c r="AW95" i="3"/>
  <c r="BB35" i="6" s="1"/>
  <c r="M53" i="6" s="1"/>
  <c r="AW19" i="3"/>
  <c r="AW20" i="3" s="1"/>
  <c r="AK81" i="3"/>
  <c r="V19" i="3"/>
  <c r="V20" i="3" s="1"/>
  <c r="E81" i="3"/>
  <c r="AX39" i="3"/>
  <c r="AY39" i="3" s="1"/>
  <c r="T81" i="3"/>
  <c r="AW81" i="3"/>
  <c r="AO19" i="3"/>
  <c r="AO20" i="3" s="1"/>
  <c r="AT19" i="3"/>
  <c r="AT20" i="3" s="1"/>
  <c r="AS19" i="3"/>
  <c r="AS20" i="3" s="1"/>
  <c r="U81" i="3"/>
  <c r="AA81" i="3"/>
  <c r="AO81" i="3"/>
  <c r="AS81" i="3"/>
  <c r="U19" i="3"/>
  <c r="U20" i="3" s="1"/>
  <c r="Y81" i="3"/>
  <c r="AN95" i="3"/>
  <c r="AS35" i="6" s="1"/>
  <c r="O11" i="2"/>
  <c r="P34" i="2"/>
  <c r="M23" i="2"/>
  <c r="Q3" i="2" s="1"/>
  <c r="O5" i="2"/>
  <c r="O27" i="2" s="1"/>
  <c r="C25" i="3" s="1"/>
  <c r="N17" i="2"/>
  <c r="Q36" i="2"/>
  <c r="R36" i="2" s="1"/>
  <c r="N2" i="2"/>
  <c r="N20" i="2" s="1"/>
  <c r="N36" i="2"/>
  <c r="O40" i="2"/>
  <c r="M43" i="2"/>
  <c r="N43" i="2" s="1"/>
  <c r="O6" i="2"/>
  <c r="O29" i="2" s="1"/>
  <c r="M42" i="2"/>
  <c r="O42" i="2" s="1"/>
  <c r="O36" i="2"/>
  <c r="M28" i="2"/>
  <c r="Q5" i="2" s="1"/>
  <c r="O39" i="2"/>
  <c r="N25" i="2"/>
  <c r="N16" i="2"/>
  <c r="N28" i="2" s="1"/>
  <c r="M21" i="2"/>
  <c r="O3" i="2"/>
  <c r="N3" i="2"/>
  <c r="H48" i="6" l="1"/>
  <c r="X81" i="3"/>
  <c r="C75" i="3"/>
  <c r="AD95" i="3"/>
  <c r="AI35" i="6" s="1"/>
  <c r="G53" i="6" s="1"/>
  <c r="BC84" i="3"/>
  <c r="BE43" i="3"/>
  <c r="BD54" i="3"/>
  <c r="W95" i="3"/>
  <c r="AB35" i="6" s="1"/>
  <c r="S53" i="6" s="1"/>
  <c r="AI81" i="3"/>
  <c r="BB84" i="3"/>
  <c r="C89" i="3"/>
  <c r="BA54" i="3"/>
  <c r="C87" i="3"/>
  <c r="T95" i="3"/>
  <c r="Y35" i="6" s="1"/>
  <c r="H53" i="6" s="1"/>
  <c r="BA84" i="3"/>
  <c r="BB54" i="3"/>
  <c r="C58" i="3"/>
  <c r="W5" i="9" s="1"/>
  <c r="W8" i="9" s="1"/>
  <c r="W26" i="9" s="1"/>
  <c r="AX54" i="3"/>
  <c r="AY54" i="3" s="1"/>
  <c r="C88" i="3"/>
  <c r="AX84" i="3"/>
  <c r="AY84" i="3" s="1"/>
  <c r="C59" i="3"/>
  <c r="S5" i="9" s="1"/>
  <c r="C57" i="3"/>
  <c r="X5" i="9" s="1"/>
  <c r="X8" i="9" s="1"/>
  <c r="X26" i="9" s="1"/>
  <c r="X27" i="9" s="1"/>
  <c r="BE39" i="3"/>
  <c r="S7" i="9"/>
  <c r="BE41" i="3"/>
  <c r="C77" i="3"/>
  <c r="AX72" i="3"/>
  <c r="AY72" i="3" s="1"/>
  <c r="C76" i="3"/>
  <c r="BA72" i="3"/>
  <c r="BB72" i="3"/>
  <c r="S6" i="9"/>
  <c r="BE40" i="3"/>
  <c r="BC72" i="3"/>
  <c r="BC54" i="3"/>
  <c r="BE54" i="3" s="1"/>
  <c r="U70" i="4"/>
  <c r="V32" i="6" s="1"/>
  <c r="E22" i="3"/>
  <c r="D22" i="3"/>
  <c r="G22" i="3"/>
  <c r="N22" i="3"/>
  <c r="P22" i="3"/>
  <c r="L22" i="3"/>
  <c r="R22" i="3"/>
  <c r="O22" i="3"/>
  <c r="J22" i="3"/>
  <c r="F22" i="3"/>
  <c r="I22" i="3"/>
  <c r="H22" i="3"/>
  <c r="Q22" i="3"/>
  <c r="M22" i="3"/>
  <c r="K22" i="3"/>
  <c r="AK22" i="3"/>
  <c r="AC22" i="3"/>
  <c r="AA22" i="3"/>
  <c r="W22" i="3"/>
  <c r="AD22" i="3"/>
  <c r="Z22" i="3"/>
  <c r="AI22" i="3"/>
  <c r="AE22" i="3"/>
  <c r="AL22" i="3"/>
  <c r="AH22" i="3"/>
  <c r="AQ22" i="3"/>
  <c r="AR22" i="3"/>
  <c r="AM22" i="3"/>
  <c r="X22" i="3"/>
  <c r="AP22" i="3"/>
  <c r="AS22" i="3"/>
  <c r="AV22" i="3"/>
  <c r="AU22" i="3"/>
  <c r="Y22" i="3"/>
  <c r="U22" i="3"/>
  <c r="T22" i="3"/>
  <c r="AW22" i="3"/>
  <c r="AF22" i="3"/>
  <c r="AG22" i="3"/>
  <c r="V22" i="3"/>
  <c r="AB22" i="3"/>
  <c r="AN22" i="3"/>
  <c r="AO22" i="3"/>
  <c r="AT22" i="3"/>
  <c r="AJ22" i="3"/>
  <c r="S22" i="3"/>
  <c r="M25" i="3"/>
  <c r="AD25" i="3"/>
  <c r="AU25" i="3"/>
  <c r="Q25" i="3"/>
  <c r="AH25" i="3"/>
  <c r="L25" i="3"/>
  <c r="T25" i="3"/>
  <c r="AB25" i="3"/>
  <c r="AJ25" i="3"/>
  <c r="AS25" i="3"/>
  <c r="J25" i="3"/>
  <c r="R25" i="3"/>
  <c r="U25" i="3"/>
  <c r="AL25" i="3"/>
  <c r="H25" i="3"/>
  <c r="Y25" i="3"/>
  <c r="AP25" i="3"/>
  <c r="AF25" i="3"/>
  <c r="W25" i="3"/>
  <c r="AV25" i="3"/>
  <c r="E25" i="3"/>
  <c r="AQ25" i="3"/>
  <c r="AC25" i="3"/>
  <c r="AT25" i="3"/>
  <c r="P25" i="3"/>
  <c r="AG25" i="3"/>
  <c r="D25" i="3"/>
  <c r="O25" i="3"/>
  <c r="AN25" i="3"/>
  <c r="AE25" i="3"/>
  <c r="V25" i="3"/>
  <c r="Z25" i="3"/>
  <c r="AK25" i="3"/>
  <c r="G25" i="3"/>
  <c r="X25" i="3"/>
  <c r="AO25" i="3"/>
  <c r="K25" i="3"/>
  <c r="AW25" i="3"/>
  <c r="AR25" i="3"/>
  <c r="F25" i="3"/>
  <c r="S25" i="3"/>
  <c r="AA25" i="3"/>
  <c r="N25" i="3"/>
  <c r="AI25" i="3"/>
  <c r="AM25" i="3"/>
  <c r="I25" i="3"/>
  <c r="N23" i="2"/>
  <c r="I28" i="3"/>
  <c r="Z28" i="3"/>
  <c r="L28" i="3"/>
  <c r="AC28" i="3"/>
  <c r="AT28" i="3"/>
  <c r="G28" i="3"/>
  <c r="AR28" i="3"/>
  <c r="E28" i="3"/>
  <c r="J28" i="3"/>
  <c r="AD28" i="3"/>
  <c r="H28" i="3"/>
  <c r="Q28" i="3"/>
  <c r="AH28" i="3"/>
  <c r="T28" i="3"/>
  <c r="AK28" i="3"/>
  <c r="N28" i="3"/>
  <c r="V28" i="3"/>
  <c r="R28" i="3"/>
  <c r="P28" i="3"/>
  <c r="Y28" i="3"/>
  <c r="AP28" i="3"/>
  <c r="AB28" i="3"/>
  <c r="AS28" i="3"/>
  <c r="O28" i="3"/>
  <c r="AM28" i="3"/>
  <c r="AV28" i="3"/>
  <c r="D28" i="3"/>
  <c r="AL28" i="3"/>
  <c r="X28" i="3"/>
  <c r="AG28" i="3"/>
  <c r="K28" i="3"/>
  <c r="AJ28" i="3"/>
  <c r="F28" i="3"/>
  <c r="W28" i="3"/>
  <c r="AE28" i="3"/>
  <c r="AW28" i="3"/>
  <c r="AI28" i="3"/>
  <c r="BE28" i="3" s="1"/>
  <c r="AU28" i="3"/>
  <c r="U28" i="3"/>
  <c r="AF28" i="3"/>
  <c r="AO28" i="3"/>
  <c r="S28" i="3"/>
  <c r="M28" i="3"/>
  <c r="AQ28" i="3"/>
  <c r="AN28" i="3"/>
  <c r="AA28" i="3"/>
  <c r="BB74" i="3"/>
  <c r="AI9" i="6"/>
  <c r="G52" i="6" s="1"/>
  <c r="C78" i="3"/>
  <c r="C81" i="3" s="1"/>
  <c r="G44" i="6"/>
  <c r="G48" i="6" s="1"/>
  <c r="AL70" i="4"/>
  <c r="AM31" i="6" s="1"/>
  <c r="AM33" i="6"/>
  <c r="Q70" i="4"/>
  <c r="R32" i="6" s="1"/>
  <c r="R34" i="6"/>
  <c r="I70" i="4"/>
  <c r="J32" i="6" s="1"/>
  <c r="J34" i="6"/>
  <c r="T70" i="4"/>
  <c r="U32" i="6" s="1"/>
  <c r="U34" i="6"/>
  <c r="AV70" i="4"/>
  <c r="AW31" i="6" s="1"/>
  <c r="W57" i="6" s="1"/>
  <c r="AW33" i="6"/>
  <c r="W59" i="6" s="1"/>
  <c r="N70" i="4"/>
  <c r="O32" i="6" s="1"/>
  <c r="O34" i="6"/>
  <c r="W70" i="4"/>
  <c r="X31" i="6" s="1"/>
  <c r="X33" i="6"/>
  <c r="K70" i="4"/>
  <c r="L32" i="6" s="1"/>
  <c r="L34" i="6"/>
  <c r="V70" i="4"/>
  <c r="W32" i="6" s="1"/>
  <c r="W34" i="6"/>
  <c r="Z70" i="4"/>
  <c r="AA31" i="6" s="1"/>
  <c r="AA33" i="6"/>
  <c r="P70" i="4"/>
  <c r="Q32" i="6" s="1"/>
  <c r="Q34" i="6"/>
  <c r="J70" i="4"/>
  <c r="K32" i="6" s="1"/>
  <c r="K34" i="6"/>
  <c r="AS70" i="4"/>
  <c r="AT31" i="6" s="1"/>
  <c r="F57" i="6" s="1"/>
  <c r="AT33" i="6"/>
  <c r="F59" i="6" s="1"/>
  <c r="AF70" i="4"/>
  <c r="AG31" i="6" s="1"/>
  <c r="N57" i="6" s="1"/>
  <c r="AG33" i="6"/>
  <c r="N59" i="6" s="1"/>
  <c r="O70" i="4"/>
  <c r="P32" i="6" s="1"/>
  <c r="P34" i="6"/>
  <c r="BA70" i="4"/>
  <c r="BB31" i="6" s="1"/>
  <c r="M57" i="6" s="1"/>
  <c r="BB33" i="6"/>
  <c r="M59" i="6" s="1"/>
  <c r="H70" i="4"/>
  <c r="I32" i="6" s="1"/>
  <c r="I34" i="6"/>
  <c r="AT70" i="4"/>
  <c r="AU31" i="6" s="1"/>
  <c r="R57" i="6" s="1"/>
  <c r="AU33" i="6"/>
  <c r="R59" i="6" s="1"/>
  <c r="E70" i="4"/>
  <c r="F32" i="6" s="1"/>
  <c r="F34" i="6"/>
  <c r="AW70" i="4"/>
  <c r="AX31" i="6" s="1"/>
  <c r="D57" i="6" s="1"/>
  <c r="AX33" i="6"/>
  <c r="D59" i="6" s="1"/>
  <c r="S70" i="4"/>
  <c r="T32" i="6" s="1"/>
  <c r="T34" i="6"/>
  <c r="L70" i="4"/>
  <c r="M32" i="6" s="1"/>
  <c r="M34" i="6"/>
  <c r="G70" i="4"/>
  <c r="H32" i="6" s="1"/>
  <c r="H34" i="6"/>
  <c r="R70" i="4"/>
  <c r="S32" i="6" s="1"/>
  <c r="S34" i="6"/>
  <c r="AN70" i="4"/>
  <c r="AO31" i="6" s="1"/>
  <c r="AO33" i="6"/>
  <c r="F70" i="4"/>
  <c r="G32" i="6" s="1"/>
  <c r="G34" i="6"/>
  <c r="K29" i="3"/>
  <c r="H29" i="3"/>
  <c r="E29" i="3"/>
  <c r="O29" i="3"/>
  <c r="G29" i="3"/>
  <c r="N29" i="3"/>
  <c r="L29" i="3"/>
  <c r="J29" i="3"/>
  <c r="F29" i="3"/>
  <c r="I29" i="3"/>
  <c r="R29" i="3"/>
  <c r="P29" i="3"/>
  <c r="Q29" i="3"/>
  <c r="M29" i="3"/>
  <c r="D29" i="3"/>
  <c r="C11" i="9" s="1"/>
  <c r="C15" i="9" s="1"/>
  <c r="AO29" i="3"/>
  <c r="AR29" i="3"/>
  <c r="AC29" i="3"/>
  <c r="AI29" i="3"/>
  <c r="AQ29" i="3"/>
  <c r="AB29" i="3"/>
  <c r="AN29" i="3"/>
  <c r="AT29" i="3"/>
  <c r="AU29" i="3"/>
  <c r="AH29" i="3"/>
  <c r="Z29" i="3"/>
  <c r="T29" i="3"/>
  <c r="AK29" i="3"/>
  <c r="AA29" i="3"/>
  <c r="AS29" i="3"/>
  <c r="Y29" i="3"/>
  <c r="AF29" i="3"/>
  <c r="AE29" i="3"/>
  <c r="AJ29" i="3"/>
  <c r="AG29" i="3"/>
  <c r="S29" i="3"/>
  <c r="AV29" i="3"/>
  <c r="AW29" i="3"/>
  <c r="V29" i="3"/>
  <c r="X29" i="3"/>
  <c r="W29" i="3"/>
  <c r="AD29" i="3"/>
  <c r="AP29" i="3"/>
  <c r="U29" i="3"/>
  <c r="AL29" i="3"/>
  <c r="AM29" i="3"/>
  <c r="Q32" i="9"/>
  <c r="BC74" i="3"/>
  <c r="BA74" i="3"/>
  <c r="H50" i="3"/>
  <c r="G50" i="3"/>
  <c r="N50" i="3"/>
  <c r="I50" i="3"/>
  <c r="P50" i="3"/>
  <c r="Q50" i="3"/>
  <c r="J50" i="3"/>
  <c r="F50" i="3"/>
  <c r="R50" i="3"/>
  <c r="O50" i="3"/>
  <c r="K50" i="3"/>
  <c r="M50" i="3"/>
  <c r="L50" i="3"/>
  <c r="AU50" i="3"/>
  <c r="AM50" i="3"/>
  <c r="Z50" i="3"/>
  <c r="U50" i="3"/>
  <c r="AP50" i="3"/>
  <c r="AJ50" i="3"/>
  <c r="AB50" i="3"/>
  <c r="V50" i="3"/>
  <c r="AE50" i="3"/>
  <c r="AQ50" i="3"/>
  <c r="S50" i="3"/>
  <c r="AL50" i="3"/>
  <c r="X50" i="3"/>
  <c r="AR50" i="3"/>
  <c r="T50" i="3"/>
  <c r="W50" i="3"/>
  <c r="AW50" i="3"/>
  <c r="AI50" i="3"/>
  <c r="AT50" i="3"/>
  <c r="AN50" i="3"/>
  <c r="AK50" i="3"/>
  <c r="AF50" i="3"/>
  <c r="AG50" i="3"/>
  <c r="AV50" i="3"/>
  <c r="AO50" i="3"/>
  <c r="AS50" i="3"/>
  <c r="Y50" i="3"/>
  <c r="AH50" i="3"/>
  <c r="AC50" i="3"/>
  <c r="AA50" i="3"/>
  <c r="N21" i="2"/>
  <c r="N22" i="2"/>
  <c r="R33" i="2"/>
  <c r="R34" i="2" s="1"/>
  <c r="R35" i="2" s="1"/>
  <c r="O21" i="2"/>
  <c r="C23" i="3" s="1"/>
  <c r="O22" i="2"/>
  <c r="C24" i="3" s="1"/>
  <c r="N29" i="2"/>
  <c r="O28" i="2"/>
  <c r="C26" i="3" s="1"/>
  <c r="O30" i="2"/>
  <c r="C27" i="3" s="1"/>
  <c r="I48" i="3"/>
  <c r="F48" i="3"/>
  <c r="H48" i="3"/>
  <c r="P48" i="3"/>
  <c r="G48" i="3"/>
  <c r="O48" i="3"/>
  <c r="L48" i="3"/>
  <c r="J48" i="3"/>
  <c r="Q48" i="3"/>
  <c r="M48" i="3"/>
  <c r="R48" i="3"/>
  <c r="N48" i="3"/>
  <c r="K48" i="3"/>
  <c r="AQ48" i="3"/>
  <c r="W48" i="3"/>
  <c r="AO48" i="3"/>
  <c r="AW48" i="3"/>
  <c r="AP48" i="3"/>
  <c r="AB48" i="3"/>
  <c r="V48" i="3"/>
  <c r="U48" i="3"/>
  <c r="AS48" i="3"/>
  <c r="S48" i="3"/>
  <c r="Z48" i="3"/>
  <c r="AT48" i="3"/>
  <c r="T48" i="3"/>
  <c r="X48" i="3"/>
  <c r="AU48" i="3"/>
  <c r="AA48" i="3"/>
  <c r="Y48" i="3"/>
  <c r="AG48" i="3"/>
  <c r="AL48" i="3"/>
  <c r="AK48" i="3"/>
  <c r="AI48" i="3"/>
  <c r="AC48" i="3"/>
  <c r="AJ48" i="3"/>
  <c r="AH48" i="3"/>
  <c r="AF48" i="3"/>
  <c r="AM48" i="3"/>
  <c r="AN48" i="3"/>
  <c r="AE48" i="3"/>
  <c r="AR48" i="3"/>
  <c r="AV48" i="3"/>
  <c r="BB73" i="3"/>
  <c r="AD81" i="3"/>
  <c r="BC73" i="3"/>
  <c r="AX74" i="3"/>
  <c r="AY74" i="3" s="1"/>
  <c r="C80" i="3"/>
  <c r="C79" i="3"/>
  <c r="AX73" i="3"/>
  <c r="AY73" i="3" s="1"/>
  <c r="BA73" i="3"/>
  <c r="Q9" i="9"/>
  <c r="P13" i="9"/>
  <c r="P4" i="9"/>
  <c r="O34" i="2"/>
  <c r="B31" i="9"/>
  <c r="B34" i="9" s="1"/>
  <c r="N34" i="2"/>
  <c r="O23" i="2"/>
  <c r="Q2" i="2"/>
  <c r="AX70" i="4"/>
  <c r="AY31" i="6" s="1"/>
  <c r="AP70" i="4"/>
  <c r="AQ31" i="6" s="1"/>
  <c r="L57" i="6" s="1"/>
  <c r="L71" i="6" s="1"/>
  <c r="AD70" i="4"/>
  <c r="AE31" i="6" s="1"/>
  <c r="AO70" i="4"/>
  <c r="AP31" i="6" s="1"/>
  <c r="BB66" i="4"/>
  <c r="X31" i="9" s="1"/>
  <c r="AB70" i="4"/>
  <c r="AC31" i="6" s="1"/>
  <c r="V57" i="6" s="1"/>
  <c r="V71" i="6" s="1"/>
  <c r="BC66" i="4"/>
  <c r="W31" i="9" s="1"/>
  <c r="BE90" i="4"/>
  <c r="AU70" i="4"/>
  <c r="AV31" i="6" s="1"/>
  <c r="C57" i="6" s="1"/>
  <c r="C72" i="6" s="1"/>
  <c r="AG70" i="4"/>
  <c r="AH31" i="6" s="1"/>
  <c r="U57" i="6" s="1"/>
  <c r="U71" i="6" s="1"/>
  <c r="BC65" i="4"/>
  <c r="C79" i="4" s="1"/>
  <c r="AH70" i="4"/>
  <c r="AI31" i="6" s="1"/>
  <c r="G57" i="6" s="1"/>
  <c r="Y70" i="4"/>
  <c r="Z31" i="6" s="1"/>
  <c r="BC64" i="4"/>
  <c r="W29" i="9" s="1"/>
  <c r="BB89" i="4"/>
  <c r="BB64" i="4"/>
  <c r="X29" i="9" s="1"/>
  <c r="BI68" i="4"/>
  <c r="U33" i="9"/>
  <c r="BD90" i="4"/>
  <c r="C104" i="4" s="1"/>
  <c r="BB90" i="4"/>
  <c r="C102" i="4" s="1"/>
  <c r="BB44" i="4"/>
  <c r="O31" i="9" s="1"/>
  <c r="BC67" i="4"/>
  <c r="W32" i="9" s="1"/>
  <c r="BB91" i="4"/>
  <c r="BD89" i="4"/>
  <c r="BC44" i="4"/>
  <c r="L31" i="9" s="1"/>
  <c r="P31" i="9" s="1"/>
  <c r="AJ70" i="4"/>
  <c r="AK31" i="6" s="1"/>
  <c r="E57" i="6" s="1"/>
  <c r="BB65" i="4"/>
  <c r="C78" i="4" s="1"/>
  <c r="BE44" i="4"/>
  <c r="N31" i="9" s="1"/>
  <c r="BC90" i="4"/>
  <c r="C103" i="4" s="1"/>
  <c r="BD91" i="4"/>
  <c r="BE89" i="4"/>
  <c r="BC89" i="4"/>
  <c r="M70" i="4"/>
  <c r="N32" i="6" s="1"/>
  <c r="P57" i="6" s="1"/>
  <c r="BB67" i="4"/>
  <c r="X32" i="9" s="1"/>
  <c r="BD64" i="4"/>
  <c r="X70" i="4"/>
  <c r="Y31" i="6" s="1"/>
  <c r="H57" i="6" s="1"/>
  <c r="BE91" i="4"/>
  <c r="BC91" i="4"/>
  <c r="Q30" i="9"/>
  <c r="AA70" i="4"/>
  <c r="AB31" i="6" s="1"/>
  <c r="S57" i="6" s="1"/>
  <c r="AB92" i="4"/>
  <c r="AB95" i="4" s="1"/>
  <c r="C95" i="4"/>
  <c r="AM92" i="4"/>
  <c r="AM95" i="4" s="1"/>
  <c r="AH92" i="4"/>
  <c r="AH95" i="4" s="1"/>
  <c r="AJ92" i="4"/>
  <c r="AJ95" i="4" s="1"/>
  <c r="AP92" i="4"/>
  <c r="AP95" i="4" s="1"/>
  <c r="BF67" i="4"/>
  <c r="T32" i="9" s="1"/>
  <c r="BG65" i="4"/>
  <c r="U30" i="9" s="1"/>
  <c r="BG64" i="4"/>
  <c r="U29" i="9" s="1"/>
  <c r="AZ70" i="4"/>
  <c r="BA31" i="6" s="1"/>
  <c r="X56" i="6" s="1"/>
  <c r="X71" i="6" s="1"/>
  <c r="AE92" i="4"/>
  <c r="AE95" i="4" s="1"/>
  <c r="Y92" i="4"/>
  <c r="Y95" i="4" s="1"/>
  <c r="BG66" i="4"/>
  <c r="AR70" i="4"/>
  <c r="AS31" i="6" s="1"/>
  <c r="BG91" i="4"/>
  <c r="BI91" i="4" s="1"/>
  <c r="BE64" i="4"/>
  <c r="S29" i="9" s="1"/>
  <c r="BD66" i="4"/>
  <c r="V31" i="9" s="1"/>
  <c r="BF65" i="4"/>
  <c r="T30" i="9" s="1"/>
  <c r="BH68" i="4"/>
  <c r="BE65" i="4"/>
  <c r="S30" i="9" s="1"/>
  <c r="AX95" i="4"/>
  <c r="BF89" i="4"/>
  <c r="AD92" i="4"/>
  <c r="AD95" i="4" s="1"/>
  <c r="AN92" i="4"/>
  <c r="AN95" i="4" s="1"/>
  <c r="AV92" i="4"/>
  <c r="AV95" i="4" s="1"/>
  <c r="U92" i="4"/>
  <c r="U95" i="4" s="1"/>
  <c r="AK92" i="4"/>
  <c r="AK95" i="4" s="1"/>
  <c r="S92" i="4"/>
  <c r="S95" i="4" s="1"/>
  <c r="P92" i="4"/>
  <c r="P95" i="4" s="1"/>
  <c r="Q92" i="4"/>
  <c r="Q95" i="4" s="1"/>
  <c r="F92" i="4"/>
  <c r="F95" i="4" s="1"/>
  <c r="L92" i="4"/>
  <c r="L95" i="4" s="1"/>
  <c r="H92" i="4"/>
  <c r="H95" i="4" s="1"/>
  <c r="AF92" i="4"/>
  <c r="AF95" i="4" s="1"/>
  <c r="AC92" i="4"/>
  <c r="G92" i="4"/>
  <c r="G95" i="4" s="1"/>
  <c r="N92" i="4"/>
  <c r="N95" i="4" s="1"/>
  <c r="AS92" i="4"/>
  <c r="AS95" i="4" s="1"/>
  <c r="M92" i="4"/>
  <c r="AY92" i="4"/>
  <c r="AY95" i="4" s="1"/>
  <c r="AA92" i="4"/>
  <c r="AA95" i="4" s="1"/>
  <c r="Z92" i="4"/>
  <c r="Z95" i="4" s="1"/>
  <c r="I92" i="4"/>
  <c r="I95" i="4" s="1"/>
  <c r="R92" i="4"/>
  <c r="R95" i="4" s="1"/>
  <c r="AI92" i="4"/>
  <c r="AI95" i="4" s="1"/>
  <c r="BA92" i="4"/>
  <c r="BA95" i="4" s="1"/>
  <c r="D92" i="4"/>
  <c r="D95" i="4" s="1"/>
  <c r="J92" i="4"/>
  <c r="J95" i="4" s="1"/>
  <c r="V92" i="4"/>
  <c r="V95" i="4" s="1"/>
  <c r="T92" i="4"/>
  <c r="T95" i="4" s="1"/>
  <c r="X92" i="4"/>
  <c r="E92" i="4"/>
  <c r="E95" i="4" s="1"/>
  <c r="K92" i="4"/>
  <c r="K95" i="4" s="1"/>
  <c r="O92" i="4"/>
  <c r="O95" i="4" s="1"/>
  <c r="AQ92" i="4"/>
  <c r="AQ95" i="4" s="1"/>
  <c r="AL92" i="4"/>
  <c r="AL95" i="4" s="1"/>
  <c r="AT92" i="4"/>
  <c r="AT95" i="4" s="1"/>
  <c r="AZ92" i="4"/>
  <c r="AZ95" i="4" s="1"/>
  <c r="AG92" i="4"/>
  <c r="AG95" i="4" s="1"/>
  <c r="BG90" i="4"/>
  <c r="BI90" i="4" s="1"/>
  <c r="BF66" i="4"/>
  <c r="T31" i="9" s="1"/>
  <c r="AW92" i="4"/>
  <c r="AW95" i="4" s="1"/>
  <c r="BD67" i="4"/>
  <c r="V32" i="9" s="1"/>
  <c r="AQ70" i="4"/>
  <c r="AR31" i="6" s="1"/>
  <c r="BE67" i="4"/>
  <c r="S32" i="9" s="1"/>
  <c r="BD65" i="4"/>
  <c r="BE66" i="4"/>
  <c r="S31" i="9" s="1"/>
  <c r="AU92" i="4"/>
  <c r="AU95" i="4" s="1"/>
  <c r="AR92" i="4"/>
  <c r="AR95" i="4" s="1"/>
  <c r="BG89" i="4"/>
  <c r="BI89" i="4" s="1"/>
  <c r="AO92" i="4"/>
  <c r="AO95" i="4" s="1"/>
  <c r="AC70" i="4"/>
  <c r="BF64" i="4"/>
  <c r="T29" i="9" s="1"/>
  <c r="BH93" i="4"/>
  <c r="AI70" i="4"/>
  <c r="AJ31" i="6" s="1"/>
  <c r="Y56" i="6" s="1"/>
  <c r="Y70" i="6" s="1"/>
  <c r="BF91" i="4"/>
  <c r="AE70" i="4"/>
  <c r="AF31" i="6" s="1"/>
  <c r="Q57" i="6" s="1"/>
  <c r="BG67" i="4"/>
  <c r="AK70" i="4"/>
  <c r="AL31" i="6" s="1"/>
  <c r="J57" i="6" s="1"/>
  <c r="J71" i="6" s="1"/>
  <c r="AY70" i="4"/>
  <c r="AZ31" i="6" s="1"/>
  <c r="T57" i="6" s="1"/>
  <c r="T71" i="6" s="1"/>
  <c r="BF90" i="4"/>
  <c r="W92" i="4"/>
  <c r="W95" i="4" s="1"/>
  <c r="AM70" i="4"/>
  <c r="AN31" i="6" s="1"/>
  <c r="I57" i="6" s="1"/>
  <c r="O43" i="2"/>
  <c r="N42" i="2"/>
  <c r="S8" i="9" l="1"/>
  <c r="S26" i="9" s="1"/>
  <c r="V5" i="9"/>
  <c r="V7" i="9"/>
  <c r="V6" i="9"/>
  <c r="BD28" i="3"/>
  <c r="BE25" i="3"/>
  <c r="BC25" i="3"/>
  <c r="BD25" i="3"/>
  <c r="BC28" i="3"/>
  <c r="BE29" i="3"/>
  <c r="T11" i="9" s="1"/>
  <c r="BE22" i="3"/>
  <c r="AZ29" i="3"/>
  <c r="BD22" i="3"/>
  <c r="BA28" i="3"/>
  <c r="BD29" i="3"/>
  <c r="U11" i="9" s="1"/>
  <c r="BA25" i="3"/>
  <c r="BC29" i="3"/>
  <c r="S11" i="9" s="1"/>
  <c r="S24" i="9" s="1"/>
  <c r="BB25" i="3"/>
  <c r="BB22" i="3"/>
  <c r="BB28" i="3"/>
  <c r="BB29" i="3"/>
  <c r="W11" i="9" s="1"/>
  <c r="W24" i="9" s="1"/>
  <c r="BA29" i="3"/>
  <c r="X11" i="9" s="1"/>
  <c r="X24" i="9" s="1"/>
  <c r="BC22" i="3"/>
  <c r="M72" i="6"/>
  <c r="L72" i="6"/>
  <c r="F72" i="6"/>
  <c r="W72" i="6"/>
  <c r="AZ28" i="3"/>
  <c r="AZ25" i="3"/>
  <c r="AX28" i="3"/>
  <c r="AX25" i="3"/>
  <c r="AY25" i="3" s="1"/>
  <c r="AX22" i="3"/>
  <c r="AY22" i="3" s="1"/>
  <c r="P65" i="6"/>
  <c r="P69" i="6"/>
  <c r="P62" i="6"/>
  <c r="P64" i="6"/>
  <c r="P67" i="6"/>
  <c r="P71" i="6"/>
  <c r="S65" i="6"/>
  <c r="S69" i="6"/>
  <c r="S62" i="6"/>
  <c r="S64" i="6"/>
  <c r="S67" i="6"/>
  <c r="S72" i="6"/>
  <c r="Q69" i="6"/>
  <c r="Q64" i="6"/>
  <c r="Q62" i="6"/>
  <c r="Q65" i="6"/>
  <c r="Q67" i="6"/>
  <c r="T72" i="6"/>
  <c r="X70" i="6"/>
  <c r="BB70" i="4"/>
  <c r="BD70" i="4" s="1"/>
  <c r="AD31" i="6"/>
  <c r="O57" i="6" s="1"/>
  <c r="V65" i="6"/>
  <c r="V62" i="6"/>
  <c r="V69" i="6"/>
  <c r="V64" i="6"/>
  <c r="V67" i="6"/>
  <c r="R72" i="6"/>
  <c r="N72" i="6"/>
  <c r="S71" i="6"/>
  <c r="Q71" i="6"/>
  <c r="I65" i="6"/>
  <c r="I62" i="6"/>
  <c r="I69" i="6"/>
  <c r="I64" i="6"/>
  <c r="I67" i="6"/>
  <c r="Y64" i="6"/>
  <c r="Y61" i="6"/>
  <c r="Y63" i="6"/>
  <c r="Y66" i="6"/>
  <c r="H62" i="6"/>
  <c r="H69" i="6"/>
  <c r="H64" i="6"/>
  <c r="H65" i="6"/>
  <c r="H71" i="6"/>
  <c r="H67" i="6"/>
  <c r="G65" i="6"/>
  <c r="G69" i="6"/>
  <c r="G62" i="6"/>
  <c r="G64" i="6"/>
  <c r="G71" i="6"/>
  <c r="G67" i="6"/>
  <c r="P72" i="6"/>
  <c r="R64" i="6"/>
  <c r="R69" i="6"/>
  <c r="R65" i="6"/>
  <c r="R62" i="6"/>
  <c r="R71" i="6"/>
  <c r="R67" i="6"/>
  <c r="N64" i="6"/>
  <c r="N62" i="6"/>
  <c r="N69" i="6"/>
  <c r="N65" i="6"/>
  <c r="N67" i="6"/>
  <c r="N71" i="6"/>
  <c r="W65" i="6"/>
  <c r="W64" i="6"/>
  <c r="W62" i="6"/>
  <c r="W69" i="6"/>
  <c r="W67" i="6"/>
  <c r="W71" i="6"/>
  <c r="T64" i="6"/>
  <c r="T65" i="6"/>
  <c r="T69" i="6"/>
  <c r="T62" i="6"/>
  <c r="T67" i="6"/>
  <c r="X61" i="6"/>
  <c r="X64" i="6"/>
  <c r="X63" i="6"/>
  <c r="X66" i="6"/>
  <c r="I71" i="6"/>
  <c r="H72" i="6"/>
  <c r="G72" i="6"/>
  <c r="I72" i="6"/>
  <c r="J65" i="6"/>
  <c r="J69" i="6"/>
  <c r="J62" i="6"/>
  <c r="J64" i="6"/>
  <c r="J67" i="6"/>
  <c r="E65" i="6"/>
  <c r="E62" i="6"/>
  <c r="E69" i="6"/>
  <c r="E64" i="6"/>
  <c r="E67" i="6"/>
  <c r="U65" i="6"/>
  <c r="U62" i="6"/>
  <c r="U64" i="6"/>
  <c r="U69" i="6"/>
  <c r="U67" i="6"/>
  <c r="L65" i="6"/>
  <c r="L64" i="6"/>
  <c r="L69" i="6"/>
  <c r="L62" i="6"/>
  <c r="L67" i="6"/>
  <c r="E72" i="6"/>
  <c r="U72" i="6"/>
  <c r="D72" i="6"/>
  <c r="E71" i="6"/>
  <c r="Q72" i="6"/>
  <c r="D62" i="6"/>
  <c r="D69" i="6"/>
  <c r="D64" i="6"/>
  <c r="D65" i="6"/>
  <c r="D67" i="6"/>
  <c r="D71" i="6"/>
  <c r="J72" i="6"/>
  <c r="Y71" i="6"/>
  <c r="C64" i="6"/>
  <c r="C65" i="6"/>
  <c r="C62" i="6"/>
  <c r="C69" i="6"/>
  <c r="C67" i="6"/>
  <c r="C71" i="6"/>
  <c r="V72" i="6"/>
  <c r="M65" i="6"/>
  <c r="M69" i="6"/>
  <c r="M62" i="6"/>
  <c r="M64" i="6"/>
  <c r="M71" i="6"/>
  <c r="M67" i="6"/>
  <c r="F65" i="6"/>
  <c r="F64" i="6"/>
  <c r="F69" i="6"/>
  <c r="F62" i="6"/>
  <c r="F71" i="6"/>
  <c r="F67" i="6"/>
  <c r="AX29" i="3"/>
  <c r="G47" i="3"/>
  <c r="P47" i="3"/>
  <c r="M47" i="3"/>
  <c r="Q47" i="3"/>
  <c r="F47" i="3"/>
  <c r="H47" i="3"/>
  <c r="J47" i="3"/>
  <c r="L47" i="3"/>
  <c r="R47" i="3"/>
  <c r="I47" i="3"/>
  <c r="N47" i="3"/>
  <c r="O47" i="3"/>
  <c r="K47" i="3"/>
  <c r="AQ47" i="3"/>
  <c r="AS47" i="3"/>
  <c r="V47" i="3"/>
  <c r="AK47" i="3"/>
  <c r="AN47" i="3"/>
  <c r="AV47" i="3"/>
  <c r="AR47" i="3"/>
  <c r="AT47" i="3"/>
  <c r="AP47" i="3"/>
  <c r="Y47" i="3"/>
  <c r="S47" i="3"/>
  <c r="W47" i="3"/>
  <c r="AG47" i="3"/>
  <c r="AF47" i="3"/>
  <c r="AA47" i="3"/>
  <c r="AJ47" i="3"/>
  <c r="X47" i="3"/>
  <c r="AH47" i="3"/>
  <c r="AC47" i="3"/>
  <c r="AL47" i="3"/>
  <c r="T47" i="3"/>
  <c r="AM47" i="3"/>
  <c r="Z47" i="3"/>
  <c r="U47" i="3"/>
  <c r="AW47" i="3"/>
  <c r="AI47" i="3"/>
  <c r="AB47" i="3"/>
  <c r="AU47" i="3"/>
  <c r="AE47" i="3"/>
  <c r="AO47" i="3"/>
  <c r="R26" i="3"/>
  <c r="R49" i="3" s="1"/>
  <c r="D26" i="3"/>
  <c r="C12" i="9" s="1"/>
  <c r="C16" i="9" s="1"/>
  <c r="I26" i="3"/>
  <c r="I49" i="3" s="1"/>
  <c r="J26" i="3"/>
  <c r="J49" i="3" s="1"/>
  <c r="K26" i="3"/>
  <c r="K49" i="3" s="1"/>
  <c r="N26" i="3"/>
  <c r="N49" i="3" s="1"/>
  <c r="G26" i="3"/>
  <c r="G49" i="3" s="1"/>
  <c r="L26" i="3"/>
  <c r="L49" i="3" s="1"/>
  <c r="O26" i="3"/>
  <c r="O49" i="3" s="1"/>
  <c r="H26" i="3"/>
  <c r="H49" i="3" s="1"/>
  <c r="P26" i="3"/>
  <c r="P49" i="3" s="1"/>
  <c r="M26" i="3"/>
  <c r="Q26" i="3"/>
  <c r="Q49" i="3" s="1"/>
  <c r="F26" i="3"/>
  <c r="F49" i="3" s="1"/>
  <c r="E26" i="3"/>
  <c r="AE26" i="3"/>
  <c r="AE49" i="3" s="1"/>
  <c r="AA26" i="3"/>
  <c r="AA49" i="3" s="1"/>
  <c r="W26" i="3"/>
  <c r="AG26" i="3"/>
  <c r="AG49" i="3" s="1"/>
  <c r="AH26" i="3"/>
  <c r="AH49" i="3" s="1"/>
  <c r="AR26" i="3"/>
  <c r="AR49" i="3" s="1"/>
  <c r="Y26" i="3"/>
  <c r="Y49" i="3" s="1"/>
  <c r="S26" i="3"/>
  <c r="S49" i="3" s="1"/>
  <c r="AS26" i="3"/>
  <c r="AS49" i="3" s="1"/>
  <c r="AN26" i="3"/>
  <c r="AN49" i="3" s="1"/>
  <c r="AV26" i="3"/>
  <c r="AV49" i="3" s="1"/>
  <c r="AB26" i="3"/>
  <c r="AB49" i="3" s="1"/>
  <c r="AK26" i="3"/>
  <c r="AK49" i="3" s="1"/>
  <c r="AJ26" i="3"/>
  <c r="AJ49" i="3" s="1"/>
  <c r="V26" i="3"/>
  <c r="V49" i="3" s="1"/>
  <c r="AM26" i="3"/>
  <c r="AM49" i="3" s="1"/>
  <c r="AO26" i="3"/>
  <c r="AO49" i="3" s="1"/>
  <c r="AW26" i="3"/>
  <c r="AW49" i="3" s="1"/>
  <c r="Z26" i="3"/>
  <c r="Z49" i="3" s="1"/>
  <c r="AD26" i="3"/>
  <c r="AQ26" i="3"/>
  <c r="AQ49" i="3" s="1"/>
  <c r="AI26" i="3"/>
  <c r="U26" i="3"/>
  <c r="U49" i="3" s="1"/>
  <c r="AF26" i="3"/>
  <c r="AF49" i="3" s="1"/>
  <c r="AP26" i="3"/>
  <c r="AP49" i="3" s="1"/>
  <c r="X26" i="3"/>
  <c r="AC26" i="3"/>
  <c r="AC49" i="3" s="1"/>
  <c r="AL26" i="3"/>
  <c r="AL49" i="3" s="1"/>
  <c r="AU26" i="3"/>
  <c r="AU49" i="3" s="1"/>
  <c r="T26" i="3"/>
  <c r="AT26" i="3"/>
  <c r="AT49" i="3" s="1"/>
  <c r="AD50" i="3"/>
  <c r="E50" i="3"/>
  <c r="I24" i="3"/>
  <c r="E24" i="3"/>
  <c r="J24" i="3"/>
  <c r="O24" i="3"/>
  <c r="Q24" i="3"/>
  <c r="F24" i="3"/>
  <c r="N24" i="3"/>
  <c r="L24" i="3"/>
  <c r="H24" i="3"/>
  <c r="K24" i="3"/>
  <c r="R24" i="3"/>
  <c r="G24" i="3"/>
  <c r="P24" i="3"/>
  <c r="M24" i="3"/>
  <c r="D24" i="3"/>
  <c r="AP24" i="3"/>
  <c r="AJ24" i="3"/>
  <c r="AB24" i="3"/>
  <c r="AU24" i="3"/>
  <c r="AM24" i="3"/>
  <c r="Z24" i="3"/>
  <c r="U24" i="3"/>
  <c r="T24" i="3"/>
  <c r="W24" i="3"/>
  <c r="AW24" i="3"/>
  <c r="AI24" i="3"/>
  <c r="V24" i="3"/>
  <c r="AG24" i="3"/>
  <c r="AA24" i="3"/>
  <c r="Y24" i="3"/>
  <c r="AR24" i="3"/>
  <c r="AL24" i="3"/>
  <c r="AE24" i="3"/>
  <c r="AO24" i="3"/>
  <c r="AS24" i="3"/>
  <c r="AV24" i="3"/>
  <c r="X24" i="3"/>
  <c r="AN24" i="3"/>
  <c r="AQ24" i="3"/>
  <c r="S24" i="3"/>
  <c r="AK24" i="3"/>
  <c r="AT24" i="3"/>
  <c r="AH24" i="3"/>
  <c r="AC24" i="3"/>
  <c r="AF24" i="3"/>
  <c r="AD24" i="3"/>
  <c r="Q23" i="3"/>
  <c r="P23" i="3"/>
  <c r="I23" i="3"/>
  <c r="R23" i="3"/>
  <c r="M23" i="3"/>
  <c r="F23" i="3"/>
  <c r="L23" i="3"/>
  <c r="N23" i="3"/>
  <c r="G23" i="3"/>
  <c r="O23" i="3"/>
  <c r="J23" i="3"/>
  <c r="H23" i="3"/>
  <c r="K23" i="3"/>
  <c r="D23" i="3"/>
  <c r="D55" i="3" s="1"/>
  <c r="C10" i="9" s="1"/>
  <c r="C14" i="9" s="1"/>
  <c r="C55" i="3"/>
  <c r="E23" i="3"/>
  <c r="C33" i="3"/>
  <c r="AN23" i="3"/>
  <c r="AV23" i="3"/>
  <c r="Y23" i="3"/>
  <c r="S23" i="3"/>
  <c r="AK23" i="3"/>
  <c r="AT23" i="3"/>
  <c r="AA23" i="3"/>
  <c r="AG23" i="3"/>
  <c r="AF23" i="3"/>
  <c r="AJ23" i="3"/>
  <c r="X23" i="3"/>
  <c r="AH23" i="3"/>
  <c r="AC23" i="3"/>
  <c r="AL23" i="3"/>
  <c r="AE23" i="3"/>
  <c r="AQ23" i="3"/>
  <c r="AB23" i="3"/>
  <c r="AR23" i="3"/>
  <c r="AD23" i="3"/>
  <c r="AP23" i="3"/>
  <c r="AO23" i="3"/>
  <c r="W23" i="3"/>
  <c r="AU23" i="3"/>
  <c r="T23" i="3"/>
  <c r="AM23" i="3"/>
  <c r="AW23" i="3"/>
  <c r="Z23" i="3"/>
  <c r="U23" i="3"/>
  <c r="AI23" i="3"/>
  <c r="AS23" i="3"/>
  <c r="V23" i="3"/>
  <c r="I27" i="3"/>
  <c r="L27" i="3"/>
  <c r="R27" i="3"/>
  <c r="D27" i="3"/>
  <c r="F27" i="3"/>
  <c r="K27" i="3"/>
  <c r="N27" i="3"/>
  <c r="G27" i="3"/>
  <c r="J27" i="3"/>
  <c r="O27" i="3"/>
  <c r="E27" i="3"/>
  <c r="M27" i="3"/>
  <c r="P27" i="3"/>
  <c r="H27" i="3"/>
  <c r="Q27" i="3"/>
  <c r="AO27" i="3"/>
  <c r="AD27" i="3"/>
  <c r="AE27" i="3"/>
  <c r="AQ27" i="3"/>
  <c r="W27" i="3"/>
  <c r="AH27" i="3"/>
  <c r="AL27" i="3"/>
  <c r="AA27" i="3"/>
  <c r="AG27" i="3"/>
  <c r="Z27" i="3"/>
  <c r="AR27" i="3"/>
  <c r="AS27" i="3"/>
  <c r="AT27" i="3"/>
  <c r="AF27" i="3"/>
  <c r="X27" i="3"/>
  <c r="AW27" i="3"/>
  <c r="AB27" i="3"/>
  <c r="AC27" i="3"/>
  <c r="T27" i="3"/>
  <c r="V27" i="3"/>
  <c r="S27" i="3"/>
  <c r="AN27" i="3"/>
  <c r="AP27" i="3"/>
  <c r="AV27" i="3"/>
  <c r="Y27" i="3"/>
  <c r="AK27" i="3"/>
  <c r="AI27" i="3"/>
  <c r="AJ27" i="3"/>
  <c r="AM27" i="3"/>
  <c r="U27" i="3"/>
  <c r="AU27" i="3"/>
  <c r="AD48" i="3"/>
  <c r="E48" i="3"/>
  <c r="BH91" i="4"/>
  <c r="BI65" i="4"/>
  <c r="BI64" i="4"/>
  <c r="C77" i="4"/>
  <c r="C75" i="4"/>
  <c r="X30" i="9"/>
  <c r="X34" i="9" s="1"/>
  <c r="X35" i="9" s="1"/>
  <c r="W30" i="9"/>
  <c r="W34" i="9" s="1"/>
  <c r="W35" i="9" s="1"/>
  <c r="BC92" i="4"/>
  <c r="C100" i="4" s="1"/>
  <c r="BE92" i="4"/>
  <c r="C76" i="4"/>
  <c r="C74" i="4"/>
  <c r="V30" i="9"/>
  <c r="C80" i="4"/>
  <c r="M95" i="4"/>
  <c r="BB92" i="4"/>
  <c r="BB95" i="4" s="1"/>
  <c r="BD95" i="4" s="1"/>
  <c r="V29" i="9"/>
  <c r="BD92" i="4"/>
  <c r="C101" i="4" s="1"/>
  <c r="Q31" i="9"/>
  <c r="S34" i="9"/>
  <c r="S35" i="9" s="1"/>
  <c r="T34" i="9"/>
  <c r="T35" i="9" s="1"/>
  <c r="BI67" i="4"/>
  <c r="U32" i="9"/>
  <c r="BI66" i="4"/>
  <c r="U31" i="9"/>
  <c r="BH65" i="4"/>
  <c r="BF92" i="4"/>
  <c r="BH66" i="4"/>
  <c r="BH90" i="4"/>
  <c r="BH67" i="4"/>
  <c r="BH64" i="4"/>
  <c r="AC95" i="4"/>
  <c r="BH89" i="4"/>
  <c r="X95" i="4"/>
  <c r="BG92" i="4"/>
  <c r="BI92" i="4" s="1"/>
  <c r="C17" i="9" l="1"/>
  <c r="V8" i="9"/>
  <c r="BC27" i="3"/>
  <c r="BD24" i="3"/>
  <c r="BE23" i="3"/>
  <c r="T10" i="9" s="1"/>
  <c r="BD23" i="3"/>
  <c r="U10" i="9" s="1"/>
  <c r="BE24" i="3"/>
  <c r="V11" i="9"/>
  <c r="V24" i="9" s="1"/>
  <c r="BD27" i="3"/>
  <c r="X49" i="3"/>
  <c r="BD26" i="3"/>
  <c r="U12" i="9" s="1"/>
  <c r="AI49" i="3"/>
  <c r="BE26" i="3"/>
  <c r="T12" i="9" s="1"/>
  <c r="BE27" i="3"/>
  <c r="BB27" i="3"/>
  <c r="BB23" i="3"/>
  <c r="BC24" i="3"/>
  <c r="BA24" i="3"/>
  <c r="BB24" i="3"/>
  <c r="T49" i="3"/>
  <c r="BB26" i="3"/>
  <c r="W12" i="9" s="1"/>
  <c r="W25" i="9" s="1"/>
  <c r="M49" i="3"/>
  <c r="BA26" i="3"/>
  <c r="X12" i="9" s="1"/>
  <c r="X25" i="9" s="1"/>
  <c r="BA23" i="3"/>
  <c r="X10" i="9" s="1"/>
  <c r="X23" i="9" s="1"/>
  <c r="BC26" i="3"/>
  <c r="S12" i="9" s="1"/>
  <c r="S25" i="9" s="1"/>
  <c r="BA27" i="3"/>
  <c r="BC23" i="3"/>
  <c r="S10" i="9" s="1"/>
  <c r="S23" i="9" s="1"/>
  <c r="W49" i="3"/>
  <c r="O64" i="6"/>
  <c r="O62" i="6"/>
  <c r="O69" i="6"/>
  <c r="O65" i="6"/>
  <c r="O67" i="6"/>
  <c r="O71" i="6"/>
  <c r="O72" i="6"/>
  <c r="C85" i="3"/>
  <c r="AH85" i="3" s="1"/>
  <c r="O55" i="3"/>
  <c r="O46" i="3"/>
  <c r="G46" i="3"/>
  <c r="G55" i="3"/>
  <c r="AB55" i="3"/>
  <c r="AB46" i="3"/>
  <c r="AG55" i="3"/>
  <c r="AG46" i="3"/>
  <c r="AZ24" i="3"/>
  <c r="AS55" i="3"/>
  <c r="AS46" i="3"/>
  <c r="AL55" i="3"/>
  <c r="AL46" i="3"/>
  <c r="E49" i="3"/>
  <c r="AX26" i="3"/>
  <c r="AY26" i="3" s="1"/>
  <c r="AI55" i="3"/>
  <c r="AI46" i="3"/>
  <c r="AO55" i="3"/>
  <c r="AO46" i="3"/>
  <c r="AC46" i="3"/>
  <c r="AC55" i="3"/>
  <c r="AK46" i="3"/>
  <c r="AK55" i="3"/>
  <c r="F55" i="3"/>
  <c r="F46" i="3"/>
  <c r="AM55" i="3"/>
  <c r="AM46" i="3"/>
  <c r="AN55" i="3"/>
  <c r="AN46" i="3"/>
  <c r="AM33" i="3"/>
  <c r="AM56" i="3" s="1"/>
  <c r="AR8" i="6" s="1"/>
  <c r="J33" i="3"/>
  <c r="J56" i="3" s="1"/>
  <c r="K8" i="6" s="1"/>
  <c r="E33" i="3"/>
  <c r="AO33" i="3"/>
  <c r="AO56" i="3" s="1"/>
  <c r="AT8" i="6" s="1"/>
  <c r="W33" i="3"/>
  <c r="W56" i="3" s="1"/>
  <c r="AB8" i="6" s="1"/>
  <c r="U33" i="3"/>
  <c r="U56" i="3" s="1"/>
  <c r="Z8" i="6" s="1"/>
  <c r="AL33" i="3"/>
  <c r="AL56" i="3" s="1"/>
  <c r="AQ8" i="6" s="1"/>
  <c r="R33" i="3"/>
  <c r="R56" i="3" s="1"/>
  <c r="M33" i="3"/>
  <c r="M56" i="3" s="1"/>
  <c r="N8" i="6" s="1"/>
  <c r="Z33" i="3"/>
  <c r="Z56" i="3" s="1"/>
  <c r="AE8" i="6" s="1"/>
  <c r="AA33" i="3"/>
  <c r="AA56" i="3" s="1"/>
  <c r="AF8" i="6" s="1"/>
  <c r="AD33" i="3"/>
  <c r="H33" i="3"/>
  <c r="H56" i="3" s="1"/>
  <c r="I8" i="6" s="1"/>
  <c r="D33" i="3"/>
  <c r="D56" i="3" s="1"/>
  <c r="L33" i="3"/>
  <c r="L56" i="3" s="1"/>
  <c r="M8" i="6" s="1"/>
  <c r="AW33" i="3"/>
  <c r="AW56" i="3" s="1"/>
  <c r="BB8" i="6" s="1"/>
  <c r="AJ33" i="3"/>
  <c r="AJ56" i="3" s="1"/>
  <c r="AO8" i="6" s="1"/>
  <c r="S33" i="3"/>
  <c r="S56" i="3" s="1"/>
  <c r="X8" i="6" s="1"/>
  <c r="AF33" i="3"/>
  <c r="AF56" i="3" s="1"/>
  <c r="AK8" i="6" s="1"/>
  <c r="O33" i="3"/>
  <c r="O56" i="3" s="1"/>
  <c r="P8" i="6" s="1"/>
  <c r="AU33" i="3"/>
  <c r="AU56" i="3" s="1"/>
  <c r="AZ8" i="6" s="1"/>
  <c r="I33" i="3"/>
  <c r="I56" i="3" s="1"/>
  <c r="J8" i="6" s="1"/>
  <c r="AV33" i="3"/>
  <c r="AV56" i="3" s="1"/>
  <c r="BA8" i="6" s="1"/>
  <c r="AT33" i="3"/>
  <c r="AT56" i="3" s="1"/>
  <c r="AY8" i="6" s="1"/>
  <c r="X33" i="3"/>
  <c r="X56" i="3" s="1"/>
  <c r="AC8" i="6" s="1"/>
  <c r="P33" i="3"/>
  <c r="P56" i="3" s="1"/>
  <c r="Q8" i="6" s="1"/>
  <c r="Y33" i="3"/>
  <c r="Y56" i="3" s="1"/>
  <c r="AD8" i="6" s="1"/>
  <c r="AS33" i="3"/>
  <c r="AS56" i="3" s="1"/>
  <c r="AX8" i="6" s="1"/>
  <c r="AB33" i="3"/>
  <c r="AB56" i="3" s="1"/>
  <c r="AG8" i="6" s="1"/>
  <c r="T33" i="3"/>
  <c r="T56" i="3" s="1"/>
  <c r="Y8" i="6" s="1"/>
  <c r="AE33" i="3"/>
  <c r="AE56" i="3" s="1"/>
  <c r="AJ8" i="6" s="1"/>
  <c r="Q33" i="3"/>
  <c r="Q56" i="3" s="1"/>
  <c r="R8" i="6" s="1"/>
  <c r="AR33" i="3"/>
  <c r="AR56" i="3" s="1"/>
  <c r="AW8" i="6" s="1"/>
  <c r="F33" i="3"/>
  <c r="F56" i="3" s="1"/>
  <c r="F8" i="6" s="1"/>
  <c r="C56" i="3"/>
  <c r="G33" i="3"/>
  <c r="G56" i="3" s="1"/>
  <c r="G8" i="6" s="1"/>
  <c r="AH33" i="3"/>
  <c r="AH56" i="3" s="1"/>
  <c r="AM8" i="6" s="1"/>
  <c r="AQ33" i="3"/>
  <c r="AQ56" i="3" s="1"/>
  <c r="AV8" i="6" s="1"/>
  <c r="AI33" i="3"/>
  <c r="AI56" i="3" s="1"/>
  <c r="AN8" i="6" s="1"/>
  <c r="AK33" i="3"/>
  <c r="AK56" i="3" s="1"/>
  <c r="AP8" i="6" s="1"/>
  <c r="AC33" i="3"/>
  <c r="AC56" i="3" s="1"/>
  <c r="AH8" i="6" s="1"/>
  <c r="AG33" i="3"/>
  <c r="AG56" i="3" s="1"/>
  <c r="AL8" i="6" s="1"/>
  <c r="K33" i="3"/>
  <c r="K56" i="3" s="1"/>
  <c r="L8" i="6" s="1"/>
  <c r="N33" i="3"/>
  <c r="N56" i="3" s="1"/>
  <c r="O8" i="6" s="1"/>
  <c r="V33" i="3"/>
  <c r="V56" i="3" s="1"/>
  <c r="AA8" i="6" s="1"/>
  <c r="AN33" i="3"/>
  <c r="AN56" i="3" s="1"/>
  <c r="AS8" i="6" s="1"/>
  <c r="AP33" i="3"/>
  <c r="AP56" i="3" s="1"/>
  <c r="AU8" i="6" s="1"/>
  <c r="AE46" i="3"/>
  <c r="AE55" i="3"/>
  <c r="N46" i="3"/>
  <c r="N55" i="3"/>
  <c r="L55" i="3"/>
  <c r="L46" i="3"/>
  <c r="U46" i="3"/>
  <c r="U55" i="3"/>
  <c r="AP55" i="3"/>
  <c r="AP46" i="3"/>
  <c r="AH55" i="3"/>
  <c r="AH46" i="3"/>
  <c r="S55" i="3"/>
  <c r="S46" i="3"/>
  <c r="K46" i="3"/>
  <c r="K55" i="3"/>
  <c r="M46" i="3"/>
  <c r="M55" i="3"/>
  <c r="AD47" i="3"/>
  <c r="T55" i="3"/>
  <c r="T46" i="3"/>
  <c r="Q55" i="3"/>
  <c r="Q46" i="3"/>
  <c r="E47" i="3"/>
  <c r="V55" i="3"/>
  <c r="V46" i="3"/>
  <c r="E46" i="3"/>
  <c r="E55" i="3"/>
  <c r="AX23" i="3"/>
  <c r="AY23" i="3" s="1"/>
  <c r="Z55" i="3"/>
  <c r="Z46" i="3"/>
  <c r="AD55" i="3"/>
  <c r="AD46" i="3"/>
  <c r="AZ23" i="3"/>
  <c r="X55" i="3"/>
  <c r="X46" i="3"/>
  <c r="Y55" i="3"/>
  <c r="Y46" i="3"/>
  <c r="H55" i="3"/>
  <c r="H46" i="3"/>
  <c r="R55" i="3"/>
  <c r="R70" i="3" s="1"/>
  <c r="R46" i="3"/>
  <c r="AX24" i="3"/>
  <c r="AF55" i="3"/>
  <c r="AF46" i="3"/>
  <c r="P55" i="3"/>
  <c r="P46" i="3"/>
  <c r="AZ27" i="3"/>
  <c r="AQ46" i="3"/>
  <c r="AQ55" i="3"/>
  <c r="AU46" i="3"/>
  <c r="AU55" i="3"/>
  <c r="AA55" i="3"/>
  <c r="AA46" i="3"/>
  <c r="W55" i="3"/>
  <c r="W46" i="3"/>
  <c r="AT55" i="3"/>
  <c r="AT46" i="3"/>
  <c r="AX27" i="3"/>
  <c r="AW55" i="3"/>
  <c r="AW46" i="3"/>
  <c r="AR55" i="3"/>
  <c r="AR46" i="3"/>
  <c r="AJ46" i="3"/>
  <c r="AJ55" i="3"/>
  <c r="AV55" i="3"/>
  <c r="AV46" i="3"/>
  <c r="J46" i="3"/>
  <c r="J55" i="3"/>
  <c r="I46" i="3"/>
  <c r="I55" i="3"/>
  <c r="AD49" i="3"/>
  <c r="AZ26" i="3"/>
  <c r="V34" i="9"/>
  <c r="V35" i="9" s="1"/>
  <c r="C99" i="4"/>
  <c r="U34" i="9"/>
  <c r="U35" i="9" s="1"/>
  <c r="BH92" i="4"/>
  <c r="V26" i="9" l="1"/>
  <c r="AO27" i="6"/>
  <c r="AO29" i="6"/>
  <c r="AO28" i="6"/>
  <c r="AY28" i="6"/>
  <c r="AY27" i="6"/>
  <c r="AY29" i="6"/>
  <c r="BB28" i="6"/>
  <c r="BB27" i="6"/>
  <c r="M49" i="6" s="1"/>
  <c r="M68" i="6" s="1"/>
  <c r="BB29" i="6"/>
  <c r="AJ28" i="6"/>
  <c r="AJ27" i="6"/>
  <c r="Y49" i="6" s="1"/>
  <c r="Y68" i="6" s="1"/>
  <c r="AJ29" i="6"/>
  <c r="BA28" i="6"/>
  <c r="BA27" i="6"/>
  <c r="X49" i="6" s="1"/>
  <c r="X68" i="6" s="1"/>
  <c r="BA29" i="6"/>
  <c r="AQ28" i="6"/>
  <c r="AQ27" i="6"/>
  <c r="L49" i="6" s="1"/>
  <c r="AQ29" i="6"/>
  <c r="AN27" i="6"/>
  <c r="I49" i="6" s="1"/>
  <c r="AN29" i="6"/>
  <c r="AN28" i="6"/>
  <c r="AS28" i="6"/>
  <c r="AS27" i="6"/>
  <c r="AS29" i="6"/>
  <c r="AV27" i="6"/>
  <c r="C49" i="6" s="1"/>
  <c r="AV29" i="6"/>
  <c r="AV28" i="6"/>
  <c r="Y27" i="6"/>
  <c r="H49" i="6" s="1"/>
  <c r="Y29" i="6"/>
  <c r="Y28" i="6"/>
  <c r="Z27" i="6"/>
  <c r="Z29" i="6"/>
  <c r="Z28" i="6"/>
  <c r="AR28" i="6"/>
  <c r="AR27" i="6"/>
  <c r="AR29" i="6"/>
  <c r="AP28" i="6"/>
  <c r="AP27" i="6"/>
  <c r="AP29" i="6"/>
  <c r="AA28" i="6"/>
  <c r="AA27" i="6"/>
  <c r="AA29" i="6"/>
  <c r="AZ28" i="6"/>
  <c r="AZ27" i="6"/>
  <c r="T49" i="6" s="1"/>
  <c r="AZ29" i="6"/>
  <c r="AB28" i="6"/>
  <c r="AB27" i="6"/>
  <c r="S49" i="6" s="1"/>
  <c r="AB29" i="6"/>
  <c r="AC28" i="6"/>
  <c r="AC27" i="6"/>
  <c r="V49" i="6" s="1"/>
  <c r="AC29" i="6"/>
  <c r="AU27" i="6"/>
  <c r="R49" i="6" s="1"/>
  <c r="AU29" i="6"/>
  <c r="AU28" i="6"/>
  <c r="AT28" i="6"/>
  <c r="AT29" i="6"/>
  <c r="AT27" i="6"/>
  <c r="F49" i="6" s="1"/>
  <c r="AW27" i="6"/>
  <c r="W49" i="6" s="1"/>
  <c r="AW29" i="6"/>
  <c r="AW28" i="6"/>
  <c r="AG27" i="6"/>
  <c r="N49" i="6" s="1"/>
  <c r="AG29" i="6"/>
  <c r="AG28" i="6"/>
  <c r="AX27" i="6"/>
  <c r="D49" i="6" s="1"/>
  <c r="D68" i="6" s="1"/>
  <c r="AX29" i="6"/>
  <c r="AX28" i="6"/>
  <c r="AD29" i="6"/>
  <c r="AD28" i="6"/>
  <c r="AD27" i="6"/>
  <c r="O49" i="6" s="1"/>
  <c r="AK28" i="6"/>
  <c r="AK27" i="6"/>
  <c r="E49" i="6" s="1"/>
  <c r="AK29" i="6"/>
  <c r="AF27" i="6"/>
  <c r="Q49" i="6" s="1"/>
  <c r="AF29" i="6"/>
  <c r="AF28" i="6"/>
  <c r="AH27" i="6"/>
  <c r="U49" i="6" s="1"/>
  <c r="AH29" i="6"/>
  <c r="AH28" i="6"/>
  <c r="AM27" i="6"/>
  <c r="AM29" i="6"/>
  <c r="AM28" i="6"/>
  <c r="AL27" i="6"/>
  <c r="J49" i="6" s="1"/>
  <c r="AL28" i="6"/>
  <c r="AL29" i="6"/>
  <c r="X27" i="6"/>
  <c r="X29" i="6"/>
  <c r="X28" i="6"/>
  <c r="AE27" i="6"/>
  <c r="AE29" i="6"/>
  <c r="AE28" i="6"/>
  <c r="J27" i="6"/>
  <c r="J29" i="6"/>
  <c r="J28" i="6"/>
  <c r="I29" i="6"/>
  <c r="I28" i="6"/>
  <c r="I27" i="6"/>
  <c r="R27" i="6"/>
  <c r="R28" i="6"/>
  <c r="R29" i="6"/>
  <c r="G27" i="6"/>
  <c r="G28" i="6"/>
  <c r="G29" i="6"/>
  <c r="P29" i="6"/>
  <c r="P28" i="6"/>
  <c r="P27" i="6"/>
  <c r="N29" i="6"/>
  <c r="N28" i="6"/>
  <c r="N27" i="6"/>
  <c r="M29" i="6"/>
  <c r="M28" i="6"/>
  <c r="M27" i="6"/>
  <c r="L29" i="6"/>
  <c r="L28" i="6"/>
  <c r="L27" i="6"/>
  <c r="O29" i="6"/>
  <c r="O28" i="6"/>
  <c r="O27" i="6"/>
  <c r="F27" i="6"/>
  <c r="F28" i="6"/>
  <c r="F29" i="6"/>
  <c r="Q27" i="6"/>
  <c r="Q29" i="6"/>
  <c r="Q28" i="6"/>
  <c r="K28" i="6"/>
  <c r="K29" i="6"/>
  <c r="K27" i="6"/>
  <c r="W68" i="6"/>
  <c r="V68" i="6"/>
  <c r="S68" i="6"/>
  <c r="U68" i="6"/>
  <c r="I68" i="6"/>
  <c r="Y55" i="6"/>
  <c r="Y67" i="6" s="1"/>
  <c r="X55" i="6"/>
  <c r="X67" i="6" s="1"/>
  <c r="L68" i="6"/>
  <c r="C68" i="6"/>
  <c r="H68" i="6"/>
  <c r="N68" i="6"/>
  <c r="F68" i="6"/>
  <c r="R68" i="6"/>
  <c r="O68" i="6"/>
  <c r="E68" i="6"/>
  <c r="Q68" i="6"/>
  <c r="T68" i="6"/>
  <c r="J68" i="6"/>
  <c r="V12" i="9"/>
  <c r="V25" i="9" s="1"/>
  <c r="F85" i="3"/>
  <c r="AO85" i="3"/>
  <c r="AO96" i="3" s="1"/>
  <c r="AT36" i="6" s="1"/>
  <c r="F54" i="6" s="1"/>
  <c r="H85" i="3"/>
  <c r="H96" i="3" s="1"/>
  <c r="I37" i="6" s="1"/>
  <c r="AJ85" i="3"/>
  <c r="AJ96" i="3" s="1"/>
  <c r="AO36" i="6" s="1"/>
  <c r="AG85" i="3"/>
  <c r="AG96" i="3" s="1"/>
  <c r="AL36" i="6" s="1"/>
  <c r="J54" i="6" s="1"/>
  <c r="AV85" i="3"/>
  <c r="AV96" i="3" s="1"/>
  <c r="BA36" i="6" s="1"/>
  <c r="X53" i="6" s="1"/>
  <c r="AM85" i="3"/>
  <c r="AM96" i="3" s="1"/>
  <c r="AR36" i="6" s="1"/>
  <c r="R85" i="3"/>
  <c r="R96" i="3" s="1"/>
  <c r="L85" i="3"/>
  <c r="L96" i="3" s="1"/>
  <c r="M37" i="6" s="1"/>
  <c r="I85" i="3"/>
  <c r="I96" i="3" s="1"/>
  <c r="J37" i="6" s="1"/>
  <c r="AI85" i="3"/>
  <c r="AI96" i="3" s="1"/>
  <c r="AN36" i="6" s="1"/>
  <c r="I54" i="6" s="1"/>
  <c r="AD85" i="3"/>
  <c r="AD96" i="3" s="1"/>
  <c r="AI36" i="6" s="1"/>
  <c r="G54" i="6" s="1"/>
  <c r="Y85" i="3"/>
  <c r="Y96" i="3" s="1"/>
  <c r="AD36" i="6" s="1"/>
  <c r="O54" i="6" s="1"/>
  <c r="J85" i="3"/>
  <c r="J96" i="3" s="1"/>
  <c r="K37" i="6" s="1"/>
  <c r="AF85" i="3"/>
  <c r="AF96" i="3" s="1"/>
  <c r="AK36" i="6" s="1"/>
  <c r="E54" i="6" s="1"/>
  <c r="AQ85" i="3"/>
  <c r="AQ96" i="3" s="1"/>
  <c r="AV36" i="6" s="1"/>
  <c r="C54" i="6" s="1"/>
  <c r="K85" i="3"/>
  <c r="K96" i="3" s="1"/>
  <c r="L37" i="6" s="1"/>
  <c r="U85" i="3"/>
  <c r="U96" i="3" s="1"/>
  <c r="Z36" i="6" s="1"/>
  <c r="W85" i="3"/>
  <c r="W96" i="3" s="1"/>
  <c r="AB36" i="6" s="1"/>
  <c r="S54" i="6" s="1"/>
  <c r="AN85" i="3"/>
  <c r="AN96" i="3" s="1"/>
  <c r="AS36" i="6" s="1"/>
  <c r="AU85" i="3"/>
  <c r="AU96" i="3" s="1"/>
  <c r="AZ36" i="6" s="1"/>
  <c r="T54" i="6" s="1"/>
  <c r="M85" i="3"/>
  <c r="M96" i="3" s="1"/>
  <c r="N37" i="6" s="1"/>
  <c r="P54" i="6" s="1"/>
  <c r="AR85" i="3"/>
  <c r="AR96" i="3" s="1"/>
  <c r="AW36" i="6" s="1"/>
  <c r="W54" i="6" s="1"/>
  <c r="AT85" i="3"/>
  <c r="AT96" i="3" s="1"/>
  <c r="AY36" i="6" s="1"/>
  <c r="Q85" i="3"/>
  <c r="Q96" i="3" s="1"/>
  <c r="R37" i="6" s="1"/>
  <c r="AP85" i="3"/>
  <c r="AP96" i="3" s="1"/>
  <c r="AU36" i="6" s="1"/>
  <c r="R54" i="6" s="1"/>
  <c r="P85" i="3"/>
  <c r="P96" i="3" s="1"/>
  <c r="Q37" i="6" s="1"/>
  <c r="AA85" i="3"/>
  <c r="AA96" i="3" s="1"/>
  <c r="AF36" i="6" s="1"/>
  <c r="Q54" i="6" s="1"/>
  <c r="AE85" i="3"/>
  <c r="AE96" i="3" s="1"/>
  <c r="AJ36" i="6" s="1"/>
  <c r="Y53" i="6" s="1"/>
  <c r="Z85" i="3"/>
  <c r="Z96" i="3" s="1"/>
  <c r="AE36" i="6" s="1"/>
  <c r="V85" i="3"/>
  <c r="V96" i="3" s="1"/>
  <c r="AA36" i="6" s="1"/>
  <c r="AS85" i="3"/>
  <c r="AS96" i="3" s="1"/>
  <c r="AX36" i="6" s="1"/>
  <c r="D54" i="6" s="1"/>
  <c r="AL85" i="3"/>
  <c r="E85" i="3"/>
  <c r="E96" i="3" s="1"/>
  <c r="E37" i="6" s="1"/>
  <c r="AB85" i="3"/>
  <c r="AB96" i="3" s="1"/>
  <c r="AG36" i="6" s="1"/>
  <c r="N54" i="6" s="1"/>
  <c r="T85" i="3"/>
  <c r="T96" i="3" s="1"/>
  <c r="Y36" i="6" s="1"/>
  <c r="H54" i="6" s="1"/>
  <c r="G85" i="3"/>
  <c r="G96" i="3" s="1"/>
  <c r="G37" i="6" s="1"/>
  <c r="AC85" i="3"/>
  <c r="AC96" i="3" s="1"/>
  <c r="AH36" i="6" s="1"/>
  <c r="U54" i="6" s="1"/>
  <c r="O85" i="3"/>
  <c r="O96" i="3" s="1"/>
  <c r="P37" i="6" s="1"/>
  <c r="D85" i="3"/>
  <c r="X85" i="3"/>
  <c r="X96" i="3" s="1"/>
  <c r="AC36" i="6" s="1"/>
  <c r="V54" i="6" s="1"/>
  <c r="AW85" i="3"/>
  <c r="AW96" i="3" s="1"/>
  <c r="BB36" i="6" s="1"/>
  <c r="M54" i="6" s="1"/>
  <c r="AK85" i="3"/>
  <c r="AK96" i="3" s="1"/>
  <c r="AP36" i="6" s="1"/>
  <c r="S85" i="3"/>
  <c r="S96" i="3" s="1"/>
  <c r="X36" i="6" s="1"/>
  <c r="N85" i="3"/>
  <c r="N96" i="3" s="1"/>
  <c r="O37" i="6" s="1"/>
  <c r="AW70" i="3"/>
  <c r="AU70" i="3"/>
  <c r="E45" i="6"/>
  <c r="E66" i="6" s="1"/>
  <c r="E63" i="6"/>
  <c r="P63" i="6"/>
  <c r="P45" i="6"/>
  <c r="P66" i="6" s="1"/>
  <c r="Y62" i="6"/>
  <c r="Y65" i="6"/>
  <c r="X70" i="3"/>
  <c r="V70" i="3"/>
  <c r="AP70" i="3"/>
  <c r="AC70" i="3"/>
  <c r="AB70" i="3"/>
  <c r="AQ70" i="3"/>
  <c r="K70" i="3"/>
  <c r="U70" i="3"/>
  <c r="AN70" i="3"/>
  <c r="G70" i="3"/>
  <c r="AJ70" i="3"/>
  <c r="AT70" i="3"/>
  <c r="Q70" i="3"/>
  <c r="AM70" i="3"/>
  <c r="AO70" i="3"/>
  <c r="AS70" i="3"/>
  <c r="I70" i="3"/>
  <c r="S63" i="6"/>
  <c r="S45" i="6"/>
  <c r="S66" i="6" s="1"/>
  <c r="H70" i="3"/>
  <c r="S70" i="3"/>
  <c r="L70" i="3"/>
  <c r="O70" i="3"/>
  <c r="AR70" i="3"/>
  <c r="P70" i="3"/>
  <c r="Z70" i="3"/>
  <c r="H45" i="6"/>
  <c r="H66" i="6" s="1"/>
  <c r="H63" i="6"/>
  <c r="N70" i="3"/>
  <c r="C86" i="3"/>
  <c r="Z86" i="3" s="1"/>
  <c r="Z97" i="3" s="1"/>
  <c r="AE37" i="6" s="1"/>
  <c r="C8" i="6"/>
  <c r="D8" i="6" s="1"/>
  <c r="F70" i="3"/>
  <c r="AI70" i="3"/>
  <c r="AV70" i="3"/>
  <c r="AL70" i="3"/>
  <c r="AD70" i="3"/>
  <c r="J70" i="3"/>
  <c r="AA70" i="3"/>
  <c r="Y70" i="3"/>
  <c r="AH70" i="3"/>
  <c r="AK70" i="3"/>
  <c r="AG70" i="3"/>
  <c r="AL96" i="3"/>
  <c r="AQ36" i="6" s="1"/>
  <c r="L54" i="6" s="1"/>
  <c r="F96" i="3"/>
  <c r="F37" i="6" s="1"/>
  <c r="AF70" i="3"/>
  <c r="M70" i="3"/>
  <c r="BA55" i="3"/>
  <c r="C60" i="3"/>
  <c r="E56" i="3"/>
  <c r="E8" i="6" s="1"/>
  <c r="AX33" i="3"/>
  <c r="AZ55" i="3"/>
  <c r="AE70" i="3"/>
  <c r="W70" i="3"/>
  <c r="BD55" i="3"/>
  <c r="C63" i="3"/>
  <c r="AH96" i="3"/>
  <c r="AM36" i="6" s="1"/>
  <c r="E70" i="3"/>
  <c r="AX55" i="3"/>
  <c r="AY55" i="3" s="1"/>
  <c r="BD56" i="3"/>
  <c r="C68" i="3"/>
  <c r="C62" i="3"/>
  <c r="T70" i="3"/>
  <c r="BB55" i="3"/>
  <c r="BC55" i="3"/>
  <c r="C61" i="3"/>
  <c r="AD56" i="3"/>
  <c r="AZ33" i="3"/>
  <c r="P49" i="6" l="1"/>
  <c r="P68" i="6" s="1"/>
  <c r="E29" i="6"/>
  <c r="E27" i="6"/>
  <c r="E28" i="6"/>
  <c r="AI86" i="3"/>
  <c r="AI97" i="3" s="1"/>
  <c r="AN37" i="6" s="1"/>
  <c r="I55" i="6" s="1"/>
  <c r="BC85" i="3"/>
  <c r="N86" i="3"/>
  <c r="N97" i="3" s="1"/>
  <c r="O38" i="6" s="1"/>
  <c r="AH86" i="3"/>
  <c r="AH97" i="3" s="1"/>
  <c r="AM37" i="6" s="1"/>
  <c r="AL86" i="3"/>
  <c r="AL97" i="3" s="1"/>
  <c r="AQ37" i="6" s="1"/>
  <c r="L55" i="6" s="1"/>
  <c r="AE86" i="3"/>
  <c r="AE97" i="3" s="1"/>
  <c r="AJ37" i="6" s="1"/>
  <c r="Y54" i="6" s="1"/>
  <c r="AS86" i="3"/>
  <c r="AS97" i="3" s="1"/>
  <c r="AX37" i="6" s="1"/>
  <c r="D55" i="6" s="1"/>
  <c r="Y86" i="3"/>
  <c r="Y97" i="3" s="1"/>
  <c r="AD37" i="6" s="1"/>
  <c r="O55" i="6" s="1"/>
  <c r="E86" i="3"/>
  <c r="C92" i="3"/>
  <c r="BA85" i="3"/>
  <c r="C91" i="3"/>
  <c r="C90" i="3"/>
  <c r="BB85" i="3"/>
  <c r="AX85" i="3"/>
  <c r="AY85" i="3" s="1"/>
  <c r="AJ86" i="3"/>
  <c r="AJ97" i="3" s="1"/>
  <c r="AO37" i="6" s="1"/>
  <c r="Q86" i="3"/>
  <c r="Q97" i="3" s="1"/>
  <c r="R38" i="6" s="1"/>
  <c r="AT86" i="3"/>
  <c r="AT97" i="3" s="1"/>
  <c r="AY37" i="6" s="1"/>
  <c r="AA86" i="3"/>
  <c r="AA97" i="3" s="1"/>
  <c r="AF37" i="6" s="1"/>
  <c r="Q55" i="6" s="1"/>
  <c r="AP86" i="3"/>
  <c r="AP97" i="3" s="1"/>
  <c r="AU37" i="6" s="1"/>
  <c r="R55" i="6" s="1"/>
  <c r="S86" i="3"/>
  <c r="S97" i="3" s="1"/>
  <c r="X37" i="6" s="1"/>
  <c r="AR86" i="3"/>
  <c r="AR97" i="3" s="1"/>
  <c r="AW37" i="6" s="1"/>
  <c r="W55" i="6" s="1"/>
  <c r="AO86" i="3"/>
  <c r="AO97" i="3" s="1"/>
  <c r="AT37" i="6" s="1"/>
  <c r="F55" i="6" s="1"/>
  <c r="AW86" i="3"/>
  <c r="AW97" i="3" s="1"/>
  <c r="BB37" i="6" s="1"/>
  <c r="M55" i="6" s="1"/>
  <c r="AC86" i="3"/>
  <c r="AC97" i="3" s="1"/>
  <c r="AH37" i="6" s="1"/>
  <c r="U55" i="6" s="1"/>
  <c r="V86" i="3"/>
  <c r="V97" i="3" s="1"/>
  <c r="AA37" i="6" s="1"/>
  <c r="D86" i="3"/>
  <c r="AM86" i="3"/>
  <c r="AM97" i="3" s="1"/>
  <c r="AR37" i="6" s="1"/>
  <c r="F86" i="3"/>
  <c r="F97" i="3" s="1"/>
  <c r="F38" i="6" s="1"/>
  <c r="K86" i="3"/>
  <c r="K97" i="3" s="1"/>
  <c r="L38" i="6" s="1"/>
  <c r="AK86" i="3"/>
  <c r="AK97" i="3" s="1"/>
  <c r="AP37" i="6" s="1"/>
  <c r="AG86" i="3"/>
  <c r="AG97" i="3" s="1"/>
  <c r="AL37" i="6" s="1"/>
  <c r="J55" i="6" s="1"/>
  <c r="AD86" i="3"/>
  <c r="L86" i="3"/>
  <c r="L97" i="3" s="1"/>
  <c r="M38" i="6" s="1"/>
  <c r="X86" i="3"/>
  <c r="X97" i="3" s="1"/>
  <c r="AC37" i="6" s="1"/>
  <c r="V55" i="6" s="1"/>
  <c r="I86" i="3"/>
  <c r="I97" i="3" s="1"/>
  <c r="J38" i="6" s="1"/>
  <c r="AQ86" i="3"/>
  <c r="AQ97" i="3" s="1"/>
  <c r="AV37" i="6" s="1"/>
  <c r="C55" i="6" s="1"/>
  <c r="U86" i="3"/>
  <c r="U97" i="3" s="1"/>
  <c r="Z37" i="6" s="1"/>
  <c r="R63" i="6"/>
  <c r="R45" i="6"/>
  <c r="R66" i="6" s="1"/>
  <c r="G45" i="6"/>
  <c r="G66" i="6" s="1"/>
  <c r="G63" i="6"/>
  <c r="C45" i="6"/>
  <c r="C66" i="6" s="1"/>
  <c r="C63" i="6"/>
  <c r="AB86" i="3"/>
  <c r="AB97" i="3" s="1"/>
  <c r="AG37" i="6" s="1"/>
  <c r="N55" i="6" s="1"/>
  <c r="P86" i="3"/>
  <c r="P97" i="3" s="1"/>
  <c r="Q38" i="6" s="1"/>
  <c r="T86" i="3"/>
  <c r="T97" i="3" s="1"/>
  <c r="Y37" i="6" s="1"/>
  <c r="H55" i="6" s="1"/>
  <c r="R86" i="3"/>
  <c r="R97" i="3" s="1"/>
  <c r="AF86" i="3"/>
  <c r="AF97" i="3" s="1"/>
  <c r="AK37" i="6" s="1"/>
  <c r="E55" i="6" s="1"/>
  <c r="W86" i="3"/>
  <c r="W97" i="3" s="1"/>
  <c r="AB37" i="6" s="1"/>
  <c r="S55" i="6" s="1"/>
  <c r="J45" i="6"/>
  <c r="J66" i="6" s="1"/>
  <c r="J63" i="6"/>
  <c r="Q63" i="6"/>
  <c r="Q45" i="6"/>
  <c r="Q66" i="6" s="1"/>
  <c r="X65" i="6"/>
  <c r="X62" i="6"/>
  <c r="W63" i="6"/>
  <c r="W45" i="6"/>
  <c r="W66" i="6" s="1"/>
  <c r="F45" i="6"/>
  <c r="F66" i="6" s="1"/>
  <c r="F63" i="6"/>
  <c r="O63" i="6"/>
  <c r="O45" i="6"/>
  <c r="O66" i="6" s="1"/>
  <c r="L45" i="6"/>
  <c r="L66" i="6" s="1"/>
  <c r="L63" i="6"/>
  <c r="D63" i="6"/>
  <c r="D45" i="6"/>
  <c r="D66" i="6" s="1"/>
  <c r="N63" i="6"/>
  <c r="N45" i="6"/>
  <c r="N66" i="6" s="1"/>
  <c r="V45" i="6"/>
  <c r="V66" i="6" s="1"/>
  <c r="V63" i="6"/>
  <c r="T45" i="6"/>
  <c r="T66" i="6" s="1"/>
  <c r="T63" i="6"/>
  <c r="C67" i="3"/>
  <c r="AI8" i="6"/>
  <c r="AN86" i="3"/>
  <c r="AN97" i="3" s="1"/>
  <c r="AS37" i="6" s="1"/>
  <c r="AV86" i="3"/>
  <c r="AV97" i="3" s="1"/>
  <c r="BA37" i="6" s="1"/>
  <c r="X54" i="6" s="1"/>
  <c r="H86" i="3"/>
  <c r="H97" i="3" s="1"/>
  <c r="I38" i="6" s="1"/>
  <c r="M86" i="3"/>
  <c r="M97" i="3" s="1"/>
  <c r="N38" i="6" s="1"/>
  <c r="P55" i="6" s="1"/>
  <c r="G86" i="3"/>
  <c r="G97" i="3" s="1"/>
  <c r="G38" i="6" s="1"/>
  <c r="AU86" i="3"/>
  <c r="AU97" i="3" s="1"/>
  <c r="AZ37" i="6" s="1"/>
  <c r="T55" i="6" s="1"/>
  <c r="U45" i="6"/>
  <c r="U66" i="6" s="1"/>
  <c r="U63" i="6"/>
  <c r="M63" i="6"/>
  <c r="M45" i="6"/>
  <c r="M66" i="6" s="1"/>
  <c r="J86" i="3"/>
  <c r="J97" i="3" s="1"/>
  <c r="K38" i="6" s="1"/>
  <c r="O86" i="3"/>
  <c r="O97" i="3" s="1"/>
  <c r="P38" i="6" s="1"/>
  <c r="I45" i="6"/>
  <c r="I66" i="6" s="1"/>
  <c r="I63" i="6"/>
  <c r="C66" i="3"/>
  <c r="BB56" i="3"/>
  <c r="C65" i="3"/>
  <c r="AX56" i="3"/>
  <c r="AY33" i="3"/>
  <c r="AY56" i="3" s="1"/>
  <c r="BA56" i="3"/>
  <c r="E97" i="3"/>
  <c r="E38" i="6" s="1"/>
  <c r="BE55" i="3"/>
  <c r="C64" i="3" s="1"/>
  <c r="W10" i="9"/>
  <c r="W23" i="9" s="1"/>
  <c r="BC56" i="3"/>
  <c r="BE56" i="3" s="1"/>
  <c r="C69" i="3" s="1"/>
  <c r="AI28" i="6" l="1"/>
  <c r="AI27" i="6"/>
  <c r="G49" i="6" s="1"/>
  <c r="AI29" i="6"/>
  <c r="G68" i="6"/>
  <c r="BC86" i="3"/>
  <c r="AD97" i="3"/>
  <c r="AI37" i="6" s="1"/>
  <c r="G55" i="6" s="1"/>
  <c r="D67" i="3"/>
  <c r="AX86" i="3"/>
  <c r="AY86" i="3" s="1"/>
  <c r="BB86" i="3"/>
  <c r="BA86" i="3"/>
  <c r="V10" i="9"/>
  <c r="V23" i="9" s="1"/>
  <c r="D66" i="3"/>
  <c r="D65" i="3"/>
  <c r="C7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Krzysztof Sokol</author>
  </authors>
  <commentList>
    <comment ref="V21" authorId="0" shapeId="0" xr:uid="{04A2FD66-4F75-4787-9B34-69EF96F104C7}">
      <text>
        <r>
          <rPr>
            <b/>
            <sz val="9"/>
            <color indexed="81"/>
            <rFont val="Tahoma"/>
            <family val="2"/>
          </rPr>
          <t>Krzysztof Sokol:</t>
        </r>
        <r>
          <rPr>
            <sz val="9"/>
            <color indexed="81"/>
            <rFont val="Tahoma"/>
            <family val="2"/>
          </rPr>
          <t xml:space="preserve">
Values reported for total HFSEO and TREO flux</t>
        </r>
      </text>
    </comment>
    <comment ref="W26" authorId="0" shapeId="0" xr:uid="{74D038D3-7EBB-4FAD-9C80-D833CCCC70DF}">
      <text>
        <r>
          <rPr>
            <b/>
            <sz val="9"/>
            <color indexed="81"/>
            <rFont val="Tahoma"/>
            <family val="2"/>
          </rPr>
          <t>Krzysztof Sokol:</t>
        </r>
        <r>
          <rPr>
            <sz val="9"/>
            <color indexed="81"/>
            <rFont val="Tahoma"/>
            <family val="2"/>
          </rPr>
          <t xml:space="preserve">
Total reported HFSEO budget estimate for the Illerfissalik system</t>
        </r>
      </text>
    </comment>
    <comment ref="V30" authorId="0" shapeId="0" xr:uid="{B74BC54F-3331-400D-BAE0-5095EEF8C285}">
      <text>
        <r>
          <rPr>
            <b/>
            <sz val="9"/>
            <color indexed="81"/>
            <rFont val="Tahoma"/>
            <family val="2"/>
          </rPr>
          <t>Krzysztof Sokol:</t>
        </r>
        <r>
          <rPr>
            <sz val="9"/>
            <color indexed="81"/>
            <rFont val="Tahoma"/>
            <family val="2"/>
          </rPr>
          <t xml:space="preserve">
Ilimaussaq estimate as in Fig. S3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Krzysztof Sokol</author>
  </authors>
  <commentList>
    <comment ref="A18" authorId="0" shapeId="0" xr:uid="{6A53B1A2-8FA5-4FBA-A506-E8968723CAF1}">
      <text>
        <r>
          <rPr>
            <b/>
            <sz val="9"/>
            <color indexed="81"/>
            <rFont val="Tahoma"/>
            <family val="2"/>
          </rPr>
          <t>Krzysztof Sokol:</t>
        </r>
        <r>
          <rPr>
            <sz val="9"/>
            <color indexed="81"/>
            <rFont val="Tahoma"/>
            <family val="2"/>
          </rPr>
          <t xml:space="preserve">
Aeg/Arfv/M-C (150, 300 and 50 m respectively) lujavrite unit thicknesses used.
Villiaumite &amp; naujakasite lujavrites treated as part of Arfv. packages</t>
        </r>
      </text>
    </comment>
    <comment ref="A55" authorId="0" shapeId="0" xr:uid="{D01AEF99-CE47-4F4F-BBCC-42CD8491A9C3}">
      <text>
        <r>
          <rPr>
            <b/>
            <sz val="9"/>
            <color indexed="81"/>
            <rFont val="Tahoma"/>
            <family val="2"/>
          </rPr>
          <t>Krzysztof Sokol:</t>
        </r>
        <r>
          <rPr>
            <sz val="9"/>
            <color indexed="81"/>
            <rFont val="Tahoma"/>
            <family val="2"/>
          </rPr>
          <t xml:space="preserve">
Aeg/Arfv/M-C (150, 300 and 50 m respectively) lujavrite unit thicknesses used.
Villiaumite &amp; naujakasite lujavrites treated as part of Arfv. packages</t>
        </r>
      </text>
    </comment>
    <comment ref="A83" authorId="0" shapeId="0" xr:uid="{FF5B4F29-A7EF-4967-BC9E-12F7389A0311}">
      <text>
        <r>
          <rPr>
            <b/>
            <sz val="9"/>
            <color indexed="81"/>
            <rFont val="Tahoma"/>
            <family val="2"/>
          </rPr>
          <t>Krzysztof Sokol:</t>
        </r>
        <r>
          <rPr>
            <sz val="9"/>
            <color indexed="81"/>
            <rFont val="Tahoma"/>
            <family val="2"/>
          </rPr>
          <t xml:space="preserve">
200m thickness
&lt;4300 Mt tonnage
28.35 Mt TREO
0.65% TREO
0.2% Nb2O3 = 28 Mt
1.8% Zr2O5
Thrane et al (2014)</t>
        </r>
      </text>
    </comment>
    <comment ref="A84" authorId="0" shapeId="0" xr:uid="{39973141-A4A2-4098-807E-36072D66B805}">
      <text>
        <r>
          <rPr>
            <b/>
            <sz val="9"/>
            <color indexed="81"/>
            <rFont val="Tahoma"/>
            <family val="2"/>
          </rPr>
          <t>Krzysztof Sokol:</t>
        </r>
        <r>
          <rPr>
            <sz val="9"/>
            <color indexed="81"/>
            <rFont val="Tahoma"/>
            <family val="2"/>
          </rPr>
          <t xml:space="preserve">
437 Mt tonnage
1.1% TREO = 4.8 Mt (0.18 HREO)
263 Mlbs U3O8
1 Mt Zn
Thrane et al (2014)</t>
        </r>
      </text>
    </comment>
    <comment ref="A85" authorId="0" shapeId="0" xr:uid="{2FADE736-1FD1-4081-8A45-3AD8C8E30057}">
      <text>
        <r>
          <rPr>
            <b/>
            <sz val="9"/>
            <color indexed="81"/>
            <rFont val="Tahoma"/>
            <family val="2"/>
          </rPr>
          <t>Krzysztof Sokol:</t>
        </r>
        <r>
          <rPr>
            <sz val="9"/>
            <color indexed="81"/>
            <rFont val="Tahoma"/>
            <family val="2"/>
          </rPr>
          <t xml:space="preserve">
340 Mt tonnage
0.26% TREO
0.19% Nb2O3
0.012% Ta2O3
0.46% ZrO2
Thrane et al (2014)
200-500 Mt
0.3-0.5% TREO
0.18-0.22% Nb2O5
0.013-0.016% Ta2O5
Tukiainen (2014)</t>
        </r>
      </text>
    </comment>
  </commentList>
</comments>
</file>

<file path=xl/sharedStrings.xml><?xml version="1.0" encoding="utf-8"?>
<sst xmlns="http://schemas.openxmlformats.org/spreadsheetml/2006/main" count="2455" uniqueCount="547">
  <si>
    <t>Type + geometry</t>
  </si>
  <si>
    <t>2a (diameter, long; km)</t>
  </si>
  <si>
    <t>2b (diameter, short; km)</t>
  </si>
  <si>
    <t>2c (floor-roof height; km)</t>
  </si>
  <si>
    <t>a (km)</t>
  </si>
  <si>
    <t>b (km)</t>
  </si>
  <si>
    <t>c (km)</t>
  </si>
  <si>
    <t>h (height of cap; km)</t>
  </si>
  <si>
    <t>x (c-h)</t>
  </si>
  <si>
    <t>Density (g/cm3)</t>
  </si>
  <si>
    <t>Density (t/km3)</t>
  </si>
  <si>
    <t>Total Rock Volume (km3)</t>
  </si>
  <si>
    <t>Tonnage (t)</t>
  </si>
  <si>
    <t>Tonnage (Mt)</t>
  </si>
  <si>
    <t>Total Cap Volume (km3)</t>
  </si>
  <si>
    <t>Ratio fenite to intr</t>
  </si>
  <si>
    <t>Illerfissalik</t>
  </si>
  <si>
    <t>I4 intrusion ellipsoid</t>
  </si>
  <si>
    <t>I4 cylinder</t>
  </si>
  <si>
    <t>I4 intrusion + fenite (add 400m)</t>
  </si>
  <si>
    <t>Total Tonnage (Mt)</t>
  </si>
  <si>
    <t>Ilimaussaq</t>
  </si>
  <si>
    <t>Black Madonna</t>
  </si>
  <si>
    <t>Kakortokite series (KK cap - BM cap)</t>
  </si>
  <si>
    <t>Transitional kakortokite (Total cap - KK+BM cap)</t>
  </si>
  <si>
    <t>Total floor series (KK+BM+transitional)</t>
  </si>
  <si>
    <t>Lujavrite series</t>
  </si>
  <si>
    <t>Naujaite series (calc. as cap - roof)</t>
  </si>
  <si>
    <t>Intrusion + fenite (for I4 comparison, 400 m)</t>
  </si>
  <si>
    <t>Fenite Carapace (for I4 comparison, 400m)</t>
  </si>
  <si>
    <t>Unit (component wt% or ppm)</t>
  </si>
  <si>
    <t>SiO2</t>
  </si>
  <si>
    <t>Al2O3</t>
  </si>
  <si>
    <t>Fe2O3</t>
  </si>
  <si>
    <t>CaO</t>
  </si>
  <si>
    <t>MgO</t>
  </si>
  <si>
    <t>Na2O</t>
  </si>
  <si>
    <t>K2O</t>
  </si>
  <si>
    <t>Cr2O3</t>
  </si>
  <si>
    <t>TiO2</t>
  </si>
  <si>
    <t>MnO</t>
  </si>
  <si>
    <t>P2O5</t>
  </si>
  <si>
    <t>LOI</t>
  </si>
  <si>
    <t>H2O+ (calc)</t>
  </si>
  <si>
    <t>Ba</t>
  </si>
  <si>
    <t>Ce</t>
  </si>
  <si>
    <t>Cr</t>
  </si>
  <si>
    <t>Cs</t>
  </si>
  <si>
    <t>Dy</t>
  </si>
  <si>
    <t>Er</t>
  </si>
  <si>
    <t>Eu</t>
  </si>
  <si>
    <t>Ga</t>
  </si>
  <si>
    <t>Gd</t>
  </si>
  <si>
    <t>Hf</t>
  </si>
  <si>
    <t>Ho</t>
  </si>
  <si>
    <t>La</t>
  </si>
  <si>
    <t>Lu</t>
  </si>
  <si>
    <t>Nb</t>
  </si>
  <si>
    <t>Nd</t>
  </si>
  <si>
    <t>Ni</t>
  </si>
  <si>
    <t>Pr</t>
  </si>
  <si>
    <t>Rb</t>
  </si>
  <si>
    <t>Sc</t>
  </si>
  <si>
    <t>Sm</t>
  </si>
  <si>
    <t>Sn</t>
  </si>
  <si>
    <t>Sr</t>
  </si>
  <si>
    <t>Ta</t>
  </si>
  <si>
    <t>Tb</t>
  </si>
  <si>
    <t>Th</t>
  </si>
  <si>
    <t>Tm</t>
  </si>
  <si>
    <t>U</t>
  </si>
  <si>
    <t>V</t>
  </si>
  <si>
    <t>Y</t>
  </si>
  <si>
    <t>Yb</t>
  </si>
  <si>
    <t>Zr</t>
  </si>
  <si>
    <t>Average I4</t>
  </si>
  <si>
    <t>Average Fenite</t>
  </si>
  <si>
    <t>Average Protolith</t>
  </si>
  <si>
    <t>Difference</t>
  </si>
  <si>
    <t>elements added</t>
  </si>
  <si>
    <t>removed from prot.</t>
  </si>
  <si>
    <t>Fen components added + I4</t>
  </si>
  <si>
    <t>Ratio</t>
  </si>
  <si>
    <t>Component conversion to wt% oxide</t>
  </si>
  <si>
    <t>BaO</t>
  </si>
  <si>
    <t>Ce2O3</t>
  </si>
  <si>
    <t>Cs2O3</t>
  </si>
  <si>
    <t>Dy2O3</t>
  </si>
  <si>
    <t>Er2O3</t>
  </si>
  <si>
    <t>Eu2O3</t>
  </si>
  <si>
    <t>Ga2O3</t>
  </si>
  <si>
    <t>Gd2O3</t>
  </si>
  <si>
    <t>HfO2</t>
  </si>
  <si>
    <t>Ho2O3</t>
  </si>
  <si>
    <t>La2O3</t>
  </si>
  <si>
    <t>Lu2O3</t>
  </si>
  <si>
    <t>Nb2O5</t>
  </si>
  <si>
    <t>Nd2O3</t>
  </si>
  <si>
    <t>NiO2</t>
  </si>
  <si>
    <t>Pr2O3</t>
  </si>
  <si>
    <t>Rb2O</t>
  </si>
  <si>
    <t>Sc2O3</t>
  </si>
  <si>
    <t>Sm2O3</t>
  </si>
  <si>
    <t>SnO2</t>
  </si>
  <si>
    <t>SrO</t>
  </si>
  <si>
    <t>Ta2O5</t>
  </si>
  <si>
    <t>Tb2O3</t>
  </si>
  <si>
    <t>ThO2</t>
  </si>
  <si>
    <t>Tm2O3</t>
  </si>
  <si>
    <t>UO2</t>
  </si>
  <si>
    <t>V2O5</t>
  </si>
  <si>
    <t>Y2O3</t>
  </si>
  <si>
    <t>Yb2O3</t>
  </si>
  <si>
    <t>ZrO2</t>
  </si>
  <si>
    <t>Different geometries</t>
  </si>
  <si>
    <t>Fenite (Mt's of oxide)</t>
  </si>
  <si>
    <t>SUM</t>
  </si>
  <si>
    <t>Tonn. Error</t>
  </si>
  <si>
    <t>Fenite Carapace (Ilim size, for I4 comparison, 400m)</t>
  </si>
  <si>
    <t>Unaltered Reference (Ilim size)</t>
  </si>
  <si>
    <t>Intrusion (Mt's of oxide)</t>
  </si>
  <si>
    <t>Total Rock (Gt)</t>
  </si>
  <si>
    <t>Ilimaussaq scale</t>
  </si>
  <si>
    <t>Ratio fen-intr (what portion of total component cargo was introduced into fenite)</t>
  </si>
  <si>
    <t>Ellipsoid</t>
  </si>
  <si>
    <t>Ellipsoid 2 (longer a)</t>
  </si>
  <si>
    <t>prolate</t>
  </si>
  <si>
    <t>Cylinder</t>
  </si>
  <si>
    <t>Cylinder 2 (longer a)</t>
  </si>
  <si>
    <t xml:space="preserve">ƩLREO = (La, Ce, Nd, Sm) </t>
  </si>
  <si>
    <t>SUM HFSEO</t>
  </si>
  <si>
    <t>no TiO2</t>
  </si>
  <si>
    <t>SUM LREO</t>
  </si>
  <si>
    <t>I4 ellipsoid (Mt)</t>
  </si>
  <si>
    <t>Fenite (Mt)</t>
  </si>
  <si>
    <t>Unaltered reference (Mt)</t>
  </si>
  <si>
    <r>
      <t>ƩC</t>
    </r>
    <r>
      <rPr>
        <b/>
        <sz val="7.7"/>
        <color theme="1"/>
        <rFont val="Calibri"/>
        <family val="2"/>
        <scheme val="minor"/>
      </rPr>
      <t>HFSEO</t>
    </r>
    <r>
      <rPr>
        <b/>
        <sz val="11"/>
        <color theme="1"/>
        <rFont val="Calibri"/>
        <family val="2"/>
        <scheme val="minor"/>
      </rPr>
      <t xml:space="preserve"> in I4 ellipsoid (Mt)</t>
    </r>
  </si>
  <si>
    <r>
      <t>ƩC</t>
    </r>
    <r>
      <rPr>
        <b/>
        <sz val="7.7"/>
        <color theme="1"/>
        <rFont val="Calibri"/>
        <family val="2"/>
        <scheme val="minor"/>
      </rPr>
      <t>HFSEO</t>
    </r>
    <r>
      <rPr>
        <b/>
        <sz val="11"/>
        <color theme="1"/>
        <rFont val="Calibri"/>
        <family val="2"/>
        <scheme val="minor"/>
      </rPr>
      <t xml:space="preserve"> in I4 ellipsoid, excl. Ti (Mt)</t>
    </r>
  </si>
  <si>
    <r>
      <t>ƩR</t>
    </r>
    <r>
      <rPr>
        <b/>
        <sz val="7.7"/>
        <color theme="1"/>
        <rFont val="Calibri"/>
        <family val="2"/>
        <scheme val="minor"/>
      </rPr>
      <t>EO</t>
    </r>
    <r>
      <rPr>
        <b/>
        <sz val="11"/>
        <color theme="1"/>
        <rFont val="Calibri"/>
        <family val="2"/>
        <scheme val="minor"/>
      </rPr>
      <t xml:space="preserve"> in I4 ellipsoid (Mt)</t>
    </r>
  </si>
  <si>
    <r>
      <t>ƩC</t>
    </r>
    <r>
      <rPr>
        <b/>
        <sz val="7.7"/>
        <color theme="1"/>
        <rFont val="Calibri"/>
        <family val="2"/>
        <scheme val="minor"/>
      </rPr>
      <t>HFSEO</t>
    </r>
    <r>
      <rPr>
        <b/>
        <sz val="11"/>
        <color theme="1"/>
        <rFont val="Calibri"/>
        <family val="2"/>
        <scheme val="minor"/>
      </rPr>
      <t xml:space="preserve"> in Fenite (Mt)</t>
    </r>
  </si>
  <si>
    <r>
      <t>ƩC</t>
    </r>
    <r>
      <rPr>
        <b/>
        <sz val="7.7"/>
        <color theme="1"/>
        <rFont val="Calibri"/>
        <family val="2"/>
        <scheme val="minor"/>
      </rPr>
      <t>HFSEO</t>
    </r>
    <r>
      <rPr>
        <b/>
        <sz val="11"/>
        <color theme="1"/>
        <rFont val="Calibri"/>
        <family val="2"/>
        <scheme val="minor"/>
      </rPr>
      <t xml:space="preserve"> in Fenite, excl. Ti (Mt)</t>
    </r>
  </si>
  <si>
    <r>
      <t>Ʃ</t>
    </r>
    <r>
      <rPr>
        <b/>
        <sz val="7.7"/>
        <color theme="1"/>
        <rFont val="Calibri"/>
        <family val="2"/>
        <scheme val="minor"/>
      </rPr>
      <t>LREO</t>
    </r>
    <r>
      <rPr>
        <b/>
        <sz val="11"/>
        <color theme="1"/>
        <rFont val="Calibri"/>
        <family val="2"/>
        <scheme val="minor"/>
      </rPr>
      <t xml:space="preserve"> in Fenite (Mt)</t>
    </r>
  </si>
  <si>
    <t>Diff</t>
  </si>
  <si>
    <r>
      <t>ƩC</t>
    </r>
    <r>
      <rPr>
        <b/>
        <sz val="7.7"/>
        <color theme="1"/>
        <rFont val="Calibri"/>
        <family val="2"/>
        <scheme val="minor"/>
      </rPr>
      <t>HFSEO</t>
    </r>
    <r>
      <rPr>
        <b/>
        <sz val="11"/>
        <color theme="1"/>
        <rFont val="Calibri"/>
        <family val="2"/>
        <scheme val="minor"/>
      </rPr>
      <t xml:space="preserve"> in Unaltered (Mt)</t>
    </r>
  </si>
  <si>
    <r>
      <t>ƩC</t>
    </r>
    <r>
      <rPr>
        <b/>
        <sz val="7.7"/>
        <color theme="1"/>
        <rFont val="Calibri"/>
        <family val="2"/>
        <scheme val="minor"/>
      </rPr>
      <t>HFSEO</t>
    </r>
    <r>
      <rPr>
        <b/>
        <sz val="11"/>
        <color theme="1"/>
        <rFont val="Calibri"/>
        <family val="2"/>
        <scheme val="minor"/>
      </rPr>
      <t xml:space="preserve"> in Unaltered, excl. Ti (Mt)</t>
    </r>
  </si>
  <si>
    <r>
      <t>Ʃ</t>
    </r>
    <r>
      <rPr>
        <b/>
        <sz val="7.7"/>
        <color theme="1"/>
        <rFont val="Calibri"/>
        <family val="2"/>
        <scheme val="minor"/>
      </rPr>
      <t>LREO</t>
    </r>
    <r>
      <rPr>
        <b/>
        <sz val="11"/>
        <color theme="1"/>
        <rFont val="Calibri"/>
        <family val="2"/>
        <scheme val="minor"/>
      </rPr>
      <t xml:space="preserve"> in Unaltered (Mt)</t>
    </r>
  </si>
  <si>
    <t>% of total CHFSEO now in fenite (assuming I4+fenite=Total and fenite HFSE content results from 100% influx)</t>
  </si>
  <si>
    <t>I4 scaled to Ilimaussaq size</t>
  </si>
  <si>
    <t>% of total oxide now in fenite (assuming I4+fenite=Total and fenite HFSE content results from 100% influx)</t>
  </si>
  <si>
    <t>1% Mt Error Calc</t>
  </si>
  <si>
    <t>1% Mt Diff per component</t>
  </si>
  <si>
    <t>Ref</t>
  </si>
  <si>
    <t>FeO</t>
  </si>
  <si>
    <t>H2O-</t>
  </si>
  <si>
    <t>CO2</t>
  </si>
  <si>
    <t>S</t>
  </si>
  <si>
    <t>Cl</t>
  </si>
  <si>
    <t>F</t>
  </si>
  <si>
    <t>Agpaitic phonolite (proxy for Black Madonna)</t>
  </si>
  <si>
    <t>Larsen 1979</t>
  </si>
  <si>
    <t>White Kakortokite</t>
  </si>
  <si>
    <t>Bailey 2001</t>
  </si>
  <si>
    <t>Red Kakortokite</t>
  </si>
  <si>
    <t>Black kakortokite</t>
  </si>
  <si>
    <t>Prop. Weighted kakortokite</t>
  </si>
  <si>
    <t>Transitional kakortokite-lujavrite (50-50 KK+AegLJV)</t>
  </si>
  <si>
    <t>Aegirine lujavrite</t>
  </si>
  <si>
    <t>Bailey 2005</t>
  </si>
  <si>
    <t xml:space="preserve">Aegirine lujavrite </t>
  </si>
  <si>
    <t>Arfvedsonite lujavrite</t>
  </si>
  <si>
    <t>Sorensen 2009</t>
  </si>
  <si>
    <t>Villiaumite arfvedsonite lujavrite</t>
  </si>
  <si>
    <t>Naujakasite lujavrite</t>
  </si>
  <si>
    <t>M-C lujavrites</t>
  </si>
  <si>
    <t>Weighted Average lujavrite</t>
  </si>
  <si>
    <t>Naujaite</t>
  </si>
  <si>
    <t>Average naujaite</t>
  </si>
  <si>
    <t>Intrusion (Mts of oxide or ppm)</t>
  </si>
  <si>
    <t>Weighted Kakortokite series (calc. as cap - floor)</t>
  </si>
  <si>
    <t>Transitional Kakortokite-Lujavrite</t>
  </si>
  <si>
    <t>Weighted Lujavrite series</t>
  </si>
  <si>
    <t>Kringlerne grade (Paulick &amp; Machacek, 2017 after TMR, 2015)</t>
  </si>
  <si>
    <t>Kvanefjeld grade (Paulick &amp; Machacek, 2017 after TMR, 2015)</t>
  </si>
  <si>
    <t>SUM REO</t>
  </si>
  <si>
    <t>Kringlerne KKT (to account for HREE)</t>
  </si>
  <si>
    <t>P&amp;M, 2017</t>
  </si>
  <si>
    <t>Transitional kakortokite-lujavrite</t>
  </si>
  <si>
    <t>calculated here</t>
  </si>
  <si>
    <t>Kvanefjeld lujavrite (to account for HREE)</t>
  </si>
  <si>
    <t>SUM CHFSEO</t>
  </si>
  <si>
    <t>SUM CHSFEO-Ti</t>
  </si>
  <si>
    <t>Pr-Eu-Gd</t>
  </si>
  <si>
    <t>SUM HREO</t>
  </si>
  <si>
    <t>LREO/TREO</t>
  </si>
  <si>
    <t>Y% of HREO</t>
  </si>
  <si>
    <t>Weighted Kakortokite series</t>
  </si>
  <si>
    <t>Naujaite series</t>
  </si>
  <si>
    <t>Total</t>
  </si>
  <si>
    <r>
      <t>ƩC</t>
    </r>
    <r>
      <rPr>
        <b/>
        <sz val="7.7"/>
        <color theme="1"/>
        <rFont val="Calibri"/>
        <family val="2"/>
        <scheme val="minor"/>
      </rPr>
      <t>HFSEO</t>
    </r>
    <r>
      <rPr>
        <b/>
        <sz val="11"/>
        <color theme="1"/>
        <rFont val="Calibri"/>
        <family val="2"/>
        <scheme val="minor"/>
      </rPr>
      <t xml:space="preserve"> in the whole agpaite package (Mt)</t>
    </r>
  </si>
  <si>
    <r>
      <t>ƩC</t>
    </r>
    <r>
      <rPr>
        <b/>
        <sz val="7.7"/>
        <color theme="1"/>
        <rFont val="Calibri"/>
        <family val="2"/>
        <scheme val="minor"/>
      </rPr>
      <t>HFSEO (excl. Ti)</t>
    </r>
    <r>
      <rPr>
        <b/>
        <sz val="11"/>
        <color theme="1"/>
        <rFont val="Calibri"/>
        <family val="2"/>
        <scheme val="minor"/>
      </rPr>
      <t xml:space="preserve"> in the whole agpaite package (Mt)</t>
    </r>
  </si>
  <si>
    <r>
      <t>ƩL</t>
    </r>
    <r>
      <rPr>
        <b/>
        <sz val="7.7"/>
        <color theme="1"/>
        <rFont val="Calibri"/>
        <family val="2"/>
        <scheme val="minor"/>
      </rPr>
      <t>REO</t>
    </r>
    <r>
      <rPr>
        <b/>
        <sz val="11"/>
        <color theme="1"/>
        <rFont val="Calibri"/>
        <family val="2"/>
        <scheme val="minor"/>
      </rPr>
      <t xml:space="preserve"> in the whole agpaite package (Mt)</t>
    </r>
  </si>
  <si>
    <r>
      <t>ƩC</t>
    </r>
    <r>
      <rPr>
        <b/>
        <sz val="7.7"/>
        <color theme="1"/>
        <rFont val="Calibri"/>
        <family val="2"/>
        <scheme val="minor"/>
      </rPr>
      <t>HFSEO</t>
    </r>
    <r>
      <rPr>
        <b/>
        <sz val="11"/>
        <color theme="1"/>
        <rFont val="Calibri"/>
        <family val="2"/>
        <scheme val="minor"/>
      </rPr>
      <t xml:space="preserve"> in kakortokite (Mt)</t>
    </r>
  </si>
  <si>
    <r>
      <t>ƩC</t>
    </r>
    <r>
      <rPr>
        <b/>
        <sz val="7.7"/>
        <color theme="1"/>
        <rFont val="Calibri"/>
        <family val="2"/>
        <scheme val="minor"/>
      </rPr>
      <t>HFSEO (excl. Ti)</t>
    </r>
    <r>
      <rPr>
        <b/>
        <sz val="11"/>
        <color theme="1"/>
        <rFont val="Calibri"/>
        <family val="2"/>
        <scheme val="minor"/>
      </rPr>
      <t xml:space="preserve"> in kakortokite (Mt)</t>
    </r>
  </si>
  <si>
    <t>Kringlerne kakortokite (SE Ilimaussaq) prospect info</t>
  </si>
  <si>
    <t>Kvanefjeld lujavrite (NW Ilimaussaq) prospect info</t>
  </si>
  <si>
    <t>Motzfeldt Sø REE prospect info</t>
  </si>
  <si>
    <t>1% Error Calc</t>
  </si>
  <si>
    <t>Lujavrite</t>
  </si>
  <si>
    <t>Kakortokite</t>
  </si>
  <si>
    <t>Unaltered reference scaled</t>
  </si>
  <si>
    <t>Unaltered reference</t>
  </si>
  <si>
    <t>I4 scaled + I4 fenite scaled</t>
  </si>
  <si>
    <t>I4 raw + I4 fenite raw</t>
  </si>
  <si>
    <t>Fenite scaled for Ilim</t>
  </si>
  <si>
    <t>I4 Illerfissalik scaled for Ilim</t>
  </si>
  <si>
    <t>Fenite - I4 Illerfissalik</t>
  </si>
  <si>
    <t>I4 Illerfissalik</t>
  </si>
  <si>
    <t>Normalised to Ilimaussaq</t>
  </si>
  <si>
    <t>Fenite error (1% Mt)</t>
  </si>
  <si>
    <t>I4 error (1% Mt)</t>
  </si>
  <si>
    <t>Pm2O3</t>
  </si>
  <si>
    <r>
      <t>Nb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</si>
  <si>
    <r>
      <t>UO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</si>
  <si>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ThO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</si>
  <si>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HFSE (ordered)</t>
  </si>
  <si>
    <t>Unaltered error</t>
  </si>
  <si>
    <t>Fenite error</t>
  </si>
  <si>
    <t>I4 error</t>
  </si>
  <si>
    <t>Wt lujavrite (Mt)</t>
  </si>
  <si>
    <t>Kakortokite (Mt)</t>
  </si>
  <si>
    <t>Ilimaussaq (Mt)</t>
  </si>
  <si>
    <t>Unaltered Reference (Ilim size, Mt)</t>
  </si>
  <si>
    <t>Fenite scaled (Mt)</t>
  </si>
  <si>
    <t>I4 scaled to Ilim (Mt)</t>
  </si>
  <si>
    <t>Mt</t>
  </si>
  <si>
    <t>wt%</t>
  </si>
  <si>
    <t>Unit</t>
  </si>
  <si>
    <t>Sample</t>
  </si>
  <si>
    <t>Category</t>
  </si>
  <si>
    <t>Rock Type</t>
  </si>
  <si>
    <t>Distance</t>
  </si>
  <si>
    <t>LREE</t>
  </si>
  <si>
    <t>HREE</t>
  </si>
  <si>
    <t>LREE/HREE</t>
  </si>
  <si>
    <t>La/Lu</t>
  </si>
  <si>
    <t>Zr+Nb+Ta</t>
  </si>
  <si>
    <t>U+Th</t>
  </si>
  <si>
    <t>Eriksfjord</t>
  </si>
  <si>
    <t>KS19-15-QT 3.4</t>
  </si>
  <si>
    <t>ALS</t>
  </si>
  <si>
    <t>D1Fenite</t>
  </si>
  <si>
    <t>EF</t>
  </si>
  <si>
    <t>b.d.</t>
  </si>
  <si>
    <t>na</t>
  </si>
  <si>
    <t>KS19-15-QT 3.5</t>
  </si>
  <si>
    <t>KS19-15-QT 3.6</t>
  </si>
  <si>
    <t>KSL 15-1a</t>
  </si>
  <si>
    <t>KS19-15-QT 2.1</t>
  </si>
  <si>
    <t>KS19-15-QT 2.2</t>
  </si>
  <si>
    <t>KS19-15-QT 2.3</t>
  </si>
  <si>
    <t>KS19-15-QT 2.9</t>
  </si>
  <si>
    <t>KS19-15-QT 2.10</t>
  </si>
  <si>
    <t>KSL T3-04a</t>
  </si>
  <si>
    <t>KS19-6-QT 1.1</t>
  </si>
  <si>
    <t>KS19-6-QT 1.2</t>
  </si>
  <si>
    <t>KS19-6-QT 1.3</t>
  </si>
  <si>
    <t>KS19-14-QT 1.1</t>
  </si>
  <si>
    <t>KS19-14-QT 1.2</t>
  </si>
  <si>
    <t>KS19-14-QT 1.3</t>
  </si>
  <si>
    <t>KS19-10-QT 3.1</t>
  </si>
  <si>
    <t>KS19-10-QT 3.2</t>
  </si>
  <si>
    <t>KS19-10-QT 3.3</t>
  </si>
  <si>
    <t>KS19-3-8c</t>
  </si>
  <si>
    <t>D2Fenite</t>
  </si>
  <si>
    <t>KS19-3-8d</t>
  </si>
  <si>
    <t>&lt;0.01</t>
  </si>
  <si>
    <t>KS19-10-QT 2.1</t>
  </si>
  <si>
    <t>KS19-10-QT 2.2</t>
  </si>
  <si>
    <t>KS19-10-QT 2.3</t>
  </si>
  <si>
    <t>KS19-18-QT 1.1</t>
  </si>
  <si>
    <t>D3Fenite</t>
  </si>
  <si>
    <t>KS19-18-QT 1.2</t>
  </si>
  <si>
    <t>KS19-18-QT 1.3</t>
  </si>
  <si>
    <t>KSL 14-3a</t>
  </si>
  <si>
    <t>Fenite</t>
  </si>
  <si>
    <t>KSL 2-3c</t>
  </si>
  <si>
    <t>LRS19.42</t>
  </si>
  <si>
    <t>KSL 6-1b</t>
  </si>
  <si>
    <t>KSL 1-3a</t>
  </si>
  <si>
    <t>KSL 1-3b</t>
  </si>
  <si>
    <t>KSL 6-3b</t>
  </si>
  <si>
    <t>KSL 6-8b</t>
  </si>
  <si>
    <t>KS19-3-1a</t>
  </si>
  <si>
    <t>KS19-18-2</t>
  </si>
  <si>
    <t>KSL 8-2c</t>
  </si>
  <si>
    <t>KSL 10-4</t>
  </si>
  <si>
    <t>KS19-3-5</t>
  </si>
  <si>
    <t>Protolith</t>
  </si>
  <si>
    <t>EFU</t>
  </si>
  <si>
    <t>KS19-3-6</t>
  </si>
  <si>
    <t>KS19-18-12</t>
  </si>
  <si>
    <t>KS19-18-11</t>
  </si>
  <si>
    <t>KS19-3-7</t>
  </si>
  <si>
    <t>KS19-18-9</t>
  </si>
  <si>
    <t>KS19-18-8</t>
  </si>
  <si>
    <t>KSL 15-2</t>
  </si>
  <si>
    <t>KSL 15-4</t>
  </si>
  <si>
    <t>KS19-3-9</t>
  </si>
  <si>
    <t>KSL 15-3a</t>
  </si>
  <si>
    <t>KS19-18-7</t>
  </si>
  <si>
    <t>KS19-3-10</t>
  </si>
  <si>
    <t>KS19-18-5</t>
  </si>
  <si>
    <t>KSL 10-3b</t>
  </si>
  <si>
    <t>KSL 13-2a</t>
  </si>
  <si>
    <t>Intrusion</t>
  </si>
  <si>
    <t>SY</t>
  </si>
  <si>
    <t>KSL 4-4d</t>
  </si>
  <si>
    <t>KSL 7-3b</t>
  </si>
  <si>
    <t>BVC</t>
  </si>
  <si>
    <t>KSL 13-4a</t>
  </si>
  <si>
    <t>GLC 17.6</t>
  </si>
  <si>
    <t>KSL 14-5</t>
  </si>
  <si>
    <t>KSL 9-1</t>
  </si>
  <si>
    <t>KSL 9-2b</t>
  </si>
  <si>
    <t>KSL 14-1</t>
  </si>
  <si>
    <t>b.d. = below detection limit; na = not analysed</t>
  </si>
  <si>
    <t>MDL BVC</t>
  </si>
  <si>
    <t>-</t>
  </si>
  <si>
    <t>2-sigma</t>
  </si>
  <si>
    <t>MDL STA</t>
  </si>
  <si>
    <t>MDL ALS</t>
  </si>
  <si>
    <t>ΔCCa/CCa0</t>
  </si>
  <si>
    <t>ΔCNa/CNa0</t>
  </si>
  <si>
    <t>ΔCK/CK0</t>
  </si>
  <si>
    <t>ΔCTi/CTi0</t>
  </si>
  <si>
    <t>sample used as reference for isocon analysis; fenite density used = 2.8, protolith density = 2.6</t>
  </si>
  <si>
    <t>@' = location; BVC - Bureau Veritas Canada, Vancouver; STA = St Andrews; ALS = ALS Geochemistry, Loughrea, Ireland</t>
  </si>
  <si>
    <t>@' TE</t>
  </si>
  <si>
    <t>@' ME</t>
  </si>
  <si>
    <t>STA</t>
  </si>
  <si>
    <t>CHFSEO-TiO2</t>
  </si>
  <si>
    <t>Wt KKT</t>
  </si>
  <si>
    <t>Trn KKT-LJV</t>
  </si>
  <si>
    <t>Wt Lujavrite</t>
  </si>
  <si>
    <t>TREO</t>
  </si>
  <si>
    <t>Volume</t>
  </si>
  <si>
    <t>Tonnage</t>
  </si>
  <si>
    <r>
      <t>Ʃ</t>
    </r>
    <r>
      <rPr>
        <b/>
        <sz val="7.7"/>
        <color theme="1"/>
        <rFont val="Calibri"/>
        <family val="2"/>
        <scheme val="minor"/>
      </rPr>
      <t>HREO</t>
    </r>
    <r>
      <rPr>
        <b/>
        <sz val="11"/>
        <color theme="1"/>
        <rFont val="Calibri"/>
        <family val="2"/>
        <scheme val="minor"/>
      </rPr>
      <t xml:space="preserve"> in Fenite (Mt)</t>
    </r>
  </si>
  <si>
    <r>
      <t>Ʃ</t>
    </r>
    <r>
      <rPr>
        <b/>
        <sz val="7.7"/>
        <color theme="1"/>
        <rFont val="Calibri"/>
        <family val="2"/>
        <scheme val="minor"/>
      </rPr>
      <t>HREO</t>
    </r>
    <r>
      <rPr>
        <b/>
        <sz val="11"/>
        <color theme="1"/>
        <rFont val="Calibri"/>
        <family val="2"/>
        <scheme val="minor"/>
      </rPr>
      <t xml:space="preserve"> in Unaltered (Mt)</t>
    </r>
  </si>
  <si>
    <t>ƩLREO</t>
  </si>
  <si>
    <t>ƩHREO</t>
  </si>
  <si>
    <r>
      <t>km</t>
    </r>
    <r>
      <rPr>
        <vertAlign val="superscript"/>
        <sz val="8"/>
        <color theme="1"/>
        <rFont val="Calibri"/>
        <family val="2"/>
        <scheme val="minor"/>
      </rPr>
      <t>3</t>
    </r>
  </si>
  <si>
    <t>SUM TREO</t>
  </si>
  <si>
    <t>SUM LREO (La,Ce,Nd,Sm)</t>
  </si>
  <si>
    <t>Pr, Gd, Eu</t>
  </si>
  <si>
    <t>Pr, Eu, Gd</t>
  </si>
  <si>
    <r>
      <rPr>
        <b/>
        <sz val="11"/>
        <color theme="1"/>
        <rFont val="Calibri"/>
        <family val="2"/>
      </rPr>
      <t>Ʃ</t>
    </r>
    <r>
      <rPr>
        <b/>
        <sz val="11"/>
        <color theme="1"/>
        <rFont val="Calibri"/>
        <family val="2"/>
        <scheme val="minor"/>
      </rPr>
      <t>CHFSEO</t>
    </r>
  </si>
  <si>
    <r>
      <t>ƩCHFSEO-TiO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</si>
  <si>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ZrO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</si>
  <si>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TiO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</si>
  <si>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CHSFEO</t>
  </si>
  <si>
    <t>Pr+Eu+Gd</t>
  </si>
  <si>
    <t>Gt</t>
  </si>
  <si>
    <t>* - assuming TREO = LREO; agpaitic phonolite dyke assumed as the BM composition; na - not analysed</t>
  </si>
  <si>
    <t>wt% ox.</t>
  </si>
  <si>
    <t>Pr + Eu + Gd</t>
  </si>
  <si>
    <t>1-sigma Protolith Variability</t>
  </si>
  <si>
    <t>2-sigma Protolith Variability</t>
  </si>
  <si>
    <t>MAX (2sigma + 3-9)</t>
  </si>
  <si>
    <r>
      <t>T</t>
    </r>
    <r>
      <rPr>
        <b/>
        <sz val="7.7"/>
        <color theme="1"/>
        <rFont val="Calibri"/>
        <family val="2"/>
        <scheme val="minor"/>
      </rPr>
      <t>REO</t>
    </r>
    <r>
      <rPr>
        <b/>
        <sz val="11"/>
        <color theme="1"/>
        <rFont val="Calibri"/>
        <family val="2"/>
        <scheme val="minor"/>
      </rPr>
      <t xml:space="preserve"> in the whole agpaite package (Mt)</t>
    </r>
  </si>
  <si>
    <r>
      <t>T</t>
    </r>
    <r>
      <rPr>
        <b/>
        <sz val="7.7"/>
        <color theme="1"/>
        <rFont val="Calibri"/>
        <family val="2"/>
        <scheme val="minor"/>
      </rPr>
      <t>REO</t>
    </r>
    <r>
      <rPr>
        <b/>
        <sz val="11"/>
        <color theme="1"/>
        <rFont val="Calibri"/>
        <family val="2"/>
        <scheme val="minor"/>
      </rPr>
      <t xml:space="preserve"> in kakortokite (Mt)</t>
    </r>
  </si>
  <si>
    <t xml:space="preserve">ƩCHFSEO, chosen HFSE oxides = (Zr, Nb, Ti, Y, U, Th, REE) </t>
  </si>
  <si>
    <t>ƩLREO in kakortokite (Mt)</t>
  </si>
  <si>
    <t>95% confidence interval upper lim</t>
  </si>
  <si>
    <t>95% confidence interval lower lim</t>
  </si>
  <si>
    <t>99% CI upper lim</t>
  </si>
  <si>
    <t>99% CI lower lim</t>
  </si>
  <si>
    <t>95% CI</t>
  </si>
  <si>
    <t>99% CI</t>
  </si>
  <si>
    <t>ΔCMg/CMg0</t>
  </si>
  <si>
    <t>Reference Materials BVC</t>
  </si>
  <si>
    <t>STD Expected</t>
  </si>
  <si>
    <t>STD SO-19</t>
  </si>
  <si>
    <t>GSP2 19.08 TE</t>
  </si>
  <si>
    <t>GSP2 17.08</t>
  </si>
  <si>
    <t>Reference Materials STA</t>
  </si>
  <si>
    <t>GSP2-granodiorite certified</t>
  </si>
  <si>
    <t>Accuracy (Absolute difference; ppm)</t>
  </si>
  <si>
    <t>Accuracy (Absolute difference; wt% ox or ppm)</t>
  </si>
  <si>
    <t>Accuracy (% relative to cert.)</t>
  </si>
  <si>
    <t>RSD</t>
  </si>
  <si>
    <t>KS19-3-5-DUP</t>
  </si>
  <si>
    <t>KS19-3-10-DUP</t>
  </si>
  <si>
    <t>KS19-8-3d-DUP</t>
  </si>
  <si>
    <t>KS19-6-QT 1.1-DUP</t>
  </si>
  <si>
    <t>KS19-10-QT 2.1-DUP</t>
  </si>
  <si>
    <t>KS19-10-QT 3.3-DUP</t>
  </si>
  <si>
    <t>KS19-14-QT 1.1-DUP</t>
  </si>
  <si>
    <t>KS19-15-QT 2.1-DUP</t>
  </si>
  <si>
    <t>Duplicates BVC</t>
  </si>
  <si>
    <t>&gt;100</t>
  </si>
  <si>
    <t>&lt;10</t>
  </si>
  <si>
    <t>Duplicates ALS</t>
  </si>
  <si>
    <t>KSL 15-2 REP</t>
  </si>
  <si>
    <t>Blank 1</t>
  </si>
  <si>
    <t>Blank 2</t>
  </si>
  <si>
    <t>b.d</t>
  </si>
  <si>
    <t>OREAS 102a</t>
  </si>
  <si>
    <t>SY-4</t>
  </si>
  <si>
    <t>LR-LOI2</t>
  </si>
  <si>
    <t>LR-LOI1</t>
  </si>
  <si>
    <t>AMIS0304</t>
  </si>
  <si>
    <t>REE-1</t>
  </si>
  <si>
    <t>LR-LOI3</t>
  </si>
  <si>
    <t>LR-LOI4</t>
  </si>
  <si>
    <t>Reference Materials ALS (in order of analysis)</t>
  </si>
  <si>
    <t>&gt;2500</t>
  </si>
  <si>
    <t>&gt;1000</t>
  </si>
  <si>
    <t>&gt;10000</t>
  </si>
  <si>
    <t>SY4 Expected</t>
  </si>
  <si>
    <t>Yes</t>
  </si>
  <si>
    <t>No</t>
  </si>
  <si>
    <t xml:space="preserve">AVG SY-4 </t>
  </si>
  <si>
    <t>SD SY-4</t>
  </si>
  <si>
    <t>2-sigma SY-4</t>
  </si>
  <si>
    <t>OREAS 102a Expected</t>
  </si>
  <si>
    <t>AVG OREAS 102</t>
  </si>
  <si>
    <t xml:space="preserve">SD OREAS 102a </t>
  </si>
  <si>
    <t xml:space="preserve">2-sigma OREAS 102a </t>
  </si>
  <si>
    <t>REE1 Expected</t>
  </si>
  <si>
    <t>AVG REE1</t>
  </si>
  <si>
    <t>SD REE1</t>
  </si>
  <si>
    <t>2-sigma REE1</t>
  </si>
  <si>
    <t>AMIS0304 Expected</t>
  </si>
  <si>
    <t>SD AMIS0304 (ME)</t>
  </si>
  <si>
    <t>2-sigma AMIS0304 (ME)</t>
  </si>
  <si>
    <t>AVG AMIS0304</t>
  </si>
  <si>
    <t>Blanks</t>
  </si>
  <si>
    <t>Blank 3</t>
  </si>
  <si>
    <t>Blank 4</t>
  </si>
  <si>
    <t>Blank 5</t>
  </si>
  <si>
    <t>Blank 6</t>
  </si>
  <si>
    <t>Blank 7</t>
  </si>
  <si>
    <t>Blank 8</t>
  </si>
  <si>
    <t>Blank 9</t>
  </si>
  <si>
    <t>Blank 10</t>
  </si>
  <si>
    <t>Blank 11</t>
  </si>
  <si>
    <t>KSL-T3-4a-DUP</t>
  </si>
  <si>
    <t>KS19-8-3A-DUP</t>
  </si>
  <si>
    <t>Blank 12</t>
  </si>
  <si>
    <t>Blank 13</t>
  </si>
  <si>
    <t>LOI standards</t>
  </si>
  <si>
    <t>LO1 Exp</t>
  </si>
  <si>
    <t>LO2 Exp</t>
  </si>
  <si>
    <t>LO3 Exp</t>
  </si>
  <si>
    <t>LO4 Exp</t>
  </si>
  <si>
    <t>RSD BVC</t>
  </si>
  <si>
    <t>RSD ALS (ME = OREAS102, TE = SY-4)</t>
  </si>
  <si>
    <t>RSD STA</t>
  </si>
  <si>
    <t>MAX ME</t>
  </si>
  <si>
    <t>MAX TE</t>
  </si>
  <si>
    <t>Standardisation Summary</t>
  </si>
  <si>
    <t>Accuracy (% relative to cert.;  ME = OREAS102, TE = SY-4)</t>
  </si>
  <si>
    <t>AVG ME</t>
  </si>
  <si>
    <t>AVG TE</t>
  </si>
  <si>
    <t>D1, D2 &amp; D3 categories correspond to fenite at the contacts of different dykes of the Igaliku Dyke Swarm</t>
  </si>
  <si>
    <t>2-sigma I4</t>
  </si>
  <si>
    <t>95% CI I4</t>
  </si>
  <si>
    <t>I4 cylinder + fenite (800 m)</t>
  </si>
  <si>
    <t>Fenite carapace cylinder (800 m)</t>
  </si>
  <si>
    <t>Fenite carapace cylinder (400m)</t>
  </si>
  <si>
    <t>TREO in Fenite (Mt)</t>
  </si>
  <si>
    <t>TREO in Unaltered (Mt)</t>
  </si>
  <si>
    <t>log ZNT</t>
  </si>
  <si>
    <t>log UT</t>
  </si>
  <si>
    <t>AVG dCi/CiO</t>
  </si>
  <si>
    <t>STDEV protolith</t>
  </si>
  <si>
    <t>STDEV fenite</t>
  </si>
  <si>
    <t>2-sigma prot</t>
  </si>
  <si>
    <t>2-sigma fen</t>
  </si>
  <si>
    <t>I4 intrusion ellipsoid 2 (longer x)</t>
  </si>
  <si>
    <t>I4 intrusion 2 (longer x) + fenite</t>
  </si>
  <si>
    <t>I4 cylinder 2 (longer x)</t>
  </si>
  <si>
    <t>Fenite carapace cylinder 2 (longer x)</t>
  </si>
  <si>
    <t>I4 cylinder 2 (longer x) + fenite</t>
  </si>
  <si>
    <t>MIN</t>
  </si>
  <si>
    <t>MAX</t>
  </si>
  <si>
    <t>I4 ellipsoid (long z axis +  800m fenite)</t>
  </si>
  <si>
    <t>I4 ellipsoid (long z axis + 400m fenite)</t>
  </si>
  <si>
    <t>I4 intrusion + fenite (add 800 m)</t>
  </si>
  <si>
    <t>I4 cylinder + fenite (400m)</t>
  </si>
  <si>
    <t>I4 syenite*</t>
  </si>
  <si>
    <t>Mass% of Total Mass</t>
  </si>
  <si>
    <t>I4 intrusion + fenite (200m)</t>
  </si>
  <si>
    <t>I4 elllipsoid (long z axis + 200m fenite)</t>
  </si>
  <si>
    <t>I4 cyllinder + fenite (200m)</t>
  </si>
  <si>
    <t>Fenite carapace cyllinder (200m)</t>
  </si>
  <si>
    <t>Fenite Carapace (200 m as per Ferguson 1964)</t>
  </si>
  <si>
    <t>Intrusion + fenite (200 m as per Ferguson 1964)</t>
  </si>
  <si>
    <t>I4 ellipsoid (long z axis)</t>
  </si>
  <si>
    <t>Fenite carapace (200 m), ellipsoid 1</t>
  </si>
  <si>
    <t>Fenite carapace (400 m), ellipsoid 1</t>
  </si>
  <si>
    <t>Fenite carapace (800 m), ellipsoid 1</t>
  </si>
  <si>
    <t>Fenite carapace, ellipsoid 3(longer x)</t>
  </si>
  <si>
    <t>Fenite carapace, ellipsoid 2 long z axis (200m)</t>
  </si>
  <si>
    <t>Fenite carapace, ellipsoid 2 long z axis (400m)</t>
  </si>
  <si>
    <t>Fenite carapace, ellipsoid 2 long z axis (800m)</t>
  </si>
  <si>
    <t>GSP2 (Raczek et al, 2000)</t>
  </si>
  <si>
    <t>Ellipsoid 1</t>
  </si>
  <si>
    <t>Ellipsoid 2</t>
  </si>
  <si>
    <t>I4 intrusion ellipsoid 1</t>
  </si>
  <si>
    <t>I4 Fenite (400 m)</t>
  </si>
  <si>
    <t xml:space="preserve">Cylinder </t>
  </si>
  <si>
    <t>Unaltered Reference ellipsoid 1</t>
  </si>
  <si>
    <t>Unaltered Reference ellipsoid 2</t>
  </si>
  <si>
    <t>Unaltered Reference cylinder</t>
  </si>
  <si>
    <t>400 m wide aureole ellipsoid summary</t>
  </si>
  <si>
    <t>Eriksfjord Protolith (comparative volume, 400 m)</t>
  </si>
  <si>
    <t>MIN Fenite</t>
  </si>
  <si>
    <t>MAX Fenite</t>
  </si>
  <si>
    <t>Black Madonna (BM)</t>
  </si>
  <si>
    <t>Ellip1</t>
  </si>
  <si>
    <t>Unaltered Reference (Mt) ellipsoid 1</t>
  </si>
  <si>
    <t>Ellip 2</t>
  </si>
  <si>
    <t>I4 ellipsoid 2 long z-axis</t>
  </si>
  <si>
    <t>Mean I4 (global)</t>
  </si>
  <si>
    <t>Mean Fenite (global)</t>
  </si>
  <si>
    <t>Mean Unaltered (global)</t>
  </si>
  <si>
    <t>Unaltered</t>
  </si>
  <si>
    <t>Fenite MIN</t>
  </si>
  <si>
    <t>Fenite MAX</t>
  </si>
  <si>
    <t>Unaltered MIN</t>
  </si>
  <si>
    <t>Unaltered MAX</t>
  </si>
  <si>
    <t>Average</t>
  </si>
  <si>
    <r>
      <t>Ta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</si>
  <si>
    <t xml:space="preserve">ƩCHFSEO, chosen HFSE oxides = (Zr, Nb, Ti, Y, U, Th, LREE) </t>
  </si>
  <si>
    <t>Mean Fenite (global average of all geometries in DR 2.1-2.2)</t>
  </si>
  <si>
    <t>Δ</t>
  </si>
  <si>
    <t>% of the budget</t>
  </si>
  <si>
    <t xml:space="preserve">ƩHREO = (Tb-Lu+Y) </t>
  </si>
  <si>
    <t>ƩCHFSEO, chosen HFSE oxides = (Zr, Nb, Ti, Y, U, Th, LREE); Ta and Hf omitted for comparative purposes due to lack of data for I4 syenite</t>
  </si>
  <si>
    <r>
      <t>X</t>
    </r>
    <r>
      <rPr>
        <i/>
        <u/>
        <vertAlign val="subscript"/>
        <sz val="11"/>
        <color theme="1"/>
        <rFont val="Calibri"/>
        <family val="2"/>
        <scheme val="minor"/>
      </rPr>
      <t>Total</t>
    </r>
    <r>
      <rPr>
        <i/>
        <u/>
        <sz val="11"/>
        <color theme="1"/>
        <rFont val="Calibri"/>
        <family val="2"/>
        <scheme val="minor"/>
      </rPr>
      <t xml:space="preserve"> = [I4 + (fenite-protolith)]</t>
    </r>
  </si>
  <si>
    <t>Lat (dec deg)</t>
  </si>
  <si>
    <t>Long (dec deg)</t>
  </si>
  <si>
    <t>Lat (UTM Z 23N)</t>
  </si>
  <si>
    <t>Long (UTM Z 23N)</t>
  </si>
  <si>
    <t>Sokół, K., et al., 2021, Quantifying metasomatic high-field-strength and rare-earth element transport from alkaline magmas: Geology, https://doi.org/10.1130/G49471.1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</si>
</sst>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7.7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Georgia"/>
      <family val="1"/>
    </font>
    <font>
      <sz val="12"/>
      <color theme="1"/>
      <name val="Georgia"/>
      <family val="1"/>
    </font>
    <font>
      <b/>
      <vertAlign val="subscript"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i/>
      <u/>
      <vertAlign val="subscript"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EFC7C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F9F9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FADE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5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2" applyAlignment="1">
      <alignment wrapText="1"/>
    </xf>
    <xf numFmtId="0" fontId="0" fillId="0" borderId="1" xfId="0" applyBorder="1"/>
    <xf numFmtId="0" fontId="0" fillId="0" borderId="2" xfId="0" applyBorder="1"/>
    <xf numFmtId="2" fontId="0" fillId="0" borderId="0" xfId="0" applyNumberFormat="1"/>
    <xf numFmtId="11" fontId="0" fillId="0" borderId="0" xfId="0" applyNumberFormat="1"/>
    <xf numFmtId="2" fontId="3" fillId="0" borderId="0" xfId="0" applyNumberFormat="1" applyFont="1"/>
    <xf numFmtId="9" fontId="0" fillId="0" borderId="0" xfId="1" applyFont="1"/>
    <xf numFmtId="0" fontId="0" fillId="0" borderId="0" xfId="0" applyAlignment="1">
      <alignment wrapText="1"/>
    </xf>
    <xf numFmtId="0" fontId="3" fillId="0" borderId="0" xfId="0" applyFont="1"/>
    <xf numFmtId="0" fontId="0" fillId="0" borderId="3" xfId="0" applyBorder="1" applyAlignment="1">
      <alignment wrapText="1"/>
    </xf>
    <xf numFmtId="0" fontId="0" fillId="0" borderId="3" xfId="0" applyBorder="1"/>
    <xf numFmtId="0" fontId="3" fillId="0" borderId="3" xfId="0" applyFont="1" applyBorder="1" applyAlignment="1">
      <alignment wrapText="1"/>
    </xf>
    <xf numFmtId="2" fontId="3" fillId="0" borderId="3" xfId="0" applyNumberFormat="1" applyFont="1" applyBorder="1"/>
    <xf numFmtId="0" fontId="0" fillId="0" borderId="0" xfId="0" applyAlignment="1">
      <alignment vertical="center" textRotation="90" wrapText="1"/>
    </xf>
    <xf numFmtId="0" fontId="3" fillId="0" borderId="0" xfId="0" applyFont="1" applyAlignment="1">
      <alignment horizontal="right"/>
    </xf>
    <xf numFmtId="0" fontId="0" fillId="2" borderId="0" xfId="0" applyFill="1"/>
    <xf numFmtId="0" fontId="3" fillId="2" borderId="0" xfId="0" applyFont="1" applyFill="1"/>
    <xf numFmtId="0" fontId="0" fillId="3" borderId="0" xfId="0" applyFill="1"/>
    <xf numFmtId="0" fontId="3" fillId="3" borderId="0" xfId="0" applyFont="1" applyFill="1"/>
    <xf numFmtId="2" fontId="0" fillId="0" borderId="3" xfId="0" applyNumberFormat="1" applyBorder="1"/>
    <xf numFmtId="2" fontId="3" fillId="0" borderId="4" xfId="0" applyNumberFormat="1" applyFont="1" applyBorder="1"/>
    <xf numFmtId="164" fontId="0" fillId="0" borderId="0" xfId="0" applyNumberFormat="1"/>
    <xf numFmtId="0" fontId="0" fillId="0" borderId="0" xfId="0" applyAlignment="1">
      <alignment horizontal="center" textRotation="90" wrapText="1"/>
    </xf>
    <xf numFmtId="0" fontId="0" fillId="0" borderId="0" xfId="0" applyAlignment="1">
      <alignment textRotation="90" wrapText="1"/>
    </xf>
    <xf numFmtId="2" fontId="0" fillId="0" borderId="0" xfId="1" applyNumberFormat="1" applyFont="1"/>
    <xf numFmtId="2" fontId="0" fillId="0" borderId="0" xfId="1" applyNumberFormat="1" applyFont="1" applyBorder="1"/>
    <xf numFmtId="0" fontId="0" fillId="4" borderId="3" xfId="0" applyFill="1" applyBorder="1"/>
    <xf numFmtId="0" fontId="3" fillId="4" borderId="3" xfId="0" applyFont="1" applyFill="1" applyBorder="1" applyAlignment="1">
      <alignment wrapText="1"/>
    </xf>
    <xf numFmtId="0" fontId="3" fillId="4" borderId="3" xfId="0" applyFont="1" applyFill="1" applyBorder="1"/>
    <xf numFmtId="0" fontId="3" fillId="0" borderId="3" xfId="0" applyFont="1" applyBorder="1"/>
    <xf numFmtId="0" fontId="0" fillId="4" borderId="0" xfId="0" applyFill="1"/>
    <xf numFmtId="0" fontId="3" fillId="4" borderId="0" xfId="0" applyFont="1" applyFill="1" applyAlignment="1">
      <alignment wrapText="1"/>
    </xf>
    <xf numFmtId="2" fontId="3" fillId="4" borderId="0" xfId="0" applyNumberFormat="1" applyFont="1" applyFill="1"/>
    <xf numFmtId="2" fontId="0" fillId="4" borderId="0" xfId="0" applyNumberFormat="1" applyFill="1"/>
    <xf numFmtId="0" fontId="3" fillId="5" borderId="0" xfId="0" applyFont="1" applyFill="1" applyAlignment="1">
      <alignment wrapText="1"/>
    </xf>
    <xf numFmtId="2" fontId="3" fillId="5" borderId="0" xfId="0" applyNumberFormat="1" applyFont="1" applyFill="1"/>
    <xf numFmtId="2" fontId="0" fillId="0" borderId="0" xfId="1" applyNumberFormat="1" applyFont="1" applyFill="1" applyBorder="1"/>
    <xf numFmtId="2" fontId="6" fillId="0" borderId="0" xfId="0" applyNumberFormat="1" applyFont="1"/>
    <xf numFmtId="0" fontId="3" fillId="6" borderId="0" xfId="0" applyFont="1" applyFill="1" applyAlignment="1">
      <alignment wrapText="1"/>
    </xf>
    <xf numFmtId="10" fontId="3" fillId="6" borderId="0" xfId="1" applyNumberFormat="1" applyFont="1" applyFill="1" applyBorder="1"/>
    <xf numFmtId="10" fontId="0" fillId="6" borderId="0" xfId="1" applyNumberFormat="1" applyFont="1" applyFill="1" applyBorder="1"/>
    <xf numFmtId="0" fontId="0" fillId="6" borderId="0" xfId="0" applyFill="1"/>
    <xf numFmtId="0" fontId="3" fillId="4" borderId="0" xfId="0" applyFont="1" applyFill="1"/>
    <xf numFmtId="2" fontId="0" fillId="4" borderId="0" xfId="1" applyNumberFormat="1" applyFont="1" applyFill="1" applyBorder="1"/>
    <xf numFmtId="0" fontId="7" fillId="4" borderId="3" xfId="0" applyFont="1" applyFill="1" applyBorder="1" applyAlignment="1">
      <alignment wrapText="1"/>
    </xf>
    <xf numFmtId="164" fontId="0" fillId="4" borderId="0" xfId="0" applyNumberFormat="1" applyFill="1"/>
    <xf numFmtId="0" fontId="0" fillId="0" borderId="0" xfId="0" applyAlignment="1">
      <alignment horizontal="right"/>
    </xf>
    <xf numFmtId="2" fontId="0" fillId="0" borderId="0" xfId="0" applyNumberFormat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2" fontId="0" fillId="0" borderId="0" xfId="0" applyNumberFormat="1" applyAlignment="1">
      <alignment horizontal="right"/>
    </xf>
    <xf numFmtId="165" fontId="0" fillId="0" borderId="0" xfId="0" applyNumberFormat="1"/>
    <xf numFmtId="165" fontId="0" fillId="4" borderId="0" xfId="0" applyNumberFormat="1" applyFill="1"/>
    <xf numFmtId="0" fontId="3" fillId="0" borderId="0" xfId="0" applyFont="1" applyAlignment="1">
      <alignment horizontal="right" wrapText="1"/>
    </xf>
    <xf numFmtId="2" fontId="3" fillId="0" borderId="0" xfId="0" applyNumberFormat="1" applyFont="1" applyAlignment="1">
      <alignment wrapText="1"/>
    </xf>
    <xf numFmtId="10" fontId="0" fillId="0" borderId="0" xfId="1" applyNumberFormat="1" applyFont="1"/>
    <xf numFmtId="0" fontId="3" fillId="7" borderId="0" xfId="0" applyFont="1" applyFill="1" applyAlignment="1">
      <alignment wrapText="1"/>
    </xf>
    <xf numFmtId="0" fontId="3" fillId="8" borderId="0" xfId="0" applyFont="1" applyFill="1" applyAlignment="1">
      <alignment wrapText="1"/>
    </xf>
    <xf numFmtId="0" fontId="6" fillId="0" borderId="0" xfId="0" applyFont="1"/>
    <xf numFmtId="166" fontId="0" fillId="0" borderId="0" xfId="0" applyNumberFormat="1"/>
    <xf numFmtId="166" fontId="0" fillId="0" borderId="2" xfId="0" applyNumberFormat="1" applyBorder="1"/>
    <xf numFmtId="166" fontId="3" fillId="0" borderId="0" xfId="0" applyNumberFormat="1" applyFont="1"/>
    <xf numFmtId="0" fontId="3" fillId="0" borderId="5" xfId="0" applyFont="1" applyBorder="1" applyAlignment="1">
      <alignment wrapText="1"/>
    </xf>
    <xf numFmtId="0" fontId="3" fillId="0" borderId="2" xfId="0" applyFont="1" applyBorder="1"/>
    <xf numFmtId="0" fontId="13" fillId="0" borderId="0" xfId="0" applyFont="1"/>
    <xf numFmtId="0" fontId="14" fillId="0" borderId="0" xfId="0" applyFont="1"/>
    <xf numFmtId="0" fontId="15" fillId="0" borderId="0" xfId="0" applyFont="1"/>
    <xf numFmtId="164" fontId="15" fillId="0" borderId="0" xfId="0" applyNumberFormat="1" applyFont="1"/>
    <xf numFmtId="167" fontId="0" fillId="0" borderId="0" xfId="0" applyNumberFormat="1"/>
    <xf numFmtId="0" fontId="0" fillId="0" borderId="6" xfId="0" applyBorder="1" applyAlignment="1">
      <alignment horizontal="right"/>
    </xf>
    <xf numFmtId="166" fontId="16" fillId="0" borderId="0" xfId="0" applyNumberFormat="1" applyFont="1"/>
    <xf numFmtId="0" fontId="16" fillId="0" borderId="0" xfId="0" applyFont="1"/>
    <xf numFmtId="164" fontId="0" fillId="0" borderId="0" xfId="0" applyNumberFormat="1" applyAlignment="1">
      <alignment horizontal="center"/>
    </xf>
    <xf numFmtId="0" fontId="18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9" fillId="0" borderId="0" xfId="0" applyFont="1"/>
    <xf numFmtId="164" fontId="19" fillId="0" borderId="0" xfId="0" applyNumberFormat="1" applyFont="1"/>
    <xf numFmtId="0" fontId="20" fillId="0" borderId="0" xfId="0" applyFont="1"/>
    <xf numFmtId="164" fontId="13" fillId="0" borderId="0" xfId="0" applyNumberFormat="1" applyFont="1"/>
    <xf numFmtId="2" fontId="3" fillId="0" borderId="0" xfId="0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ont="1"/>
    <xf numFmtId="0" fontId="3" fillId="2" borderId="0" xfId="0" applyFont="1" applyFill="1" applyAlignment="1">
      <alignment wrapText="1"/>
    </xf>
    <xf numFmtId="0" fontId="3" fillId="9" borderId="0" xfId="0" applyFont="1" applyFill="1" applyAlignment="1">
      <alignment wrapText="1"/>
    </xf>
    <xf numFmtId="2" fontId="3" fillId="2" borderId="0" xfId="0" applyNumberFormat="1" applyFont="1" applyFill="1"/>
    <xf numFmtId="0" fontId="3" fillId="10" borderId="0" xfId="0" applyFont="1" applyFill="1" applyAlignment="1">
      <alignment wrapText="1"/>
    </xf>
    <xf numFmtId="2" fontId="3" fillId="10" borderId="0" xfId="0" applyNumberFormat="1" applyFont="1" applyFill="1"/>
    <xf numFmtId="0" fontId="3" fillId="11" borderId="0" xfId="0" applyFont="1" applyFill="1"/>
    <xf numFmtId="0" fontId="0" fillId="11" borderId="0" xfId="0" applyFill="1"/>
    <xf numFmtId="0" fontId="16" fillId="0" borderId="0" xfId="0" applyFont="1" applyFill="1"/>
    <xf numFmtId="0" fontId="17" fillId="0" borderId="0" xfId="0" applyFont="1" applyFill="1"/>
    <xf numFmtId="0" fontId="15" fillId="0" borderId="0" xfId="0" applyFont="1" applyFill="1"/>
    <xf numFmtId="164" fontId="15" fillId="0" borderId="0" xfId="0" applyNumberFormat="1" applyFont="1" applyFill="1"/>
    <xf numFmtId="0" fontId="16" fillId="0" borderId="0" xfId="0" applyFont="1" applyFill="1" applyAlignment="1">
      <alignment horizontal="right"/>
    </xf>
    <xf numFmtId="2" fontId="16" fillId="0" borderId="0" xfId="0" applyNumberFormat="1" applyFont="1" applyFill="1" applyAlignment="1">
      <alignment horizontal="right"/>
    </xf>
    <xf numFmtId="166" fontId="0" fillId="0" borderId="0" xfId="0" applyNumberFormat="1" applyFill="1"/>
    <xf numFmtId="167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0" fontId="14" fillId="0" borderId="0" xfId="0" applyFont="1" applyFill="1"/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14" fillId="11" borderId="0" xfId="0" applyFont="1" applyFill="1"/>
    <xf numFmtId="0" fontId="15" fillId="11" borderId="0" xfId="0" applyFont="1" applyFill="1"/>
    <xf numFmtId="164" fontId="15" fillId="11" borderId="0" xfId="0" applyNumberFormat="1" applyFont="1" applyFill="1"/>
    <xf numFmtId="0" fontId="0" fillId="11" borderId="0" xfId="0" applyFill="1" applyAlignment="1">
      <alignment horizontal="right"/>
    </xf>
    <xf numFmtId="2" fontId="0" fillId="11" borderId="0" xfId="0" applyNumberFormat="1" applyFill="1" applyAlignment="1">
      <alignment horizontal="right"/>
    </xf>
    <xf numFmtId="166" fontId="0" fillId="11" borderId="0" xfId="0" applyNumberFormat="1" applyFill="1"/>
    <xf numFmtId="2" fontId="0" fillId="11" borderId="0" xfId="0" applyNumberFormat="1" applyFill="1"/>
    <xf numFmtId="0" fontId="0" fillId="0" borderId="0" xfId="0" quotePrefix="1"/>
    <xf numFmtId="0" fontId="3" fillId="0" borderId="0" xfId="0" quotePrefix="1" applyFont="1"/>
    <xf numFmtId="2" fontId="0" fillId="0" borderId="0" xfId="0" applyNumberFormat="1" applyFont="1" applyAlignment="1">
      <alignment horizontal="right"/>
    </xf>
    <xf numFmtId="10" fontId="0" fillId="0" borderId="0" xfId="1" applyNumberFormat="1" applyFont="1" applyAlignment="1">
      <alignment horizontal="right"/>
    </xf>
    <xf numFmtId="0" fontId="14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Alignment="1">
      <alignment horizontal="right"/>
    </xf>
    <xf numFmtId="166" fontId="0" fillId="4" borderId="0" xfId="0" applyNumberFormat="1" applyFill="1"/>
    <xf numFmtId="165" fontId="0" fillId="0" borderId="0" xfId="0" applyNumberFormat="1" applyAlignment="1">
      <alignment horizontal="right"/>
    </xf>
    <xf numFmtId="166" fontId="0" fillId="0" borderId="0" xfId="1" applyNumberFormat="1" applyFont="1"/>
    <xf numFmtId="0" fontId="16" fillId="0" borderId="0" xfId="0" applyFont="1" applyAlignment="1">
      <alignment horizontal="right"/>
    </xf>
    <xf numFmtId="0" fontId="21" fillId="0" borderId="0" xfId="0" applyFont="1"/>
    <xf numFmtId="0" fontId="25" fillId="0" borderId="0" xfId="0" applyFont="1"/>
    <xf numFmtId="0" fontId="0" fillId="0" borderId="0" xfId="0" applyFont="1" applyAlignment="1">
      <alignment horizontal="right"/>
    </xf>
    <xf numFmtId="166" fontId="0" fillId="0" borderId="0" xfId="0" applyNumberFormat="1" applyFont="1"/>
    <xf numFmtId="2" fontId="0" fillId="0" borderId="0" xfId="0" applyNumberFormat="1" applyFont="1"/>
    <xf numFmtId="2" fontId="3" fillId="0" borderId="0" xfId="1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0" fontId="3" fillId="0" borderId="0" xfId="1" applyNumberFormat="1" applyFont="1"/>
    <xf numFmtId="166" fontId="0" fillId="0" borderId="0" xfId="0" applyNumberFormat="1" applyFont="1" applyAlignment="1">
      <alignment horizontal="right"/>
    </xf>
    <xf numFmtId="10" fontId="3" fillId="0" borderId="0" xfId="1" applyNumberFormat="1" applyFont="1" applyAlignment="1">
      <alignment horizontal="right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right"/>
    </xf>
    <xf numFmtId="164" fontId="15" fillId="0" borderId="3" xfId="0" applyNumberFormat="1" applyFont="1" applyBorder="1"/>
    <xf numFmtId="0" fontId="0" fillId="0" borderId="3" xfId="0" applyBorder="1" applyAlignment="1">
      <alignment horizontal="right"/>
    </xf>
    <xf numFmtId="2" fontId="0" fillId="0" borderId="3" xfId="0" applyNumberFormat="1" applyBorder="1" applyAlignment="1">
      <alignment horizontal="right"/>
    </xf>
    <xf numFmtId="0" fontId="3" fillId="0" borderId="0" xfId="0" applyFont="1" applyFill="1"/>
    <xf numFmtId="0" fontId="0" fillId="0" borderId="7" xfId="0" applyBorder="1"/>
    <xf numFmtId="0" fontId="14" fillId="0" borderId="7" xfId="0" applyFont="1" applyBorder="1"/>
    <xf numFmtId="0" fontId="15" fillId="0" borderId="7" xfId="0" applyFont="1" applyBorder="1"/>
    <xf numFmtId="164" fontId="15" fillId="0" borderId="7" xfId="0" applyNumberFormat="1" applyFont="1" applyBorder="1"/>
    <xf numFmtId="2" fontId="0" fillId="0" borderId="7" xfId="0" applyNumberFormat="1" applyBorder="1" applyAlignment="1">
      <alignment horizontal="right"/>
    </xf>
    <xf numFmtId="166" fontId="0" fillId="0" borderId="7" xfId="0" applyNumberFormat="1" applyBorder="1"/>
    <xf numFmtId="0" fontId="21" fillId="0" borderId="7" xfId="0" applyFont="1" applyBorder="1"/>
    <xf numFmtId="0" fontId="0" fillId="0" borderId="7" xfId="0" applyBorder="1" applyAlignment="1">
      <alignment horizontal="right"/>
    </xf>
    <xf numFmtId="2" fontId="0" fillId="0" borderId="7" xfId="0" applyNumberFormat="1" applyBorder="1"/>
    <xf numFmtId="0" fontId="3" fillId="12" borderId="0" xfId="0" applyFont="1" applyFill="1"/>
    <xf numFmtId="0" fontId="18" fillId="12" borderId="0" xfId="0" applyFont="1" applyFill="1"/>
    <xf numFmtId="0" fontId="13" fillId="12" borderId="0" xfId="0" applyFont="1" applyFill="1"/>
    <xf numFmtId="10" fontId="0" fillId="12" borderId="0" xfId="0" applyNumberFormat="1" applyFill="1"/>
    <xf numFmtId="10" fontId="14" fillId="12" borderId="0" xfId="0" applyNumberFormat="1" applyFont="1" applyFill="1"/>
    <xf numFmtId="0" fontId="15" fillId="12" borderId="0" xfId="0" applyFont="1" applyFill="1"/>
    <xf numFmtId="0" fontId="0" fillId="12" borderId="0" xfId="0" applyFill="1"/>
    <xf numFmtId="0" fontId="14" fillId="12" borderId="0" xfId="0" applyFont="1" applyFill="1"/>
    <xf numFmtId="0" fontId="0" fillId="12" borderId="3" xfId="0" applyFill="1" applyBorder="1"/>
    <xf numFmtId="0" fontId="14" fillId="12" borderId="3" xfId="0" applyFont="1" applyFill="1" applyBorder="1"/>
    <xf numFmtId="0" fontId="15" fillId="12" borderId="3" xfId="0" applyFont="1" applyFill="1" applyBorder="1"/>
    <xf numFmtId="10" fontId="15" fillId="12" borderId="0" xfId="0" applyNumberFormat="1" applyFont="1" applyFill="1"/>
    <xf numFmtId="0" fontId="0" fillId="0" borderId="0" xfId="0" applyBorder="1"/>
    <xf numFmtId="0" fontId="0" fillId="12" borderId="0" xfId="0" applyFill="1" applyBorder="1"/>
    <xf numFmtId="164" fontId="15" fillId="0" borderId="0" xfId="0" applyNumberFormat="1" applyFont="1" applyBorder="1"/>
    <xf numFmtId="0" fontId="0" fillId="0" borderId="0" xfId="0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12" borderId="0" xfId="0" applyNumberFormat="1" applyFill="1"/>
    <xf numFmtId="0" fontId="14" fillId="12" borderId="0" xfId="0" applyNumberFormat="1" applyFont="1" applyFill="1"/>
    <xf numFmtId="0" fontId="15" fillId="12" borderId="0" xfId="0" applyNumberFormat="1" applyFont="1" applyFill="1"/>
    <xf numFmtId="0" fontId="0" fillId="0" borderId="7" xfId="0" applyFont="1" applyBorder="1"/>
    <xf numFmtId="2" fontId="0" fillId="0" borderId="7" xfId="0" applyNumberFormat="1" applyFont="1" applyBorder="1" applyAlignment="1">
      <alignment horizontal="right"/>
    </xf>
    <xf numFmtId="166" fontId="0" fillId="0" borderId="7" xfId="0" applyNumberFormat="1" applyFont="1" applyBorder="1" applyAlignment="1">
      <alignment horizontal="right"/>
    </xf>
    <xf numFmtId="166" fontId="0" fillId="0" borderId="7" xfId="0" applyNumberFormat="1" applyFont="1" applyBorder="1"/>
    <xf numFmtId="2" fontId="3" fillId="4" borderId="3" xfId="0" applyNumberFormat="1" applyFont="1" applyFill="1" applyBorder="1"/>
    <xf numFmtId="2" fontId="0" fillId="6" borderId="0" xfId="0" applyNumberFormat="1" applyFill="1"/>
    <xf numFmtId="0" fontId="26" fillId="0" borderId="0" xfId="0" applyFont="1" applyAlignment="1">
      <alignment wrapText="1"/>
    </xf>
    <xf numFmtId="2" fontId="27" fillId="0" borderId="4" xfId="0" applyNumberFormat="1" applyFont="1" applyBorder="1"/>
    <xf numFmtId="2" fontId="26" fillId="0" borderId="0" xfId="0" applyNumberFormat="1" applyFont="1"/>
    <xf numFmtId="164" fontId="26" fillId="0" borderId="0" xfId="0" applyNumberFormat="1" applyFont="1"/>
    <xf numFmtId="2" fontId="27" fillId="0" borderId="0" xfId="0" applyNumberFormat="1" applyFont="1"/>
    <xf numFmtId="0" fontId="26" fillId="0" borderId="0" xfId="0" applyFont="1"/>
    <xf numFmtId="164" fontId="28" fillId="0" borderId="0" xfId="0" applyNumberFormat="1" applyFont="1"/>
    <xf numFmtId="2" fontId="3" fillId="0" borderId="0" xfId="0" applyNumberFormat="1" applyFont="1" applyBorder="1"/>
    <xf numFmtId="0" fontId="0" fillId="0" borderId="0" xfId="0" applyFont="1" applyFill="1"/>
    <xf numFmtId="0" fontId="0" fillId="0" borderId="0" xfId="0" applyFont="1" applyFill="1" applyAlignment="1">
      <alignment horizontal="right"/>
    </xf>
    <xf numFmtId="2" fontId="0" fillId="0" borderId="0" xfId="0" applyNumberFormat="1" applyFont="1" applyFill="1" applyAlignment="1">
      <alignment horizontal="right"/>
    </xf>
    <xf numFmtId="166" fontId="0" fillId="0" borderId="0" xfId="0" applyNumberFormat="1" applyFont="1" applyFill="1"/>
    <xf numFmtId="167" fontId="0" fillId="0" borderId="0" xfId="0" applyNumberFormat="1" applyFont="1" applyFill="1"/>
    <xf numFmtId="2" fontId="0" fillId="0" borderId="0" xfId="0" applyNumberFormat="1" applyFont="1" applyFill="1"/>
    <xf numFmtId="166" fontId="0" fillId="0" borderId="0" xfId="0" applyNumberFormat="1" applyBorder="1"/>
    <xf numFmtId="11" fontId="3" fillId="0" borderId="0" xfId="0" applyNumberFormat="1" applyFont="1"/>
    <xf numFmtId="164" fontId="30" fillId="0" borderId="0" xfId="0" applyNumberFormat="1" applyFont="1"/>
    <xf numFmtId="0" fontId="0" fillId="0" borderId="0" xfId="0" applyAlignment="1">
      <alignment horizontal="center" textRotation="90" wrapText="1"/>
    </xf>
    <xf numFmtId="0" fontId="22" fillId="0" borderId="3" xfId="0" applyFont="1" applyBorder="1"/>
    <xf numFmtId="165" fontId="0" fillId="0" borderId="3" xfId="0" applyNumberFormat="1" applyBorder="1" applyAlignment="1">
      <alignment horizontal="right"/>
    </xf>
    <xf numFmtId="166" fontId="0" fillId="0" borderId="3" xfId="0" applyNumberFormat="1" applyBorder="1"/>
    <xf numFmtId="165" fontId="0" fillId="0" borderId="3" xfId="0" applyNumberFormat="1" applyBorder="1"/>
    <xf numFmtId="0" fontId="3" fillId="0" borderId="0" xfId="0" applyFont="1" applyBorder="1"/>
    <xf numFmtId="2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165" fontId="0" fillId="0" borderId="8" xfId="0" applyNumberFormat="1" applyBorder="1" applyAlignment="1">
      <alignment horizontal="right"/>
    </xf>
    <xf numFmtId="166" fontId="0" fillId="0" borderId="8" xfId="0" applyNumberFormat="1" applyBorder="1"/>
    <xf numFmtId="165" fontId="0" fillId="0" borderId="8" xfId="0" applyNumberFormat="1" applyBorder="1"/>
    <xf numFmtId="0" fontId="0" fillId="0" borderId="8" xfId="0" applyBorder="1"/>
    <xf numFmtId="0" fontId="29" fillId="4" borderId="3" xfId="0" applyFont="1" applyFill="1" applyBorder="1" applyAlignment="1">
      <alignment wrapText="1"/>
    </xf>
    <xf numFmtId="0" fontId="32" fillId="0" borderId="0" xfId="0" applyFont="1"/>
    <xf numFmtId="0" fontId="32" fillId="0" borderId="8" xfId="0" applyFont="1" applyBorder="1"/>
    <xf numFmtId="0" fontId="21" fillId="0" borderId="8" xfId="0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0" xfId="0" applyNumberFormat="1" applyBorder="1"/>
    <xf numFmtId="0" fontId="0" fillId="0" borderId="0" xfId="0" applyFont="1" applyFill="1" applyBorder="1"/>
    <xf numFmtId="0" fontId="22" fillId="0" borderId="8" xfId="0" applyFont="1" applyBorder="1"/>
    <xf numFmtId="0" fontId="0" fillId="0" borderId="6" xfId="0" applyFont="1" applyBorder="1"/>
    <xf numFmtId="2" fontId="0" fillId="0" borderId="6" xfId="0" applyNumberFormat="1" applyBorder="1" applyAlignment="1">
      <alignment horizontal="right"/>
    </xf>
    <xf numFmtId="165" fontId="0" fillId="0" borderId="6" xfId="0" applyNumberFormat="1" applyBorder="1" applyAlignment="1">
      <alignment horizontal="right"/>
    </xf>
    <xf numFmtId="166" fontId="0" fillId="0" borderId="6" xfId="0" applyNumberFormat="1" applyBorder="1"/>
    <xf numFmtId="165" fontId="0" fillId="0" borderId="6" xfId="0" applyNumberFormat="1" applyBorder="1"/>
    <xf numFmtId="0" fontId="0" fillId="0" borderId="6" xfId="0" applyBorder="1"/>
    <xf numFmtId="2" fontId="0" fillId="0" borderId="3" xfId="1" applyNumberFormat="1" applyFont="1" applyBorder="1"/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right" wrapText="1"/>
    </xf>
    <xf numFmtId="164" fontId="29" fillId="0" borderId="3" xfId="0" applyNumberFormat="1" applyFont="1" applyBorder="1"/>
    <xf numFmtId="11" fontId="0" fillId="0" borderId="3" xfId="0" applyNumberFormat="1" applyBorder="1"/>
    <xf numFmtId="164" fontId="0" fillId="0" borderId="3" xfId="0" applyNumberFormat="1" applyBorder="1"/>
    <xf numFmtId="0" fontId="0" fillId="0" borderId="3" xfId="0" applyBorder="1" applyAlignment="1">
      <alignment horizontal="center" textRotation="90" wrapText="1"/>
    </xf>
    <xf numFmtId="164" fontId="28" fillId="0" borderId="3" xfId="0" applyNumberFormat="1" applyFont="1" applyBorder="1"/>
    <xf numFmtId="0" fontId="0" fillId="0" borderId="8" xfId="0" applyFont="1" applyBorder="1" applyAlignment="1">
      <alignment wrapText="1"/>
    </xf>
    <xf numFmtId="2" fontId="0" fillId="0" borderId="8" xfId="0" applyNumberFormat="1" applyBorder="1"/>
    <xf numFmtId="9" fontId="0" fillId="0" borderId="0" xfId="1" applyFont="1" applyAlignment="1">
      <alignment horizontal="right"/>
    </xf>
    <xf numFmtId="2" fontId="0" fillId="0" borderId="2" xfId="0" applyNumberFormat="1" applyBorder="1"/>
    <xf numFmtId="2" fontId="0" fillId="0" borderId="5" xfId="0" applyNumberFormat="1" applyBorder="1"/>
    <xf numFmtId="2" fontId="0" fillId="0" borderId="0" xfId="0" applyNumberFormat="1" applyBorder="1"/>
    <xf numFmtId="2" fontId="3" fillId="0" borderId="2" xfId="0" applyNumberFormat="1" applyFont="1" applyBorder="1"/>
    <xf numFmtId="0" fontId="0" fillId="13" borderId="0" xfId="0" applyFill="1" applyAlignment="1">
      <alignment horizontal="center" textRotation="90" wrapText="1"/>
    </xf>
    <xf numFmtId="2" fontId="3" fillId="13" borderId="0" xfId="0" applyNumberFormat="1" applyFont="1" applyFill="1"/>
    <xf numFmtId="164" fontId="0" fillId="13" borderId="0" xfId="0" applyNumberFormat="1" applyFill="1"/>
    <xf numFmtId="2" fontId="0" fillId="13" borderId="0" xfId="0" applyNumberFormat="1" applyFill="1"/>
    <xf numFmtId="164" fontId="28" fillId="13" borderId="0" xfId="0" applyNumberFormat="1" applyFont="1" applyFill="1"/>
    <xf numFmtId="0" fontId="0" fillId="13" borderId="0" xfId="0" applyFill="1"/>
    <xf numFmtId="0" fontId="3" fillId="13" borderId="0" xfId="0" applyFont="1" applyFill="1" applyAlignment="1">
      <alignment wrapText="1"/>
    </xf>
    <xf numFmtId="2" fontId="0" fillId="0" borderId="0" xfId="1" applyNumberFormat="1" applyFont="1" applyAlignment="1">
      <alignment horizontal="right"/>
    </xf>
    <xf numFmtId="2" fontId="0" fillId="0" borderId="9" xfId="0" applyNumberFormat="1" applyBorder="1" applyAlignment="1">
      <alignment horizontal="right"/>
    </xf>
    <xf numFmtId="9" fontId="0" fillId="0" borderId="9" xfId="1" applyFon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167" fontId="15" fillId="0" borderId="0" xfId="0" applyNumberFormat="1" applyFont="1"/>
    <xf numFmtId="167" fontId="15" fillId="0" borderId="0" xfId="0" applyNumberFormat="1" applyFont="1" applyFill="1"/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 textRotation="90" wrapText="1"/>
    </xf>
  </cellXfs>
  <cellStyles count="3">
    <cellStyle name="Hyperlink" xfId="2" builtinId="8"/>
    <cellStyle name="Normal" xfId="0" builtinId="0"/>
    <cellStyle name="Percent" xfId="1" builtinId="5"/>
  </cellStyles>
  <dxfs count="195"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color rgb="FFC00000"/>
      </font>
      <fill>
        <patternFill>
          <bgColor rgb="FFEFC7C7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strike/>
        <color theme="5"/>
      </font>
    </dxf>
    <dxf>
      <font>
        <color rgb="FFC00000"/>
      </font>
      <fill>
        <patternFill>
          <bgColor rgb="FFEFC7C7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strike/>
        <color theme="5"/>
      </font>
    </dxf>
    <dxf>
      <font>
        <strike/>
      </font>
      <fill>
        <patternFill patternType="none">
          <bgColor auto="1"/>
        </patternFill>
      </fill>
    </dxf>
    <dxf>
      <font>
        <strike/>
      </font>
      <fill>
        <patternFill patternType="none">
          <bgColor auto="1"/>
        </patternFill>
      </fill>
    </dxf>
    <dxf>
      <font>
        <strike/>
      </font>
      <fill>
        <patternFill patternType="none">
          <bgColor auto="1"/>
        </patternFill>
      </fill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2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</font>
      <fill>
        <patternFill patternType="none">
          <bgColor auto="1"/>
        </patternFill>
      </fill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2"/>
      </font>
    </dxf>
    <dxf>
      <font>
        <strike/>
        <color theme="5"/>
      </font>
    </dxf>
  </dxfs>
  <tableStyles count="0" defaultTableStyle="TableStyleMedium2" defaultPivotStyle="PivotStyleLight16"/>
  <colors>
    <mruColors>
      <color rgb="FFDFAD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gif"/><Relationship Id="rId5" Type="http://schemas.openxmlformats.org/officeDocument/2006/relationships/image" Target="../media/image5.png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1088571</xdr:colOff>
      <xdr:row>0</xdr:row>
      <xdr:rowOff>394607</xdr:rowOff>
    </xdr:from>
    <xdr:to>
      <xdr:col>22</xdr:col>
      <xdr:colOff>262076</xdr:colOff>
      <xdr:row>4</xdr:row>
      <xdr:rowOff>1452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9C678A-1D60-4487-BCE3-64556CF25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046" y="393337"/>
          <a:ext cx="2697118" cy="1070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952501</xdr:colOff>
      <xdr:row>5</xdr:row>
      <xdr:rowOff>132262</xdr:rowOff>
    </xdr:from>
    <xdr:to>
      <xdr:col>22</xdr:col>
      <xdr:colOff>128817</xdr:colOff>
      <xdr:row>23</xdr:row>
      <xdr:rowOff>118632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EC0CDC2-48B5-4D29-B6E6-2A99CD337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8771" y="1770562"/>
          <a:ext cx="2688499" cy="3365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371202</xdr:colOff>
      <xdr:row>4</xdr:row>
      <xdr:rowOff>85452</xdr:rowOff>
    </xdr:from>
    <xdr:to>
      <xdr:col>28</xdr:col>
      <xdr:colOff>341900</xdr:colOff>
      <xdr:row>17</xdr:row>
      <xdr:rowOff>53945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75863B4-0C38-40E9-9212-7D430E19F2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66007" y="1538967"/>
          <a:ext cx="3625124" cy="2432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571500</xdr:colOff>
      <xdr:row>35</xdr:row>
      <xdr:rowOff>95250</xdr:rowOff>
    </xdr:from>
    <xdr:to>
      <xdr:col>22</xdr:col>
      <xdr:colOff>248741</xdr:colOff>
      <xdr:row>49</xdr:row>
      <xdr:rowOff>38191</xdr:rowOff>
    </xdr:to>
    <xdr:pic>
      <xdr:nvPicPr>
        <xdr:cNvPr id="5" name="Picture 4" descr="Volume of an ellipsoidal cap">
          <a:extLst>
            <a:ext uri="{FF2B5EF4-FFF2-40B4-BE49-F238E27FC236}">
              <a16:creationId xmlns:a16="http://schemas.microsoft.com/office/drawing/2014/main" id="{58CA604D-BDD3-476C-A51A-CFC3DEB4D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0" y="6164580"/>
          <a:ext cx="2115640" cy="26067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748392</xdr:colOff>
      <xdr:row>44</xdr:row>
      <xdr:rowOff>163286</xdr:rowOff>
    </xdr:from>
    <xdr:to>
      <xdr:col>17</xdr:col>
      <xdr:colOff>860193</xdr:colOff>
      <xdr:row>58</xdr:row>
      <xdr:rowOff>39098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DE89D95-7ED9-4AD2-90EF-0D3262A29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02622" y="7914731"/>
          <a:ext cx="3716473" cy="25459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external-content.duckduckgo.com/iu/?u=https%3A%2F%2Fqph.fs.quoracdn.net%2Fmain-qimg-a85c8615db0997668fca3b76ae3f238f&amp;f=1&amp;nofb=1" TargetMode="External"/><Relationship Id="rId2" Type="http://schemas.openxmlformats.org/officeDocument/2006/relationships/hyperlink" Target="https://external-content.duckduckgo.com/iu/?u=https%3A%2F%2Fwww.easycalculation.com%2Fshapes%2Fimages%2Fprolate-spheroid-volume.png&amp;f=1&amp;nofb=1" TargetMode="External"/><Relationship Id="rId1" Type="http://schemas.openxmlformats.org/officeDocument/2006/relationships/hyperlink" Target="https://external-content.duckduckgo.com/iu/?u=http%3A%2F%2Fwww.murderousmaths.co.uk%2Fbooks%2Fpix%2Felloidn.gif&amp;f=1&amp;nofb=1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external-content.duckduckgo.com/iu/?u=https%3A%2F%2Fqph.fs.quoracdn.net%2Fmain-qimg-a85c8615db0997668fca3b76ae3f238f&amp;f=1&amp;nofb=1" TargetMode="External"/><Relationship Id="rId1" Type="http://schemas.openxmlformats.org/officeDocument/2006/relationships/hyperlink" Target="https://external-content.duckduckgo.com/iu/?u=http%3A%2F%2Fwww.murderousmaths.co.uk%2Fbooks%2Fpix%2Felloidn.gif&amp;f=1&amp;nofb=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CD9E1-522B-41F3-8714-83E272C2C9EE}">
  <dimension ref="A1:CE210"/>
  <sheetViews>
    <sheetView tabSelected="1" zoomScale="55" zoomScaleNormal="55" workbookViewId="0">
      <pane xSplit="7" ySplit="1" topLeftCell="H2" activePane="bottomRight" state="frozen"/>
      <selection pane="topRight" activeCell="H1" sqref="H1"/>
      <selection pane="bottomLeft" activeCell="A2" sqref="A2"/>
      <selection pane="bottomRight" activeCell="H25" sqref="H25"/>
    </sheetView>
  </sheetViews>
  <sheetFormatPr defaultColWidth="8.7109375" defaultRowHeight="15" x14ac:dyDescent="0.25"/>
  <cols>
    <col min="1" max="1" width="13.42578125" customWidth="1"/>
    <col min="2" max="2" width="19.7109375" customWidth="1"/>
    <col min="3" max="3" width="9.42578125" customWidth="1"/>
    <col min="4" max="4" width="8.140625" bestFit="1" customWidth="1"/>
    <col min="5" max="5" width="8" style="70" customWidth="1"/>
    <col min="6" max="6" width="6.85546875" customWidth="1"/>
    <col min="7" max="7" width="8.7109375" style="71"/>
    <col min="8" max="8" width="15.140625" style="72" bestFit="1" customWidth="1"/>
    <col min="9" max="9" width="17.140625" style="72" bestFit="1" customWidth="1"/>
    <col min="10" max="10" width="18.42578125" style="72" customWidth="1"/>
    <col min="11" max="11" width="20.42578125" style="72" bestFit="1" customWidth="1"/>
    <col min="12" max="12" width="9.140625" style="51" bestFit="1" customWidth="1"/>
    <col min="13" max="18" width="8.7109375" style="51"/>
    <col min="19" max="19" width="8.28515625" style="51" customWidth="1"/>
    <col min="20" max="24" width="8.7109375" style="51"/>
    <col min="25" max="25" width="8.7109375" style="51" customWidth="1"/>
    <col min="26" max="26" width="10.85546875" style="51" bestFit="1" customWidth="1"/>
    <col min="27" max="58" width="8.7109375" style="51"/>
    <col min="59" max="59" width="13.140625" customWidth="1"/>
    <col min="62" max="62" width="9.85546875" customWidth="1"/>
    <col min="63" max="63" width="8.42578125" customWidth="1"/>
    <col min="64" max="64" width="8.7109375" bestFit="1" customWidth="1"/>
    <col min="65" max="65" width="8.7109375" customWidth="1"/>
    <col min="66" max="66" width="6.7109375" style="8" customWidth="1"/>
    <col min="67" max="67" width="6.28515625" style="8" customWidth="1"/>
    <col min="68" max="68" width="14.28515625" customWidth="1"/>
    <col min="69" max="70" width="14.7109375" bestFit="1" customWidth="1"/>
    <col min="71" max="71" width="11.5703125" bestFit="1" customWidth="1"/>
    <col min="72" max="72" width="13" bestFit="1" customWidth="1"/>
  </cols>
  <sheetData>
    <row r="1" spans="1:83" x14ac:dyDescent="0.25">
      <c r="A1" s="13" t="s">
        <v>236</v>
      </c>
      <c r="B1" s="13" t="s">
        <v>237</v>
      </c>
      <c r="C1" s="116" t="s">
        <v>338</v>
      </c>
      <c r="D1" s="116" t="s">
        <v>337</v>
      </c>
      <c r="E1" s="13" t="s">
        <v>238</v>
      </c>
      <c r="F1" s="13" t="s">
        <v>239</v>
      </c>
      <c r="G1" s="69" t="s">
        <v>240</v>
      </c>
      <c r="H1" s="69" t="s">
        <v>542</v>
      </c>
      <c r="I1" s="69" t="s">
        <v>543</v>
      </c>
      <c r="J1" s="69" t="s">
        <v>544</v>
      </c>
      <c r="K1" s="69" t="s">
        <v>545</v>
      </c>
      <c r="L1" s="19" t="s">
        <v>31</v>
      </c>
      <c r="M1" s="19" t="s">
        <v>32</v>
      </c>
      <c r="N1" s="19" t="s">
        <v>33</v>
      </c>
      <c r="O1" s="19" t="s">
        <v>34</v>
      </c>
      <c r="P1" s="19" t="s">
        <v>35</v>
      </c>
      <c r="Q1" s="19" t="s">
        <v>36</v>
      </c>
      <c r="R1" s="19" t="s">
        <v>37</v>
      </c>
      <c r="S1" s="19" t="s">
        <v>38</v>
      </c>
      <c r="T1" s="19" t="s">
        <v>39</v>
      </c>
      <c r="U1" s="19" t="s">
        <v>40</v>
      </c>
      <c r="V1" s="19" t="s">
        <v>41</v>
      </c>
      <c r="W1" s="19" t="s">
        <v>104</v>
      </c>
      <c r="X1" s="19" t="s">
        <v>84</v>
      </c>
      <c r="Y1" s="19" t="s">
        <v>42</v>
      </c>
      <c r="Z1" s="19" t="s">
        <v>43</v>
      </c>
      <c r="AA1" s="19" t="s">
        <v>197</v>
      </c>
      <c r="AB1" s="19" t="s">
        <v>44</v>
      </c>
      <c r="AC1" s="19" t="s">
        <v>45</v>
      </c>
      <c r="AD1" s="19" t="s">
        <v>46</v>
      </c>
      <c r="AE1" s="19" t="s">
        <v>47</v>
      </c>
      <c r="AF1" s="19" t="s">
        <v>48</v>
      </c>
      <c r="AG1" s="19" t="s">
        <v>49</v>
      </c>
      <c r="AH1" s="19" t="s">
        <v>50</v>
      </c>
      <c r="AI1" s="19" t="s">
        <v>51</v>
      </c>
      <c r="AJ1" s="19" t="s">
        <v>52</v>
      </c>
      <c r="AK1" s="19" t="s">
        <v>53</v>
      </c>
      <c r="AL1" s="19" t="s">
        <v>54</v>
      </c>
      <c r="AM1" s="19" t="s">
        <v>55</v>
      </c>
      <c r="AN1" s="19" t="s">
        <v>56</v>
      </c>
      <c r="AO1" s="19" t="s">
        <v>57</v>
      </c>
      <c r="AP1" s="19" t="s">
        <v>58</v>
      </c>
      <c r="AQ1" s="19" t="s">
        <v>59</v>
      </c>
      <c r="AR1" s="19" t="s">
        <v>60</v>
      </c>
      <c r="AS1" s="19" t="s">
        <v>61</v>
      </c>
      <c r="AT1" s="19" t="s">
        <v>62</v>
      </c>
      <c r="AU1" s="19" t="s">
        <v>63</v>
      </c>
      <c r="AV1" s="19" t="s">
        <v>64</v>
      </c>
      <c r="AW1" s="19" t="s">
        <v>65</v>
      </c>
      <c r="AX1" s="19" t="s">
        <v>66</v>
      </c>
      <c r="AY1" s="19" t="s">
        <v>67</v>
      </c>
      <c r="AZ1" s="19" t="s">
        <v>68</v>
      </c>
      <c r="BA1" s="19" t="s">
        <v>69</v>
      </c>
      <c r="BB1" s="19" t="s">
        <v>70</v>
      </c>
      <c r="BC1" s="19" t="s">
        <v>71</v>
      </c>
      <c r="BD1" s="19" t="s">
        <v>72</v>
      </c>
      <c r="BE1" s="19" t="s">
        <v>73</v>
      </c>
      <c r="BF1" s="19" t="s">
        <v>74</v>
      </c>
      <c r="BG1" s="19"/>
      <c r="BH1" s="19" t="s">
        <v>241</v>
      </c>
      <c r="BI1" s="19" t="s">
        <v>242</v>
      </c>
      <c r="BJ1" s="19" t="s">
        <v>243</v>
      </c>
      <c r="BK1" s="19" t="s">
        <v>244</v>
      </c>
      <c r="BL1" s="19" t="s">
        <v>245</v>
      </c>
      <c r="BM1" s="19" t="s">
        <v>473</v>
      </c>
      <c r="BN1" s="19" t="s">
        <v>246</v>
      </c>
      <c r="BO1" s="19" t="s">
        <v>474</v>
      </c>
      <c r="BP1" s="19"/>
      <c r="BQ1" s="13" t="s">
        <v>331</v>
      </c>
      <c r="BR1" s="13" t="s">
        <v>332</v>
      </c>
      <c r="BS1" s="13" t="s">
        <v>333</v>
      </c>
      <c r="BT1" s="13" t="s">
        <v>334</v>
      </c>
      <c r="BU1" s="13" t="s">
        <v>379</v>
      </c>
      <c r="BV1" s="19"/>
      <c r="BW1" s="19"/>
      <c r="BX1" s="19"/>
      <c r="BY1" s="19"/>
      <c r="BZ1" s="19"/>
      <c r="CA1" s="19"/>
      <c r="CB1" s="19"/>
      <c r="CC1" s="19"/>
      <c r="CD1" s="19"/>
      <c r="CE1" s="19"/>
    </row>
    <row r="2" spans="1:83" x14ac:dyDescent="0.25">
      <c r="A2" t="s">
        <v>247</v>
      </c>
      <c r="B2" t="s">
        <v>248</v>
      </c>
      <c r="C2" s="70" t="s">
        <v>249</v>
      </c>
      <c r="D2" s="70" t="s">
        <v>249</v>
      </c>
      <c r="E2" s="70" t="s">
        <v>250</v>
      </c>
      <c r="F2" t="s">
        <v>251</v>
      </c>
      <c r="G2" s="71">
        <v>450</v>
      </c>
      <c r="H2" s="72">
        <v>61.034502570000001</v>
      </c>
      <c r="I2" s="72">
        <v>-45.397383820000002</v>
      </c>
      <c r="J2" s="247">
        <v>478530.57166938746</v>
      </c>
      <c r="K2" s="247">
        <v>6766695.5383735672</v>
      </c>
      <c r="L2" s="51">
        <v>98.3</v>
      </c>
      <c r="M2" s="51">
        <v>0.24</v>
      </c>
      <c r="N2" s="51">
        <v>0.21</v>
      </c>
      <c r="O2" s="51">
        <v>0.04</v>
      </c>
      <c r="P2" s="51">
        <v>0.02</v>
      </c>
      <c r="Q2" s="51">
        <v>0.16</v>
      </c>
      <c r="R2" s="51">
        <v>0.11</v>
      </c>
      <c r="S2" s="51" t="s">
        <v>252</v>
      </c>
      <c r="T2" s="51">
        <v>0.01</v>
      </c>
      <c r="U2" s="51">
        <v>0.01</v>
      </c>
      <c r="V2" s="51" t="s">
        <v>252</v>
      </c>
      <c r="W2" s="51" t="s">
        <v>252</v>
      </c>
      <c r="X2" s="51" t="s">
        <v>252</v>
      </c>
      <c r="Y2" s="51">
        <v>0.16</v>
      </c>
      <c r="Z2" s="55">
        <f t="shared" ref="Z2:Z64" si="0">Y2+8/79.85*N2+16/70.94*(IF(U2="b.d.",0.005,U2))</f>
        <v>0.18329487608832393</v>
      </c>
      <c r="AA2" s="51">
        <v>99.26</v>
      </c>
      <c r="AB2" s="51">
        <v>11.7</v>
      </c>
      <c r="AC2" s="51">
        <v>9.6999999999999993</v>
      </c>
      <c r="AD2" s="51" t="s">
        <v>252</v>
      </c>
      <c r="AE2" s="51">
        <v>0.02</v>
      </c>
      <c r="AF2" s="51">
        <v>0.97</v>
      </c>
      <c r="AG2" s="51">
        <v>0.56000000000000005</v>
      </c>
      <c r="AH2" s="51">
        <v>0.16</v>
      </c>
      <c r="AI2" s="51">
        <v>0.6</v>
      </c>
      <c r="AJ2" s="51">
        <v>0.98</v>
      </c>
      <c r="AK2" s="51">
        <v>1</v>
      </c>
      <c r="AL2" s="51">
        <v>0.2</v>
      </c>
      <c r="AM2" s="51">
        <v>4.7</v>
      </c>
      <c r="AN2" s="51">
        <v>0.08</v>
      </c>
      <c r="AO2" s="51">
        <v>9.9</v>
      </c>
      <c r="AP2" s="51">
        <v>3.9</v>
      </c>
      <c r="AQ2" s="51" t="s">
        <v>253</v>
      </c>
      <c r="AR2" s="51">
        <v>0.97</v>
      </c>
      <c r="AS2" s="51">
        <v>3</v>
      </c>
      <c r="AT2" s="51" t="s">
        <v>253</v>
      </c>
      <c r="AU2" s="51">
        <v>0.8</v>
      </c>
      <c r="AV2" s="51">
        <v>1</v>
      </c>
      <c r="AW2" s="51">
        <v>13</v>
      </c>
      <c r="AX2" s="51">
        <v>0.9</v>
      </c>
      <c r="AY2" s="51">
        <v>0.13</v>
      </c>
      <c r="AZ2" s="51">
        <v>1.67</v>
      </c>
      <c r="BA2" s="51">
        <v>7.0000000000000007E-2</v>
      </c>
      <c r="BB2" s="51">
        <v>0.4</v>
      </c>
      <c r="BC2" s="51" t="s">
        <v>252</v>
      </c>
      <c r="BD2" s="51">
        <v>6.5</v>
      </c>
      <c r="BE2" s="51">
        <v>0.69</v>
      </c>
      <c r="BF2" s="51">
        <v>40</v>
      </c>
      <c r="BG2" s="64"/>
      <c r="BH2" s="73">
        <f>SUM(AK2, AA2, AP2, AN2, AS2, AH2,AF2)</f>
        <v>108.37</v>
      </c>
      <c r="BI2" s="73">
        <f>SUM(AM2, AX2, BC2, BD2, AE2, AF2,AK2, AS2,AZ2)</f>
        <v>18.760000000000005</v>
      </c>
      <c r="BJ2" s="73">
        <f>SUM(AM2, AC2, AR2, AP2, AU2, AJ2,AH2)/SUM(AN2, AY2, BD2, BE2, AF2, AG2,AL2, AT2,BA2)</f>
        <v>2.3054347826086956</v>
      </c>
      <c r="BK2" s="8">
        <f t="shared" ref="BK2:BK55" si="1">AM2/AN2</f>
        <v>58.75</v>
      </c>
      <c r="BL2" s="8">
        <f>BF2+AO2+AX2</f>
        <v>50.8</v>
      </c>
      <c r="BM2" s="8">
        <f>LOG10(BL2)</f>
        <v>1.7058637122839193</v>
      </c>
      <c r="BN2" s="8">
        <f>BB2+AZ2</f>
        <v>2.0699999999999998</v>
      </c>
      <c r="BO2" s="8">
        <f>LOG10(BN2)</f>
        <v>0.31597034545691771</v>
      </c>
      <c r="BP2" s="64"/>
      <c r="BQ2">
        <v>-0.33</v>
      </c>
      <c r="BR2">
        <v>0.23</v>
      </c>
      <c r="BS2">
        <v>-0.68</v>
      </c>
      <c r="BT2">
        <v>-0.5</v>
      </c>
      <c r="BU2">
        <v>0</v>
      </c>
      <c r="BV2" s="51"/>
      <c r="BY2" s="51"/>
      <c r="BZ2" s="51"/>
      <c r="CA2" s="51"/>
      <c r="CB2" s="51"/>
      <c r="CC2" s="51"/>
      <c r="CD2" s="51"/>
      <c r="CE2" s="51"/>
    </row>
    <row r="3" spans="1:83" x14ac:dyDescent="0.25">
      <c r="A3" t="s">
        <v>247</v>
      </c>
      <c r="B3" t="s">
        <v>254</v>
      </c>
      <c r="C3" s="70" t="s">
        <v>249</v>
      </c>
      <c r="D3" s="70" t="s">
        <v>249</v>
      </c>
      <c r="E3" s="70" t="s">
        <v>250</v>
      </c>
      <c r="F3" t="s">
        <v>251</v>
      </c>
      <c r="G3" s="71">
        <v>450</v>
      </c>
      <c r="H3" s="72">
        <v>61.034554129999997</v>
      </c>
      <c r="I3" s="72">
        <v>-45.397492659999997</v>
      </c>
      <c r="J3" s="247">
        <v>478524.72628701734</v>
      </c>
      <c r="K3" s="247">
        <v>6766701.3170039207</v>
      </c>
      <c r="L3" s="51">
        <v>98.6</v>
      </c>
      <c r="M3" s="51">
        <v>0.66</v>
      </c>
      <c r="N3" s="51">
        <v>0.14000000000000001</v>
      </c>
      <c r="O3" s="51">
        <v>0.01</v>
      </c>
      <c r="P3" s="51">
        <v>0.01</v>
      </c>
      <c r="Q3" s="51">
        <v>0.22</v>
      </c>
      <c r="R3" s="51">
        <v>0.31</v>
      </c>
      <c r="S3" s="51" t="s">
        <v>252</v>
      </c>
      <c r="T3" s="51">
        <v>0.04</v>
      </c>
      <c r="U3" s="51">
        <v>0.01</v>
      </c>
      <c r="V3" s="51" t="s">
        <v>252</v>
      </c>
      <c r="W3" s="51" t="s">
        <v>252</v>
      </c>
      <c r="X3" s="51">
        <v>0.01</v>
      </c>
      <c r="Y3" s="51">
        <v>0.15</v>
      </c>
      <c r="Z3" s="55">
        <f t="shared" si="0"/>
        <v>0.16628172643271966</v>
      </c>
      <c r="AA3" s="51">
        <v>100.16</v>
      </c>
      <c r="AB3" s="51">
        <v>60.5</v>
      </c>
      <c r="AC3" s="51">
        <v>21.2</v>
      </c>
      <c r="AD3" s="51" t="s">
        <v>252</v>
      </c>
      <c r="AE3" s="51">
        <v>0.01</v>
      </c>
      <c r="AF3" s="51">
        <v>1.99</v>
      </c>
      <c r="AG3" s="51">
        <v>1.37</v>
      </c>
      <c r="AH3" s="51">
        <v>0.43</v>
      </c>
      <c r="AI3" s="51">
        <v>0.9</v>
      </c>
      <c r="AJ3" s="51">
        <v>2.13</v>
      </c>
      <c r="AK3" s="51">
        <v>4.9000000000000004</v>
      </c>
      <c r="AL3" s="51">
        <v>0.4</v>
      </c>
      <c r="AM3" s="51">
        <v>12.1</v>
      </c>
      <c r="AN3" s="51">
        <v>0.17</v>
      </c>
      <c r="AO3" s="51">
        <v>22.5</v>
      </c>
      <c r="AP3" s="51">
        <v>11.6</v>
      </c>
      <c r="AQ3" s="51" t="s">
        <v>253</v>
      </c>
      <c r="AR3" s="51">
        <v>3.08</v>
      </c>
      <c r="AS3" s="51">
        <v>5.9</v>
      </c>
      <c r="AT3" s="51" t="s">
        <v>253</v>
      </c>
      <c r="AU3" s="51">
        <v>2.37</v>
      </c>
      <c r="AV3" s="51">
        <v>1</v>
      </c>
      <c r="AW3" s="51">
        <v>17</v>
      </c>
      <c r="AX3" s="51">
        <v>1.7</v>
      </c>
      <c r="AY3" s="51">
        <v>0.31</v>
      </c>
      <c r="AZ3" s="51">
        <v>4.7300000000000004</v>
      </c>
      <c r="BA3" s="51">
        <v>0.17</v>
      </c>
      <c r="BB3" s="51">
        <v>1.1000000000000001</v>
      </c>
      <c r="BC3" s="51" t="s">
        <v>252</v>
      </c>
      <c r="BD3" s="51">
        <v>12.9</v>
      </c>
      <c r="BE3" s="51">
        <v>1.38</v>
      </c>
      <c r="BF3" s="51">
        <v>239</v>
      </c>
      <c r="BG3" s="64"/>
      <c r="BH3" s="73">
        <f t="shared" ref="BH3:BH64" si="2">SUM(AK3, AA3, AP3, AN3, AS3, AH3,AF3)</f>
        <v>125.15</v>
      </c>
      <c r="BI3" s="73">
        <f t="shared" ref="BI3:BI64" si="3">SUM(AM3, AX3, BC3, BD3, AE3, AF3,AK3, AS3,AZ3)</f>
        <v>44.230000000000004</v>
      </c>
      <c r="BJ3" s="73">
        <f t="shared" ref="BJ3:BJ64" si="4">SUM(AM3, AC3, AR3, AP3, AU3, AJ3,AH3)/SUM(AN3, AY3, BD3, BE3, AF3, AG3,AL3, AT3,BA3)</f>
        <v>2.8309256286784374</v>
      </c>
      <c r="BK3" s="8">
        <f t="shared" si="1"/>
        <v>71.17647058823529</v>
      </c>
      <c r="BL3" s="8">
        <f t="shared" ref="BL3:BL55" si="5">BF3+AO3+AX3</f>
        <v>263.2</v>
      </c>
      <c r="BM3" s="8">
        <f t="shared" ref="BM3:BM55" si="6">LOG10(BL3)</f>
        <v>2.4202858849419178</v>
      </c>
      <c r="BN3" s="8">
        <f t="shared" ref="BN3:BN62" si="7">BB3+AZ3</f>
        <v>5.83</v>
      </c>
      <c r="BO3" s="8">
        <f t="shared" ref="BO3:BO55" si="8">LOG10(BN3)</f>
        <v>0.76566855475901408</v>
      </c>
      <c r="BP3" s="64"/>
      <c r="BQ3">
        <v>-0.83</v>
      </c>
      <c r="BR3">
        <v>0.69</v>
      </c>
      <c r="BS3">
        <v>-0.09</v>
      </c>
      <c r="BT3">
        <v>3</v>
      </c>
      <c r="BU3">
        <v>-0.5</v>
      </c>
    </row>
    <row r="4" spans="1:83" x14ac:dyDescent="0.25">
      <c r="A4" t="s">
        <v>247</v>
      </c>
      <c r="B4" t="s">
        <v>255</v>
      </c>
      <c r="C4" s="70" t="s">
        <v>249</v>
      </c>
      <c r="D4" s="70" t="s">
        <v>249</v>
      </c>
      <c r="E4" s="70" t="s">
        <v>250</v>
      </c>
      <c r="F4" t="s">
        <v>251</v>
      </c>
      <c r="G4" s="71">
        <v>450</v>
      </c>
      <c r="H4" s="72">
        <v>61.034584459999998</v>
      </c>
      <c r="I4" s="72">
        <v>-45.397595670000001</v>
      </c>
      <c r="J4" s="247">
        <v>478519.18154015078</v>
      </c>
      <c r="K4" s="247">
        <v>6766704.7290559011</v>
      </c>
      <c r="L4" s="51">
        <v>98.9</v>
      </c>
      <c r="M4" s="51">
        <v>0.47</v>
      </c>
      <c r="N4" s="51">
        <v>0.13</v>
      </c>
      <c r="O4" s="51">
        <v>0.01</v>
      </c>
      <c r="P4" s="51">
        <v>0.01</v>
      </c>
      <c r="Q4" s="51">
        <v>0.18</v>
      </c>
      <c r="R4" s="51">
        <v>0.23</v>
      </c>
      <c r="S4" s="51" t="s">
        <v>252</v>
      </c>
      <c r="T4" s="51">
        <v>0.02</v>
      </c>
      <c r="U4" s="51" t="s">
        <v>252</v>
      </c>
      <c r="V4" s="51" t="s">
        <v>252</v>
      </c>
      <c r="W4" s="51" t="s">
        <v>252</v>
      </c>
      <c r="X4" s="51">
        <v>0.01</v>
      </c>
      <c r="Y4" s="51">
        <v>0.28999999999999998</v>
      </c>
      <c r="Z4" s="55">
        <f t="shared" si="0"/>
        <v>0.30415213434973493</v>
      </c>
      <c r="AA4" s="51">
        <v>100.25</v>
      </c>
      <c r="AB4" s="51">
        <v>71.8</v>
      </c>
      <c r="AC4" s="51">
        <v>4.2</v>
      </c>
      <c r="AD4" s="51" t="s">
        <v>252</v>
      </c>
      <c r="AE4" s="51">
        <v>0.02</v>
      </c>
      <c r="AF4" s="51">
        <v>0.39</v>
      </c>
      <c r="AG4" s="51">
        <v>0.31</v>
      </c>
      <c r="AH4" s="51">
        <v>0.14000000000000001</v>
      </c>
      <c r="AI4" s="51">
        <v>0.5</v>
      </c>
      <c r="AJ4" s="51">
        <v>0.63</v>
      </c>
      <c r="AK4" s="51">
        <v>1.5</v>
      </c>
      <c r="AL4" s="51">
        <v>0.08</v>
      </c>
      <c r="AM4" s="51">
        <v>4.3</v>
      </c>
      <c r="AN4" s="51">
        <v>0.04</v>
      </c>
      <c r="AO4" s="51">
        <v>3.6</v>
      </c>
      <c r="AP4" s="51">
        <v>3.4</v>
      </c>
      <c r="AQ4" s="51" t="s">
        <v>253</v>
      </c>
      <c r="AR4" s="51">
        <v>0.81</v>
      </c>
      <c r="AS4" s="51">
        <v>5.4</v>
      </c>
      <c r="AT4" s="51" t="s">
        <v>253</v>
      </c>
      <c r="AU4" s="51">
        <v>0.64</v>
      </c>
      <c r="AV4" s="51">
        <v>1</v>
      </c>
      <c r="AW4" s="51">
        <v>53.4</v>
      </c>
      <c r="AX4" s="51">
        <v>0.6</v>
      </c>
      <c r="AY4" s="51">
        <v>7.0000000000000007E-2</v>
      </c>
      <c r="AZ4" s="51">
        <v>0.9</v>
      </c>
      <c r="BA4" s="51">
        <v>0.04</v>
      </c>
      <c r="BB4" s="51">
        <v>0.19</v>
      </c>
      <c r="BC4" s="51" t="s">
        <v>252</v>
      </c>
      <c r="BD4" s="51">
        <v>2.6</v>
      </c>
      <c r="BE4" s="51">
        <v>0.38</v>
      </c>
      <c r="BF4" s="51">
        <v>61</v>
      </c>
      <c r="BG4" s="64"/>
      <c r="BH4" s="73">
        <f t="shared" si="2"/>
        <v>111.12000000000002</v>
      </c>
      <c r="BI4" s="73">
        <f t="shared" si="3"/>
        <v>15.71</v>
      </c>
      <c r="BJ4" s="73">
        <f t="shared" si="4"/>
        <v>3.6112531969309467</v>
      </c>
      <c r="BK4" s="8">
        <f t="shared" si="1"/>
        <v>107.5</v>
      </c>
      <c r="BL4" s="8">
        <f t="shared" si="5"/>
        <v>65.199999999999989</v>
      </c>
      <c r="BM4" s="8">
        <f t="shared" si="6"/>
        <v>1.8142475957319202</v>
      </c>
      <c r="BN4" s="8">
        <f t="shared" si="7"/>
        <v>1.0900000000000001</v>
      </c>
      <c r="BO4" s="8">
        <f t="shared" si="8"/>
        <v>3.7426497940623665E-2</v>
      </c>
      <c r="BP4" s="64"/>
      <c r="BQ4">
        <v>-0.83</v>
      </c>
      <c r="BR4">
        <v>0.38</v>
      </c>
      <c r="BS4">
        <v>-0.32</v>
      </c>
      <c r="BT4">
        <v>0</v>
      </c>
      <c r="BU4">
        <v>-0.5</v>
      </c>
    </row>
    <row r="5" spans="1:83" x14ac:dyDescent="0.25">
      <c r="A5" t="s">
        <v>247</v>
      </c>
      <c r="B5" t="s">
        <v>256</v>
      </c>
      <c r="C5" s="70" t="s">
        <v>318</v>
      </c>
      <c r="D5" s="70" t="s">
        <v>249</v>
      </c>
      <c r="E5" s="70" t="s">
        <v>250</v>
      </c>
      <c r="F5" t="s">
        <v>251</v>
      </c>
      <c r="G5" s="71">
        <v>1130</v>
      </c>
      <c r="H5" s="72">
        <v>61.036110000000001</v>
      </c>
      <c r="I5" s="72">
        <v>-45.41028</v>
      </c>
      <c r="J5" s="247">
        <v>477834.95858213602</v>
      </c>
      <c r="K5" s="247">
        <v>6766878.8762506004</v>
      </c>
      <c r="L5" s="51">
        <v>96.49</v>
      </c>
      <c r="M5" s="51">
        <v>1.44</v>
      </c>
      <c r="N5" s="51">
        <v>0.24</v>
      </c>
      <c r="O5" s="51">
        <v>0.09</v>
      </c>
      <c r="P5" s="51">
        <v>0.04</v>
      </c>
      <c r="Q5" s="51">
        <v>0.52</v>
      </c>
      <c r="R5" s="51">
        <v>0.57999999999999996</v>
      </c>
      <c r="S5" s="51" t="s">
        <v>252</v>
      </c>
      <c r="T5" s="51">
        <v>0.06</v>
      </c>
      <c r="U5" s="51" t="s">
        <v>252</v>
      </c>
      <c r="V5" s="51">
        <v>0.02</v>
      </c>
      <c r="W5" s="51" t="s">
        <v>253</v>
      </c>
      <c r="X5" s="51" t="s">
        <v>253</v>
      </c>
      <c r="Y5" s="51">
        <v>0.4</v>
      </c>
      <c r="Z5" s="55">
        <f t="shared" si="0"/>
        <v>0.4251727980942559</v>
      </c>
      <c r="AA5" s="55">
        <f>SUM(L5:X5, Z5)</f>
        <v>99.905172798094242</v>
      </c>
      <c r="AB5" s="51">
        <v>66.7</v>
      </c>
      <c r="AC5" s="51">
        <v>6.3</v>
      </c>
      <c r="AD5" s="51">
        <v>10</v>
      </c>
      <c r="AE5" s="51">
        <v>0.02</v>
      </c>
      <c r="AF5" s="51">
        <v>0.68</v>
      </c>
      <c r="AG5" s="51">
        <v>0.45</v>
      </c>
      <c r="AH5" s="51">
        <v>0.12</v>
      </c>
      <c r="AI5" s="51">
        <v>1.6</v>
      </c>
      <c r="AJ5" s="51">
        <v>0.56999999999999995</v>
      </c>
      <c r="AK5" s="51">
        <v>3</v>
      </c>
      <c r="AL5" s="51">
        <v>0.13</v>
      </c>
      <c r="AM5" s="51">
        <v>6.1</v>
      </c>
      <c r="AN5" s="51">
        <v>0.08</v>
      </c>
      <c r="AO5" s="51">
        <v>7.6</v>
      </c>
      <c r="AP5" s="51">
        <v>5.6</v>
      </c>
      <c r="AQ5" s="51" t="s">
        <v>253</v>
      </c>
      <c r="AR5" s="51">
        <v>1.37</v>
      </c>
      <c r="AS5" s="51">
        <v>11</v>
      </c>
      <c r="AT5" s="51" t="s">
        <v>253</v>
      </c>
      <c r="AU5" s="51">
        <v>0.83</v>
      </c>
      <c r="AV5" s="51">
        <v>1</v>
      </c>
      <c r="AW5" s="51">
        <v>33.1</v>
      </c>
      <c r="AX5" s="51">
        <v>0.6</v>
      </c>
      <c r="AY5" s="51">
        <v>0.09</v>
      </c>
      <c r="AZ5" s="51">
        <v>1.52</v>
      </c>
      <c r="BA5" s="51">
        <v>7.0000000000000007E-2</v>
      </c>
      <c r="BB5" s="51">
        <v>0.35</v>
      </c>
      <c r="BC5" s="51">
        <v>9</v>
      </c>
      <c r="BD5" s="51">
        <v>3.7</v>
      </c>
      <c r="BE5" s="51">
        <v>0.53</v>
      </c>
      <c r="BF5" s="51">
        <v>115</v>
      </c>
      <c r="BG5" s="64"/>
      <c r="BH5" s="73">
        <f t="shared" si="2"/>
        <v>120.38517279809425</v>
      </c>
      <c r="BI5" s="73">
        <f t="shared" si="3"/>
        <v>35.619999999999997</v>
      </c>
      <c r="BJ5" s="73">
        <f t="shared" si="4"/>
        <v>3.6457242582897025</v>
      </c>
      <c r="BK5" s="8">
        <f t="shared" si="1"/>
        <v>76.25</v>
      </c>
      <c r="BL5" s="8">
        <f t="shared" si="5"/>
        <v>123.19999999999999</v>
      </c>
      <c r="BM5" s="8">
        <f t="shared" si="6"/>
        <v>2.0906107078284064</v>
      </c>
      <c r="BN5" s="8">
        <f t="shared" si="7"/>
        <v>1.87</v>
      </c>
      <c r="BO5" s="8">
        <f t="shared" si="8"/>
        <v>0.27184160653649897</v>
      </c>
      <c r="BP5" s="64"/>
      <c r="BQ5">
        <v>0.5</v>
      </c>
      <c r="BR5">
        <v>3</v>
      </c>
      <c r="BS5">
        <v>0.71</v>
      </c>
      <c r="BT5">
        <v>2</v>
      </c>
      <c r="BU5">
        <v>1</v>
      </c>
    </row>
    <row r="6" spans="1:83" x14ac:dyDescent="0.25">
      <c r="A6" t="s">
        <v>247</v>
      </c>
      <c r="B6" t="s">
        <v>257</v>
      </c>
      <c r="C6" s="70" t="s">
        <v>249</v>
      </c>
      <c r="D6" s="70" t="s">
        <v>249</v>
      </c>
      <c r="E6" s="70" t="s">
        <v>250</v>
      </c>
      <c r="F6" t="s">
        <v>251</v>
      </c>
      <c r="G6" s="71">
        <v>1210</v>
      </c>
      <c r="H6" s="72">
        <v>61.03085608</v>
      </c>
      <c r="I6" s="72">
        <v>-45.40855088</v>
      </c>
      <c r="J6" s="247">
        <v>477924.72117201169</v>
      </c>
      <c r="K6" s="247">
        <v>6766293.0917408271</v>
      </c>
      <c r="L6" s="51">
        <v>98.5</v>
      </c>
      <c r="M6" s="51">
        <v>1.0900000000000001</v>
      </c>
      <c r="N6" s="51">
        <v>0.14000000000000001</v>
      </c>
      <c r="O6" s="51">
        <v>0.01</v>
      </c>
      <c r="P6" s="51">
        <v>0.01</v>
      </c>
      <c r="Q6" s="51">
        <v>0.06</v>
      </c>
      <c r="R6" s="51">
        <v>0.88</v>
      </c>
      <c r="S6" s="51" t="s">
        <v>252</v>
      </c>
      <c r="T6" s="51">
        <v>0.03</v>
      </c>
      <c r="U6" s="51" t="s">
        <v>252</v>
      </c>
      <c r="V6" s="51" t="s">
        <v>252</v>
      </c>
      <c r="W6" s="51" t="s">
        <v>252</v>
      </c>
      <c r="X6" s="51" t="s">
        <v>252</v>
      </c>
      <c r="Y6" s="51">
        <v>0.2</v>
      </c>
      <c r="Z6" s="55">
        <f t="shared" si="0"/>
        <v>0.21515401287196409</v>
      </c>
      <c r="AA6" s="51">
        <v>100.92</v>
      </c>
      <c r="AB6" s="51">
        <v>26.7</v>
      </c>
      <c r="AC6" s="51">
        <v>6</v>
      </c>
      <c r="AD6" s="51" t="s">
        <v>252</v>
      </c>
      <c r="AE6" s="51" t="s">
        <v>252</v>
      </c>
      <c r="AF6" s="51">
        <v>0.79</v>
      </c>
      <c r="AG6" s="51">
        <v>0.49</v>
      </c>
      <c r="AH6" s="51">
        <v>0.16</v>
      </c>
      <c r="AI6" s="51">
        <v>0.8</v>
      </c>
      <c r="AJ6" s="51">
        <v>0.83</v>
      </c>
      <c r="AK6" s="51">
        <v>0.7</v>
      </c>
      <c r="AL6" s="51">
        <v>0.14000000000000001</v>
      </c>
      <c r="AM6" s="51">
        <v>3.7</v>
      </c>
      <c r="AN6" s="51">
        <v>7.0000000000000007E-2</v>
      </c>
      <c r="AO6" s="51">
        <v>2</v>
      </c>
      <c r="AP6" s="51">
        <v>3.3</v>
      </c>
      <c r="AQ6" s="51" t="s">
        <v>253</v>
      </c>
      <c r="AR6" s="51">
        <v>0.84</v>
      </c>
      <c r="AS6" s="51">
        <v>8.8000000000000007</v>
      </c>
      <c r="AT6" s="51" t="s">
        <v>253</v>
      </c>
      <c r="AU6" s="51">
        <v>0.65</v>
      </c>
      <c r="AV6" s="51" t="s">
        <v>252</v>
      </c>
      <c r="AW6" s="51">
        <v>4.3</v>
      </c>
      <c r="AX6" s="51">
        <v>0.6</v>
      </c>
      <c r="AY6" s="51">
        <v>0.1</v>
      </c>
      <c r="AZ6" s="51">
        <v>1.05</v>
      </c>
      <c r="BA6" s="51">
        <v>0.04</v>
      </c>
      <c r="BB6" s="51">
        <v>0.18</v>
      </c>
      <c r="BC6" s="51" t="s">
        <v>252</v>
      </c>
      <c r="BD6" s="51">
        <v>4.4000000000000004</v>
      </c>
      <c r="BE6" s="51">
        <v>0.45</v>
      </c>
      <c r="BF6" s="51">
        <v>22</v>
      </c>
      <c r="BG6" s="64"/>
      <c r="BH6" s="73">
        <f t="shared" si="2"/>
        <v>114.74</v>
      </c>
      <c r="BI6" s="73">
        <f t="shared" si="3"/>
        <v>20.04</v>
      </c>
      <c r="BJ6" s="73">
        <f t="shared" si="4"/>
        <v>2.3888888888888888</v>
      </c>
      <c r="BK6" s="8">
        <f t="shared" si="1"/>
        <v>52.857142857142854</v>
      </c>
      <c r="BL6" s="8">
        <f t="shared" si="5"/>
        <v>24.6</v>
      </c>
      <c r="BM6" s="8">
        <f t="shared" si="6"/>
        <v>1.3909351071033791</v>
      </c>
      <c r="BN6" s="8">
        <f t="shared" si="7"/>
        <v>1.23</v>
      </c>
      <c r="BO6" s="8">
        <f t="shared" si="8"/>
        <v>8.9905111439397931E-2</v>
      </c>
      <c r="BP6" s="64"/>
      <c r="BQ6">
        <v>-0.83</v>
      </c>
      <c r="BR6">
        <v>-0.54</v>
      </c>
      <c r="BS6">
        <v>1.59</v>
      </c>
      <c r="BT6">
        <v>0.5</v>
      </c>
      <c r="BU6">
        <v>-0.5</v>
      </c>
    </row>
    <row r="7" spans="1:83" x14ac:dyDescent="0.25">
      <c r="A7" t="s">
        <v>247</v>
      </c>
      <c r="B7" t="s">
        <v>258</v>
      </c>
      <c r="C7" s="70" t="s">
        <v>249</v>
      </c>
      <c r="D7" s="70" t="s">
        <v>249</v>
      </c>
      <c r="E7" s="70" t="s">
        <v>250</v>
      </c>
      <c r="F7" t="s">
        <v>251</v>
      </c>
      <c r="G7" s="71">
        <v>1210</v>
      </c>
      <c r="H7" s="72">
        <v>61.03081426</v>
      </c>
      <c r="I7" s="72">
        <v>-45.409150959999998</v>
      </c>
      <c r="J7" s="247">
        <v>477892.26816741587</v>
      </c>
      <c r="K7" s="247">
        <v>6766288.6361058298</v>
      </c>
      <c r="L7" s="51">
        <v>98.1</v>
      </c>
      <c r="M7" s="51">
        <v>0.54</v>
      </c>
      <c r="N7" s="51">
        <v>0.16</v>
      </c>
      <c r="O7" s="51" t="s">
        <v>252</v>
      </c>
      <c r="P7" s="51">
        <v>0.01</v>
      </c>
      <c r="Q7" s="51">
        <v>0.08</v>
      </c>
      <c r="R7" s="51">
        <v>0.38</v>
      </c>
      <c r="S7" s="51" t="s">
        <v>252</v>
      </c>
      <c r="T7" s="51">
        <v>0.04</v>
      </c>
      <c r="U7" s="51" t="s">
        <v>252</v>
      </c>
      <c r="V7" s="51" t="s">
        <v>252</v>
      </c>
      <c r="W7" s="51" t="s">
        <v>252</v>
      </c>
      <c r="X7" s="51" t="s">
        <v>252</v>
      </c>
      <c r="Y7" s="51">
        <v>0.3</v>
      </c>
      <c r="Z7" s="55">
        <f t="shared" si="0"/>
        <v>0.31715776991642247</v>
      </c>
      <c r="AA7" s="51">
        <v>99.61</v>
      </c>
      <c r="AB7" s="51">
        <v>24.5</v>
      </c>
      <c r="AC7" s="51">
        <v>5.7</v>
      </c>
      <c r="AD7" s="51" t="s">
        <v>252</v>
      </c>
      <c r="AE7" s="51">
        <v>0.01</v>
      </c>
      <c r="AF7" s="51">
        <v>1.25</v>
      </c>
      <c r="AG7" s="51">
        <v>0.89</v>
      </c>
      <c r="AH7" s="51">
        <v>0.2</v>
      </c>
      <c r="AI7" s="51">
        <v>0.5</v>
      </c>
      <c r="AJ7" s="51">
        <v>1.36</v>
      </c>
      <c r="AK7" s="51">
        <v>2.4</v>
      </c>
      <c r="AL7" s="51">
        <v>0.25</v>
      </c>
      <c r="AM7" s="51">
        <v>4.9000000000000004</v>
      </c>
      <c r="AN7" s="51">
        <v>0.1</v>
      </c>
      <c r="AO7" s="51">
        <v>2.8</v>
      </c>
      <c r="AP7" s="51">
        <v>4.5999999999999996</v>
      </c>
      <c r="AQ7" s="51" t="s">
        <v>253</v>
      </c>
      <c r="AR7" s="51">
        <v>1.1200000000000001</v>
      </c>
      <c r="AS7" s="51">
        <v>4.7</v>
      </c>
      <c r="AT7" s="51" t="s">
        <v>253</v>
      </c>
      <c r="AU7" s="51">
        <v>0.81</v>
      </c>
      <c r="AV7" s="51">
        <v>1</v>
      </c>
      <c r="AW7" s="51">
        <v>6</v>
      </c>
      <c r="AX7" s="51">
        <v>0.6</v>
      </c>
      <c r="AY7" s="51">
        <v>0.19</v>
      </c>
      <c r="AZ7" s="51">
        <v>1.25</v>
      </c>
      <c r="BA7" s="51">
        <v>0.08</v>
      </c>
      <c r="BB7" s="51">
        <v>0.28000000000000003</v>
      </c>
      <c r="BC7" s="51" t="s">
        <v>252</v>
      </c>
      <c r="BD7" s="51">
        <v>8.3000000000000007</v>
      </c>
      <c r="BE7" s="51">
        <v>0.77</v>
      </c>
      <c r="BF7" s="51">
        <v>93</v>
      </c>
      <c r="BG7" s="64"/>
      <c r="BH7" s="73">
        <f t="shared" si="2"/>
        <v>112.86</v>
      </c>
      <c r="BI7" s="73">
        <f t="shared" si="3"/>
        <v>23.41</v>
      </c>
      <c r="BJ7" s="73">
        <f t="shared" si="4"/>
        <v>1.5798816568047336</v>
      </c>
      <c r="BK7" s="8">
        <f t="shared" si="1"/>
        <v>49</v>
      </c>
      <c r="BL7" s="8">
        <f t="shared" si="5"/>
        <v>96.399999999999991</v>
      </c>
      <c r="BM7" s="8">
        <f t="shared" si="6"/>
        <v>1.9840770339028306</v>
      </c>
      <c r="BN7" s="8">
        <f t="shared" si="7"/>
        <v>1.53</v>
      </c>
      <c r="BO7" s="8">
        <f t="shared" si="8"/>
        <v>0.18469143081759881</v>
      </c>
      <c r="BP7" s="64"/>
      <c r="BQ7">
        <v>-0.92</v>
      </c>
      <c r="BR7">
        <v>-0.38</v>
      </c>
      <c r="BS7">
        <v>0.12</v>
      </c>
      <c r="BT7">
        <v>1</v>
      </c>
      <c r="BU7">
        <v>-0.5</v>
      </c>
    </row>
    <row r="8" spans="1:83" x14ac:dyDescent="0.25">
      <c r="A8" t="s">
        <v>247</v>
      </c>
      <c r="B8" t="s">
        <v>259</v>
      </c>
      <c r="C8" s="70" t="s">
        <v>249</v>
      </c>
      <c r="D8" s="70" t="s">
        <v>249</v>
      </c>
      <c r="E8" s="70" t="s">
        <v>250</v>
      </c>
      <c r="F8" t="s">
        <v>251</v>
      </c>
      <c r="G8" s="71">
        <v>1210</v>
      </c>
      <c r="H8" s="72">
        <v>61.030851169999998</v>
      </c>
      <c r="I8" s="72">
        <v>-45.409217750000003</v>
      </c>
      <c r="J8" s="247">
        <v>477888.6850125051</v>
      </c>
      <c r="K8" s="247">
        <v>6766292.7698211055</v>
      </c>
      <c r="L8" s="51">
        <v>99.6</v>
      </c>
      <c r="M8" s="51">
        <v>0.3</v>
      </c>
      <c r="N8" s="51">
        <v>0.1</v>
      </c>
      <c r="O8" s="51" t="s">
        <v>252</v>
      </c>
      <c r="P8" s="51">
        <v>0.01</v>
      </c>
      <c r="Q8" s="51">
        <v>0.09</v>
      </c>
      <c r="R8" s="51">
        <v>0.16</v>
      </c>
      <c r="S8" s="51" t="s">
        <v>252</v>
      </c>
      <c r="T8" s="51">
        <v>0.02</v>
      </c>
      <c r="U8" s="51" t="s">
        <v>252</v>
      </c>
      <c r="V8" s="51" t="s">
        <v>252</v>
      </c>
      <c r="W8" s="51" t="s">
        <v>252</v>
      </c>
      <c r="X8" s="51" t="s">
        <v>252</v>
      </c>
      <c r="Y8" s="51">
        <v>0.25</v>
      </c>
      <c r="Z8" s="55">
        <f t="shared" si="0"/>
        <v>0.26114649878304741</v>
      </c>
      <c r="AA8" s="51">
        <v>100.53</v>
      </c>
      <c r="AB8" s="51">
        <v>14.7</v>
      </c>
      <c r="AC8" s="51">
        <v>4.3</v>
      </c>
      <c r="AD8" s="51" t="s">
        <v>252</v>
      </c>
      <c r="AE8" s="51">
        <v>0.01</v>
      </c>
      <c r="AF8" s="51">
        <v>0.95</v>
      </c>
      <c r="AG8" s="51">
        <v>0.49</v>
      </c>
      <c r="AH8" s="51">
        <v>0.18</v>
      </c>
      <c r="AI8" s="51">
        <v>0.5</v>
      </c>
      <c r="AJ8" s="51">
        <v>1.1499999999999999</v>
      </c>
      <c r="AK8" s="51">
        <v>0.7</v>
      </c>
      <c r="AL8" s="51">
        <v>0.16</v>
      </c>
      <c r="AM8" s="51">
        <v>3.3</v>
      </c>
      <c r="AN8" s="51">
        <v>0.05</v>
      </c>
      <c r="AO8" s="51">
        <v>1.9</v>
      </c>
      <c r="AP8" s="51">
        <v>3.4</v>
      </c>
      <c r="AQ8" s="51" t="s">
        <v>253</v>
      </c>
      <c r="AR8" s="51">
        <v>0.76</v>
      </c>
      <c r="AS8" s="51">
        <v>2.1</v>
      </c>
      <c r="AT8" s="51" t="s">
        <v>253</v>
      </c>
      <c r="AU8" s="51">
        <v>0.8</v>
      </c>
      <c r="AV8" s="51">
        <v>1</v>
      </c>
      <c r="AW8" s="51">
        <v>3.1</v>
      </c>
      <c r="AX8" s="51">
        <v>0.5</v>
      </c>
      <c r="AY8" s="51">
        <v>0.14000000000000001</v>
      </c>
      <c r="AZ8" s="51">
        <v>0.92</v>
      </c>
      <c r="BA8" s="51">
        <v>0.06</v>
      </c>
      <c r="BB8" s="51">
        <v>0.19</v>
      </c>
      <c r="BC8" s="51" t="s">
        <v>252</v>
      </c>
      <c r="BD8" s="51">
        <v>5.7</v>
      </c>
      <c r="BE8" s="51">
        <v>0.49</v>
      </c>
      <c r="BF8" s="51">
        <v>25</v>
      </c>
      <c r="BG8" s="64"/>
      <c r="BH8" s="73">
        <f t="shared" si="2"/>
        <v>107.91000000000001</v>
      </c>
      <c r="BI8" s="73">
        <f t="shared" si="3"/>
        <v>14.179999999999998</v>
      </c>
      <c r="BJ8" s="73">
        <f t="shared" si="4"/>
        <v>1.7276119402985073</v>
      </c>
      <c r="BK8" s="8">
        <f t="shared" si="1"/>
        <v>65.999999999999986</v>
      </c>
      <c r="BL8" s="8">
        <f t="shared" si="5"/>
        <v>27.4</v>
      </c>
      <c r="BM8" s="8">
        <f t="shared" si="6"/>
        <v>1.4377505628203879</v>
      </c>
      <c r="BN8" s="8">
        <f t="shared" si="7"/>
        <v>1.1100000000000001</v>
      </c>
      <c r="BO8" s="8">
        <f t="shared" si="8"/>
        <v>4.5322978786657475E-2</v>
      </c>
      <c r="BP8" s="64"/>
      <c r="BQ8">
        <v>-0.92</v>
      </c>
      <c r="BR8">
        <v>-0.31</v>
      </c>
      <c r="BS8">
        <v>-0.53</v>
      </c>
      <c r="BT8">
        <v>0</v>
      </c>
      <c r="BU8">
        <v>-0.5</v>
      </c>
    </row>
    <row r="9" spans="1:83" x14ac:dyDescent="0.25">
      <c r="A9" t="s">
        <v>247</v>
      </c>
      <c r="B9" t="s">
        <v>260</v>
      </c>
      <c r="C9" s="70" t="s">
        <v>249</v>
      </c>
      <c r="D9" s="70" t="s">
        <v>249</v>
      </c>
      <c r="E9" s="70" t="s">
        <v>250</v>
      </c>
      <c r="F9" t="s">
        <v>251</v>
      </c>
      <c r="G9" s="71">
        <v>1210</v>
      </c>
      <c r="H9" s="72">
        <v>61.031169650000002</v>
      </c>
      <c r="I9" s="72">
        <v>-45.409366429999999</v>
      </c>
      <c r="J9" s="247">
        <v>477880.87318243709</v>
      </c>
      <c r="K9" s="247">
        <v>6766328.2934612241</v>
      </c>
      <c r="L9" s="51">
        <v>98.5</v>
      </c>
      <c r="M9" s="51">
        <v>0.64</v>
      </c>
      <c r="N9" s="51">
        <v>0.14000000000000001</v>
      </c>
      <c r="O9" s="51">
        <v>0.01</v>
      </c>
      <c r="P9" s="51">
        <v>0.01</v>
      </c>
      <c r="Q9" s="51">
        <v>0.44</v>
      </c>
      <c r="R9" s="51">
        <v>0.01</v>
      </c>
      <c r="S9" s="51" t="s">
        <v>252</v>
      </c>
      <c r="T9" s="51">
        <v>0.02</v>
      </c>
      <c r="U9" s="51" t="s">
        <v>252</v>
      </c>
      <c r="V9" s="51" t="s">
        <v>252</v>
      </c>
      <c r="W9" s="51" t="s">
        <v>252</v>
      </c>
      <c r="X9" s="51" t="s">
        <v>252</v>
      </c>
      <c r="Y9" s="51">
        <v>0.19</v>
      </c>
      <c r="Z9" s="55">
        <f t="shared" si="0"/>
        <v>0.20515401287196408</v>
      </c>
      <c r="AA9" s="51">
        <v>99.96</v>
      </c>
      <c r="AB9" s="51">
        <v>2.9</v>
      </c>
      <c r="AC9" s="51">
        <v>3.7</v>
      </c>
      <c r="AD9" s="51" t="s">
        <v>252</v>
      </c>
      <c r="AE9" s="51">
        <v>0.01</v>
      </c>
      <c r="AF9" s="51">
        <v>1</v>
      </c>
      <c r="AG9" s="51">
        <v>0.63</v>
      </c>
      <c r="AH9" s="51">
        <v>0.15</v>
      </c>
      <c r="AI9" s="51">
        <v>0.9</v>
      </c>
      <c r="AJ9" s="51">
        <v>0.89</v>
      </c>
      <c r="AK9" s="51">
        <v>1.4</v>
      </c>
      <c r="AL9" s="51">
        <v>0.17</v>
      </c>
      <c r="AM9" s="51">
        <v>3.3</v>
      </c>
      <c r="AN9" s="51">
        <v>0.06</v>
      </c>
      <c r="AO9" s="51">
        <v>2.2000000000000002</v>
      </c>
      <c r="AP9" s="51">
        <v>3.7</v>
      </c>
      <c r="AQ9" s="51" t="s">
        <v>253</v>
      </c>
      <c r="AR9" s="51">
        <v>0.8</v>
      </c>
      <c r="AS9" s="51">
        <v>0.3</v>
      </c>
      <c r="AT9" s="51" t="s">
        <v>253</v>
      </c>
      <c r="AU9" s="51">
        <v>0.73</v>
      </c>
      <c r="AV9" s="51" t="s">
        <v>252</v>
      </c>
      <c r="AW9" s="51">
        <v>7.2</v>
      </c>
      <c r="AX9" s="51">
        <v>0.4</v>
      </c>
      <c r="AY9" s="51">
        <v>0.13</v>
      </c>
      <c r="AZ9" s="51">
        <v>0.77</v>
      </c>
      <c r="BA9" s="51">
        <v>0.06</v>
      </c>
      <c r="BB9" s="51">
        <v>0.15</v>
      </c>
      <c r="BC9" s="51" t="s">
        <v>252</v>
      </c>
      <c r="BD9" s="51">
        <v>5.5</v>
      </c>
      <c r="BE9" s="51">
        <v>0.53</v>
      </c>
      <c r="BF9" s="51">
        <v>50</v>
      </c>
      <c r="BG9" s="64"/>
      <c r="BH9" s="73">
        <f t="shared" si="2"/>
        <v>106.57000000000001</v>
      </c>
      <c r="BI9" s="73">
        <f t="shared" si="3"/>
        <v>12.68</v>
      </c>
      <c r="BJ9" s="73">
        <f t="shared" si="4"/>
        <v>1.6423267326732671</v>
      </c>
      <c r="BK9" s="8">
        <f t="shared" si="1"/>
        <v>55</v>
      </c>
      <c r="BL9" s="8">
        <f t="shared" si="5"/>
        <v>52.6</v>
      </c>
      <c r="BM9" s="8">
        <f t="shared" si="6"/>
        <v>1.7209857441537391</v>
      </c>
      <c r="BN9" s="8">
        <f t="shared" si="7"/>
        <v>0.92</v>
      </c>
      <c r="BO9" s="8">
        <f t="shared" si="8"/>
        <v>-3.6212172654444715E-2</v>
      </c>
      <c r="BP9" s="64"/>
      <c r="BQ9">
        <v>-0.83</v>
      </c>
      <c r="BR9">
        <v>2.38</v>
      </c>
      <c r="BS9">
        <v>-0.97</v>
      </c>
      <c r="BT9">
        <v>0</v>
      </c>
      <c r="BU9">
        <v>-0.5</v>
      </c>
    </row>
    <row r="10" spans="1:83" x14ac:dyDescent="0.25">
      <c r="A10" t="s">
        <v>247</v>
      </c>
      <c r="B10" t="s">
        <v>261</v>
      </c>
      <c r="C10" s="70" t="s">
        <v>249</v>
      </c>
      <c r="D10" s="70" t="s">
        <v>249</v>
      </c>
      <c r="E10" s="70" t="s">
        <v>250</v>
      </c>
      <c r="F10" t="s">
        <v>251</v>
      </c>
      <c r="G10" s="71">
        <v>1210</v>
      </c>
      <c r="H10" s="72">
        <v>61.031142979999998</v>
      </c>
      <c r="I10" s="72">
        <v>-45.409417560000001</v>
      </c>
      <c r="J10" s="247">
        <v>477878.09194982814</v>
      </c>
      <c r="K10" s="247">
        <v>6766325.3401323706</v>
      </c>
      <c r="L10" s="51">
        <v>98.5</v>
      </c>
      <c r="M10" s="51">
        <v>0.79</v>
      </c>
      <c r="N10" s="51">
        <v>0.16</v>
      </c>
      <c r="O10" s="51">
        <v>0.02</v>
      </c>
      <c r="P10" s="51">
        <v>0.02</v>
      </c>
      <c r="Q10" s="51">
        <v>0.23</v>
      </c>
      <c r="R10" s="51">
        <v>0.48</v>
      </c>
      <c r="S10" s="51" t="s">
        <v>252</v>
      </c>
      <c r="T10" s="51">
        <v>0.03</v>
      </c>
      <c r="U10" s="51" t="s">
        <v>252</v>
      </c>
      <c r="V10" s="51" t="s">
        <v>252</v>
      </c>
      <c r="W10" s="51" t="s">
        <v>252</v>
      </c>
      <c r="X10" s="51" t="s">
        <v>252</v>
      </c>
      <c r="Y10" s="51">
        <v>0.21</v>
      </c>
      <c r="Z10" s="55">
        <f t="shared" si="0"/>
        <v>0.22715776991642242</v>
      </c>
      <c r="AA10" s="51">
        <v>100.44</v>
      </c>
      <c r="AB10" s="51">
        <v>10.1</v>
      </c>
      <c r="AC10" s="51">
        <v>5.2</v>
      </c>
      <c r="AD10" s="51">
        <v>10</v>
      </c>
      <c r="AE10" s="51">
        <v>0.01</v>
      </c>
      <c r="AF10" s="51">
        <v>1.29</v>
      </c>
      <c r="AG10" s="51">
        <v>0.67</v>
      </c>
      <c r="AH10" s="51">
        <v>0.25</v>
      </c>
      <c r="AI10" s="51">
        <v>0.9</v>
      </c>
      <c r="AJ10" s="51">
        <v>1.49</v>
      </c>
      <c r="AK10" s="51">
        <v>1.5</v>
      </c>
      <c r="AL10" s="51">
        <v>0.23</v>
      </c>
      <c r="AM10" s="51">
        <v>4.2</v>
      </c>
      <c r="AN10" s="51">
        <v>7.0000000000000007E-2</v>
      </c>
      <c r="AO10" s="51">
        <v>3.8</v>
      </c>
      <c r="AP10" s="51">
        <v>4.7</v>
      </c>
      <c r="AQ10" s="51" t="s">
        <v>253</v>
      </c>
      <c r="AR10" s="51">
        <v>1.1100000000000001</v>
      </c>
      <c r="AS10" s="51">
        <v>7.1</v>
      </c>
      <c r="AT10" s="51" t="s">
        <v>253</v>
      </c>
      <c r="AU10" s="51">
        <v>1.18</v>
      </c>
      <c r="AV10" s="51">
        <v>1</v>
      </c>
      <c r="AW10" s="51">
        <v>4.5</v>
      </c>
      <c r="AX10" s="51">
        <v>0.6</v>
      </c>
      <c r="AY10" s="51">
        <v>0.21</v>
      </c>
      <c r="AZ10" s="51">
        <v>1.77</v>
      </c>
      <c r="BA10" s="51">
        <v>7.0000000000000007E-2</v>
      </c>
      <c r="BB10" s="51">
        <v>0.21</v>
      </c>
      <c r="BC10" s="51" t="s">
        <v>252</v>
      </c>
      <c r="BD10" s="51">
        <v>7</v>
      </c>
      <c r="BE10" s="51">
        <v>0.54</v>
      </c>
      <c r="BF10" s="51">
        <v>61</v>
      </c>
      <c r="BG10" s="64"/>
      <c r="BH10" s="73">
        <f t="shared" si="2"/>
        <v>115.35</v>
      </c>
      <c r="BI10" s="73">
        <f t="shared" si="3"/>
        <v>23.470000000000002</v>
      </c>
      <c r="BJ10" s="73">
        <f t="shared" si="4"/>
        <v>1.7986111111111109</v>
      </c>
      <c r="BK10" s="8">
        <f t="shared" si="1"/>
        <v>60</v>
      </c>
      <c r="BL10" s="8">
        <f t="shared" si="5"/>
        <v>65.399999999999991</v>
      </c>
      <c r="BM10" s="8">
        <f t="shared" si="6"/>
        <v>1.8155777483242672</v>
      </c>
      <c r="BN10" s="8">
        <f t="shared" si="7"/>
        <v>1.98</v>
      </c>
      <c r="BO10" s="8">
        <f t="shared" si="8"/>
        <v>0.2966651902615311</v>
      </c>
      <c r="BP10" s="64"/>
      <c r="BQ10">
        <v>-0.67</v>
      </c>
      <c r="BR10">
        <v>0.77</v>
      </c>
      <c r="BS10">
        <v>0.41</v>
      </c>
      <c r="BT10">
        <v>0.5</v>
      </c>
      <c r="BU10">
        <v>0</v>
      </c>
    </row>
    <row r="11" spans="1:83" x14ac:dyDescent="0.25">
      <c r="A11" t="s">
        <v>247</v>
      </c>
      <c r="B11" t="s">
        <v>262</v>
      </c>
      <c r="C11" s="70" t="s">
        <v>249</v>
      </c>
      <c r="D11" s="70" t="s">
        <v>249</v>
      </c>
      <c r="E11" s="70" t="s">
        <v>250</v>
      </c>
      <c r="F11" t="s">
        <v>251</v>
      </c>
      <c r="G11" s="71">
        <v>1310</v>
      </c>
      <c r="H11" s="72">
        <v>61.034170000000003</v>
      </c>
      <c r="I11" s="72">
        <v>-45.413060000000002</v>
      </c>
      <c r="J11" s="247">
        <v>477683.40975739143</v>
      </c>
      <c r="K11" s="247">
        <v>6766663.7362260893</v>
      </c>
      <c r="L11" s="51">
        <v>89.91</v>
      </c>
      <c r="M11" s="51">
        <v>4.5999999999999996</v>
      </c>
      <c r="N11" s="51">
        <v>0.7</v>
      </c>
      <c r="O11" s="51">
        <v>0.05</v>
      </c>
      <c r="P11" s="51">
        <v>0.03</v>
      </c>
      <c r="Q11" s="51">
        <v>0.23</v>
      </c>
      <c r="R11" s="51">
        <v>3.91</v>
      </c>
      <c r="S11" s="51" t="s">
        <v>252</v>
      </c>
      <c r="T11" s="51">
        <v>0.15</v>
      </c>
      <c r="U11" s="51" t="s">
        <v>252</v>
      </c>
      <c r="V11" s="51">
        <v>0.03</v>
      </c>
      <c r="W11" s="51" t="s">
        <v>253</v>
      </c>
      <c r="X11" s="51" t="s">
        <v>253</v>
      </c>
      <c r="Y11" s="74">
        <v>0.3</v>
      </c>
      <c r="Z11" s="55">
        <f t="shared" si="0"/>
        <v>0.37125921011679819</v>
      </c>
      <c r="AA11" s="55">
        <f>SUM(L11:X11, Z11)</f>
        <v>99.981259210116804</v>
      </c>
      <c r="AB11" s="74">
        <v>66.400000000000006</v>
      </c>
      <c r="AC11" s="74">
        <v>46</v>
      </c>
      <c r="AD11" s="51" t="s">
        <v>252</v>
      </c>
      <c r="AE11" s="51">
        <v>0.11</v>
      </c>
      <c r="AF11" s="51">
        <v>2.02</v>
      </c>
      <c r="AG11" s="51">
        <v>1.1499999999999999</v>
      </c>
      <c r="AH11" s="51">
        <v>0.43</v>
      </c>
      <c r="AI11" s="51">
        <v>5.0999999999999996</v>
      </c>
      <c r="AJ11" s="51">
        <v>2.38</v>
      </c>
      <c r="AK11" s="51">
        <v>5</v>
      </c>
      <c r="AL11" s="51">
        <v>0.38</v>
      </c>
      <c r="AM11" s="74">
        <v>18.5</v>
      </c>
      <c r="AN11" s="51">
        <v>0.19</v>
      </c>
      <c r="AO11" s="74">
        <v>10.3</v>
      </c>
      <c r="AP11" s="74">
        <v>16.3</v>
      </c>
      <c r="AQ11" s="51" t="s">
        <v>253</v>
      </c>
      <c r="AR11" s="51">
        <v>4.0599999999999996</v>
      </c>
      <c r="AS11" s="51">
        <v>48.3</v>
      </c>
      <c r="AT11" s="51" t="s">
        <v>253</v>
      </c>
      <c r="AU11" s="51">
        <v>3.22</v>
      </c>
      <c r="AV11" s="51">
        <v>1</v>
      </c>
      <c r="AW11" s="51">
        <v>37.4</v>
      </c>
      <c r="AX11" s="51">
        <v>0.8</v>
      </c>
      <c r="AY11" s="51">
        <v>0.3</v>
      </c>
      <c r="AZ11" s="51">
        <v>8.3000000000000007</v>
      </c>
      <c r="BA11" s="51">
        <v>0.17</v>
      </c>
      <c r="BB11" s="51">
        <v>0.66</v>
      </c>
      <c r="BC11" s="51">
        <v>9</v>
      </c>
      <c r="BD11" s="51">
        <v>10.1</v>
      </c>
      <c r="BE11" s="51">
        <v>1.39</v>
      </c>
      <c r="BF11" s="51">
        <v>189</v>
      </c>
      <c r="BG11" s="64"/>
      <c r="BH11" s="73">
        <f t="shared" si="2"/>
        <v>172.22125921011681</v>
      </c>
      <c r="BI11" s="73">
        <f t="shared" si="3"/>
        <v>102.13</v>
      </c>
      <c r="BJ11" s="73">
        <f t="shared" si="4"/>
        <v>5.7891719745222927</v>
      </c>
      <c r="BK11" s="8">
        <f t="shared" si="1"/>
        <v>97.368421052631575</v>
      </c>
      <c r="BL11" s="8">
        <f t="shared" si="5"/>
        <v>200.10000000000002</v>
      </c>
      <c r="BM11" s="8">
        <f t="shared" si="6"/>
        <v>2.3012470886362113</v>
      </c>
      <c r="BN11" s="8">
        <f t="shared" si="7"/>
        <v>8.9600000000000009</v>
      </c>
      <c r="BO11" s="8">
        <f t="shared" si="8"/>
        <v>0.95230800966212525</v>
      </c>
      <c r="BP11" s="64"/>
      <c r="BQ11">
        <v>-0.17</v>
      </c>
      <c r="BR11">
        <v>0.77</v>
      </c>
      <c r="BS11">
        <v>10.5</v>
      </c>
      <c r="BT11">
        <v>6.5</v>
      </c>
      <c r="BU11">
        <v>0.5</v>
      </c>
    </row>
    <row r="12" spans="1:83" x14ac:dyDescent="0.25">
      <c r="A12" t="s">
        <v>247</v>
      </c>
      <c r="B12" t="s">
        <v>263</v>
      </c>
      <c r="C12" s="70" t="s">
        <v>249</v>
      </c>
      <c r="D12" s="70" t="s">
        <v>249</v>
      </c>
      <c r="E12" s="70" t="s">
        <v>250</v>
      </c>
      <c r="F12" t="s">
        <v>251</v>
      </c>
      <c r="G12" s="71">
        <v>1405</v>
      </c>
      <c r="H12" s="72">
        <v>61.030014170000001</v>
      </c>
      <c r="I12" s="72">
        <v>-45.412450560000003</v>
      </c>
      <c r="J12" s="247">
        <v>477713.42061939801</v>
      </c>
      <c r="K12" s="247">
        <v>6766200.6376330853</v>
      </c>
      <c r="L12" s="51">
        <v>98.8</v>
      </c>
      <c r="M12" s="51">
        <v>0.23</v>
      </c>
      <c r="N12" s="51">
        <v>0.34</v>
      </c>
      <c r="O12" s="51" t="s">
        <v>252</v>
      </c>
      <c r="P12" s="51">
        <v>0.01</v>
      </c>
      <c r="Q12" s="51">
        <v>0.12</v>
      </c>
      <c r="R12" s="51">
        <v>0.04</v>
      </c>
      <c r="S12" s="51" t="s">
        <v>252</v>
      </c>
      <c r="T12" s="51">
        <v>0.01</v>
      </c>
      <c r="U12" s="51" t="s">
        <v>252</v>
      </c>
      <c r="V12" s="51" t="s">
        <v>252</v>
      </c>
      <c r="W12" s="51" t="s">
        <v>252</v>
      </c>
      <c r="X12" s="51" t="s">
        <v>252</v>
      </c>
      <c r="Y12" s="51">
        <v>0.26</v>
      </c>
      <c r="Z12" s="55">
        <f t="shared" si="0"/>
        <v>0.29519158331654771</v>
      </c>
      <c r="AA12" s="51">
        <v>99.81</v>
      </c>
      <c r="AB12" s="51">
        <v>11</v>
      </c>
      <c r="AC12" s="51">
        <v>8.6</v>
      </c>
      <c r="AD12" s="51">
        <v>10</v>
      </c>
      <c r="AE12" s="51">
        <v>0.05</v>
      </c>
      <c r="AF12" s="51">
        <v>0.64</v>
      </c>
      <c r="AG12" s="51">
        <v>0.42</v>
      </c>
      <c r="AH12" s="51">
        <v>0.18</v>
      </c>
      <c r="AI12" s="51">
        <v>0.2</v>
      </c>
      <c r="AJ12" s="51">
        <v>0.9</v>
      </c>
      <c r="AK12" s="51">
        <v>0.9</v>
      </c>
      <c r="AL12" s="51">
        <v>0.12</v>
      </c>
      <c r="AM12" s="51">
        <v>3.6</v>
      </c>
      <c r="AN12" s="51">
        <v>0.05</v>
      </c>
      <c r="AO12" s="51">
        <v>2.7</v>
      </c>
      <c r="AP12" s="51">
        <v>3.6</v>
      </c>
      <c r="AQ12" s="51" t="s">
        <v>253</v>
      </c>
      <c r="AR12" s="51">
        <v>0.83</v>
      </c>
      <c r="AS12" s="51">
        <v>1.1000000000000001</v>
      </c>
      <c r="AT12" s="51" t="s">
        <v>253</v>
      </c>
      <c r="AU12" s="51">
        <v>0.81</v>
      </c>
      <c r="AV12" s="51">
        <v>1</v>
      </c>
      <c r="AW12" s="51">
        <v>6.2</v>
      </c>
      <c r="AX12" s="51">
        <v>0.8</v>
      </c>
      <c r="AY12" s="51">
        <v>0.12</v>
      </c>
      <c r="AZ12" s="51">
        <v>0.84</v>
      </c>
      <c r="BA12" s="51">
        <v>0.04</v>
      </c>
      <c r="BB12" s="51">
        <v>0.26</v>
      </c>
      <c r="BC12" s="51" t="s">
        <v>252</v>
      </c>
      <c r="BD12" s="51">
        <v>3.6</v>
      </c>
      <c r="BE12" s="51">
        <v>0.39</v>
      </c>
      <c r="BF12" s="51">
        <v>29</v>
      </c>
      <c r="BG12" s="64"/>
      <c r="BH12" s="73">
        <f t="shared" si="2"/>
        <v>106.28</v>
      </c>
      <c r="BI12" s="73">
        <f t="shared" si="3"/>
        <v>11.530000000000001</v>
      </c>
      <c r="BJ12" s="73">
        <f t="shared" si="4"/>
        <v>3.4423791821561331</v>
      </c>
      <c r="BK12" s="8">
        <f t="shared" si="1"/>
        <v>72</v>
      </c>
      <c r="BL12" s="8">
        <f t="shared" si="5"/>
        <v>32.5</v>
      </c>
      <c r="BM12" s="8">
        <f t="shared" si="6"/>
        <v>1.5118833609788744</v>
      </c>
      <c r="BN12" s="8">
        <f t="shared" si="7"/>
        <v>1.1000000000000001</v>
      </c>
      <c r="BO12" s="8">
        <f t="shared" si="8"/>
        <v>4.1392685158225077E-2</v>
      </c>
      <c r="BP12" s="64"/>
      <c r="BQ12">
        <v>-0.92</v>
      </c>
      <c r="BR12">
        <v>-0.08</v>
      </c>
      <c r="BS12">
        <v>-0.88</v>
      </c>
      <c r="BT12">
        <v>-0.5</v>
      </c>
      <c r="BU12">
        <v>-0.5</v>
      </c>
    </row>
    <row r="13" spans="1:83" s="76" customFormat="1" x14ac:dyDescent="0.25">
      <c r="A13" t="s">
        <v>247</v>
      </c>
      <c r="B13" t="s">
        <v>264</v>
      </c>
      <c r="C13" s="70" t="s">
        <v>249</v>
      </c>
      <c r="D13" s="70" t="s">
        <v>249</v>
      </c>
      <c r="E13" s="70" t="s">
        <v>250</v>
      </c>
      <c r="F13" t="s">
        <v>251</v>
      </c>
      <c r="G13" s="71">
        <v>1405</v>
      </c>
      <c r="H13" s="72">
        <v>61.029864719999999</v>
      </c>
      <c r="I13" s="72">
        <v>-45.412419999999997</v>
      </c>
      <c r="J13" s="247">
        <v>477714.96706985228</v>
      </c>
      <c r="K13" s="247">
        <v>6766183.9809687575</v>
      </c>
      <c r="L13" s="51">
        <v>99.4</v>
      </c>
      <c r="M13" s="51">
        <v>0.16</v>
      </c>
      <c r="N13" s="51">
        <v>0.25</v>
      </c>
      <c r="O13" s="51" t="s">
        <v>252</v>
      </c>
      <c r="P13" s="51">
        <v>0.01</v>
      </c>
      <c r="Q13" s="51">
        <v>0.1</v>
      </c>
      <c r="R13" s="51">
        <v>0.08</v>
      </c>
      <c r="S13" s="51" t="s">
        <v>252</v>
      </c>
      <c r="T13" s="51">
        <v>0.01</v>
      </c>
      <c r="U13" s="51" t="s">
        <v>252</v>
      </c>
      <c r="V13" s="51" t="s">
        <v>252</v>
      </c>
      <c r="W13" s="51" t="s">
        <v>252</v>
      </c>
      <c r="X13" s="51" t="s">
        <v>252</v>
      </c>
      <c r="Y13" s="51">
        <v>0.17</v>
      </c>
      <c r="Z13" s="55">
        <f t="shared" si="0"/>
        <v>0.19617467661648505</v>
      </c>
      <c r="AA13" s="51">
        <v>100.18</v>
      </c>
      <c r="AB13" s="51">
        <v>28.3</v>
      </c>
      <c r="AC13" s="51">
        <v>6</v>
      </c>
      <c r="AD13" s="51">
        <v>10</v>
      </c>
      <c r="AE13" s="51" t="s">
        <v>252</v>
      </c>
      <c r="AF13" s="51">
        <v>0.49</v>
      </c>
      <c r="AG13" s="51">
        <v>0.35</v>
      </c>
      <c r="AH13" s="51">
        <v>0.08</v>
      </c>
      <c r="AI13" s="51">
        <v>0.3</v>
      </c>
      <c r="AJ13" s="51">
        <v>0.38</v>
      </c>
      <c r="AK13" s="51">
        <v>0.7</v>
      </c>
      <c r="AL13" s="51">
        <v>0.11</v>
      </c>
      <c r="AM13" s="51">
        <v>1.4</v>
      </c>
      <c r="AN13" s="51">
        <v>0.05</v>
      </c>
      <c r="AO13" s="51">
        <v>3.4</v>
      </c>
      <c r="AP13" s="51">
        <v>1.3</v>
      </c>
      <c r="AQ13" s="51" t="s">
        <v>253</v>
      </c>
      <c r="AR13" s="51">
        <v>0.31</v>
      </c>
      <c r="AS13" s="51">
        <v>1.3</v>
      </c>
      <c r="AT13" s="51" t="s">
        <v>253</v>
      </c>
      <c r="AU13" s="51">
        <v>0.37</v>
      </c>
      <c r="AV13" s="51">
        <v>1</v>
      </c>
      <c r="AW13" s="51">
        <v>8.5</v>
      </c>
      <c r="AX13" s="51">
        <v>0.6</v>
      </c>
      <c r="AY13" s="51">
        <v>0.06</v>
      </c>
      <c r="AZ13" s="51">
        <v>0.69</v>
      </c>
      <c r="BA13" s="51">
        <v>0.04</v>
      </c>
      <c r="BB13" s="51">
        <v>0.2</v>
      </c>
      <c r="BC13" s="51">
        <v>7</v>
      </c>
      <c r="BD13" s="51">
        <v>3.7</v>
      </c>
      <c r="BE13" s="51">
        <v>0.36</v>
      </c>
      <c r="BF13" s="51">
        <v>19</v>
      </c>
      <c r="BG13" s="75"/>
      <c r="BH13" s="73">
        <f t="shared" si="2"/>
        <v>104.1</v>
      </c>
      <c r="BI13" s="73">
        <f t="shared" si="3"/>
        <v>15.879999999999999</v>
      </c>
      <c r="BJ13" s="73">
        <f t="shared" si="4"/>
        <v>1.9069767441860463</v>
      </c>
      <c r="BK13" s="8">
        <f t="shared" si="1"/>
        <v>27.999999999999996</v>
      </c>
      <c r="BL13" s="8">
        <f t="shared" si="5"/>
        <v>23</v>
      </c>
      <c r="BM13" s="8">
        <f t="shared" si="6"/>
        <v>1.3617278360175928</v>
      </c>
      <c r="BN13" s="8">
        <f t="shared" si="7"/>
        <v>0.8899999999999999</v>
      </c>
      <c r="BO13" s="8">
        <f t="shared" si="8"/>
        <v>-5.0609993355087264E-2</v>
      </c>
      <c r="BP13" s="75"/>
      <c r="BQ13">
        <v>-0.92</v>
      </c>
      <c r="BR13">
        <v>-0.23</v>
      </c>
      <c r="BS13">
        <v>-0.76</v>
      </c>
      <c r="BT13">
        <v>-0.5</v>
      </c>
      <c r="BU13">
        <v>-0.5</v>
      </c>
    </row>
    <row r="14" spans="1:83" x14ac:dyDescent="0.25">
      <c r="A14" t="s">
        <v>247</v>
      </c>
      <c r="B14" t="s">
        <v>265</v>
      </c>
      <c r="C14" s="70" t="s">
        <v>249</v>
      </c>
      <c r="D14" s="70" t="s">
        <v>249</v>
      </c>
      <c r="E14" s="70" t="s">
        <v>250</v>
      </c>
      <c r="F14" t="s">
        <v>251</v>
      </c>
      <c r="G14" s="71">
        <v>1405</v>
      </c>
      <c r="H14" s="72">
        <v>61.029806669999999</v>
      </c>
      <c r="I14" s="72">
        <v>-45.412238700000003</v>
      </c>
      <c r="J14" s="247">
        <v>477724.7227890733</v>
      </c>
      <c r="K14" s="247">
        <v>6766177.453476714</v>
      </c>
      <c r="L14" s="51">
        <v>99.7</v>
      </c>
      <c r="M14" s="51">
        <v>0.22</v>
      </c>
      <c r="N14" s="51">
        <v>0.38</v>
      </c>
      <c r="O14" s="51">
        <v>0.01</v>
      </c>
      <c r="P14" s="51">
        <v>0.01</v>
      </c>
      <c r="Q14" s="51">
        <v>0.2</v>
      </c>
      <c r="R14" s="51">
        <v>0.12</v>
      </c>
      <c r="S14" s="51" t="s">
        <v>252</v>
      </c>
      <c r="T14" s="51">
        <v>0.01</v>
      </c>
      <c r="U14" s="51">
        <v>0.01</v>
      </c>
      <c r="V14" s="51" t="s">
        <v>252</v>
      </c>
      <c r="W14" s="51" t="s">
        <v>252</v>
      </c>
      <c r="X14" s="51" t="s">
        <v>252</v>
      </c>
      <c r="Y14" s="51">
        <v>0.18</v>
      </c>
      <c r="Z14" s="55">
        <f t="shared" si="0"/>
        <v>0.22032681096621995</v>
      </c>
      <c r="AA14" s="51">
        <v>100.84</v>
      </c>
      <c r="AB14" s="51">
        <v>14.1</v>
      </c>
      <c r="AC14" s="51">
        <v>3</v>
      </c>
      <c r="AD14" s="51">
        <v>10</v>
      </c>
      <c r="AE14" s="51">
        <v>0.01</v>
      </c>
      <c r="AF14" s="51">
        <v>0.32</v>
      </c>
      <c r="AG14" s="51">
        <v>0.22</v>
      </c>
      <c r="AH14" s="51">
        <v>0.1</v>
      </c>
      <c r="AI14" s="51">
        <v>0.2</v>
      </c>
      <c r="AJ14" s="51">
        <v>0.47</v>
      </c>
      <c r="AK14" s="51">
        <v>0.7</v>
      </c>
      <c r="AL14" s="51">
        <v>7.0000000000000007E-2</v>
      </c>
      <c r="AM14" s="51">
        <v>2.5</v>
      </c>
      <c r="AN14" s="51">
        <v>0.03</v>
      </c>
      <c r="AO14" s="51">
        <v>2.5</v>
      </c>
      <c r="AP14" s="51">
        <v>2.7</v>
      </c>
      <c r="AQ14" s="51" t="s">
        <v>253</v>
      </c>
      <c r="AR14" s="51">
        <v>0.62</v>
      </c>
      <c r="AS14" s="51">
        <v>1.9</v>
      </c>
      <c r="AT14" s="51" t="s">
        <v>253</v>
      </c>
      <c r="AU14" s="51">
        <v>0.59</v>
      </c>
      <c r="AV14" s="51">
        <v>1</v>
      </c>
      <c r="AW14" s="51">
        <v>3.4</v>
      </c>
      <c r="AX14" s="51">
        <v>0.5</v>
      </c>
      <c r="AY14" s="51">
        <v>0.04</v>
      </c>
      <c r="AZ14" s="51">
        <v>0.5</v>
      </c>
      <c r="BA14" s="51">
        <v>0.01</v>
      </c>
      <c r="BB14" s="51">
        <v>0.19</v>
      </c>
      <c r="BC14" s="51" t="s">
        <v>252</v>
      </c>
      <c r="BD14" s="51">
        <v>1.8</v>
      </c>
      <c r="BE14" s="51">
        <v>0.27</v>
      </c>
      <c r="BF14" s="51">
        <v>21</v>
      </c>
      <c r="BG14" s="64"/>
      <c r="BH14" s="73">
        <f t="shared" si="2"/>
        <v>106.59</v>
      </c>
      <c r="BI14" s="73">
        <f t="shared" si="3"/>
        <v>8.23</v>
      </c>
      <c r="BJ14" s="73">
        <f t="shared" si="4"/>
        <v>3.6159420289855078</v>
      </c>
      <c r="BK14" s="8">
        <f t="shared" si="1"/>
        <v>83.333333333333343</v>
      </c>
      <c r="BL14" s="8">
        <f t="shared" si="5"/>
        <v>24</v>
      </c>
      <c r="BM14" s="8">
        <f t="shared" si="6"/>
        <v>1.3802112417116059</v>
      </c>
      <c r="BN14" s="8">
        <f t="shared" si="7"/>
        <v>0.69</v>
      </c>
      <c r="BO14" s="8">
        <f t="shared" si="8"/>
        <v>-0.16115090926274472</v>
      </c>
      <c r="BP14" s="64"/>
      <c r="BQ14">
        <v>-0.83</v>
      </c>
      <c r="BR14">
        <v>0.54</v>
      </c>
      <c r="BS14">
        <v>-0.65</v>
      </c>
      <c r="BT14">
        <v>-0.5</v>
      </c>
      <c r="BU14">
        <v>-0.5</v>
      </c>
    </row>
    <row r="15" spans="1:83" x14ac:dyDescent="0.25">
      <c r="A15" t="s">
        <v>247</v>
      </c>
      <c r="B15" t="s">
        <v>266</v>
      </c>
      <c r="C15" s="70" t="s">
        <v>249</v>
      </c>
      <c r="D15" s="70" t="s">
        <v>249</v>
      </c>
      <c r="E15" s="70" t="s">
        <v>250</v>
      </c>
      <c r="F15" t="s">
        <v>251</v>
      </c>
      <c r="G15" s="71">
        <v>2105</v>
      </c>
      <c r="H15" s="72">
        <v>61.025777159999997</v>
      </c>
      <c r="I15" s="72">
        <v>-45.423243210000003</v>
      </c>
      <c r="J15" s="247">
        <v>477127.20027310698</v>
      </c>
      <c r="K15" s="247">
        <v>6765732.4259499097</v>
      </c>
      <c r="L15" s="51">
        <v>97.4</v>
      </c>
      <c r="M15" s="51">
        <v>0.86</v>
      </c>
      <c r="N15" s="51">
        <v>0.13</v>
      </c>
      <c r="O15" s="51" t="s">
        <v>252</v>
      </c>
      <c r="P15" s="51">
        <v>0.01</v>
      </c>
      <c r="Q15" s="51">
        <v>0.1</v>
      </c>
      <c r="R15" s="51">
        <v>0.67</v>
      </c>
      <c r="S15" s="51" t="s">
        <v>252</v>
      </c>
      <c r="T15" s="51">
        <v>0.05</v>
      </c>
      <c r="U15" s="51" t="s">
        <v>252</v>
      </c>
      <c r="V15" s="51" t="s">
        <v>252</v>
      </c>
      <c r="W15" s="51" t="s">
        <v>252</v>
      </c>
      <c r="X15" s="51">
        <v>0.01</v>
      </c>
      <c r="Y15" s="51">
        <v>0.03</v>
      </c>
      <c r="Z15" s="55">
        <f t="shared" si="0"/>
        <v>4.4152134349734903E-2</v>
      </c>
      <c r="AA15" s="51">
        <v>99.26</v>
      </c>
      <c r="AB15" s="51">
        <v>52.1</v>
      </c>
      <c r="AC15" s="51">
        <v>14</v>
      </c>
      <c r="AD15" s="51" t="s">
        <v>252</v>
      </c>
      <c r="AE15" s="51">
        <v>0.02</v>
      </c>
      <c r="AF15" s="51">
        <v>1.96</v>
      </c>
      <c r="AG15" s="51">
        <v>1.1399999999999999</v>
      </c>
      <c r="AH15" s="51">
        <v>0.39</v>
      </c>
      <c r="AI15" s="51">
        <v>0.7</v>
      </c>
      <c r="AJ15" s="51">
        <v>1.8</v>
      </c>
      <c r="AK15" s="51">
        <v>3.9</v>
      </c>
      <c r="AL15" s="51">
        <v>0.41</v>
      </c>
      <c r="AM15" s="51">
        <v>6.5</v>
      </c>
      <c r="AN15" s="51">
        <v>0.17</v>
      </c>
      <c r="AO15" s="51">
        <v>3.5</v>
      </c>
      <c r="AP15" s="51">
        <v>10.199999999999999</v>
      </c>
      <c r="AQ15" s="51" t="s">
        <v>253</v>
      </c>
      <c r="AR15" s="51">
        <v>2.21</v>
      </c>
      <c r="AS15" s="51">
        <v>9.3000000000000007</v>
      </c>
      <c r="AT15" s="51" t="s">
        <v>253</v>
      </c>
      <c r="AU15" s="51">
        <v>1.98</v>
      </c>
      <c r="AV15" s="51">
        <v>1</v>
      </c>
      <c r="AW15" s="51">
        <v>11.1</v>
      </c>
      <c r="AX15" s="51">
        <v>0.6</v>
      </c>
      <c r="AY15" s="51">
        <v>0.28000000000000003</v>
      </c>
      <c r="AZ15" s="51">
        <v>1.34</v>
      </c>
      <c r="BA15" s="51">
        <v>0.16</v>
      </c>
      <c r="BB15" s="51">
        <v>0.37</v>
      </c>
      <c r="BC15" s="51" t="s">
        <v>252</v>
      </c>
      <c r="BD15" s="51">
        <v>11.5</v>
      </c>
      <c r="BE15" s="51">
        <v>1.23</v>
      </c>
      <c r="BF15" s="51">
        <v>150</v>
      </c>
      <c r="BG15" s="64"/>
      <c r="BH15" s="73">
        <f t="shared" si="2"/>
        <v>125.18</v>
      </c>
      <c r="BI15" s="73">
        <f t="shared" si="3"/>
        <v>35.120000000000005</v>
      </c>
      <c r="BJ15" s="73">
        <f t="shared" si="4"/>
        <v>2.2005934718100884</v>
      </c>
      <c r="BK15" s="8">
        <f t="shared" si="1"/>
        <v>38.235294117647058</v>
      </c>
      <c r="BL15" s="8">
        <f t="shared" si="5"/>
        <v>154.1</v>
      </c>
      <c r="BM15" s="8">
        <f t="shared" si="6"/>
        <v>2.1878026387184195</v>
      </c>
      <c r="BN15" s="8">
        <f t="shared" si="7"/>
        <v>1.71</v>
      </c>
      <c r="BO15" s="8">
        <f t="shared" si="8"/>
        <v>0.23299611039215382</v>
      </c>
      <c r="BP15" s="64"/>
      <c r="BQ15">
        <v>-0.92</v>
      </c>
      <c r="BR15">
        <v>-0.23</v>
      </c>
      <c r="BS15">
        <v>0.97</v>
      </c>
      <c r="BT15">
        <v>1.5</v>
      </c>
      <c r="BU15">
        <v>-0.5</v>
      </c>
    </row>
    <row r="16" spans="1:83" x14ac:dyDescent="0.25">
      <c r="A16" t="s">
        <v>247</v>
      </c>
      <c r="B16" t="s">
        <v>267</v>
      </c>
      <c r="C16" s="70" t="s">
        <v>249</v>
      </c>
      <c r="D16" s="70" t="s">
        <v>249</v>
      </c>
      <c r="E16" s="70" t="s">
        <v>250</v>
      </c>
      <c r="F16" t="s">
        <v>251</v>
      </c>
      <c r="G16" s="71">
        <v>2105</v>
      </c>
      <c r="H16" s="72">
        <v>61.025858329999998</v>
      </c>
      <c r="I16" s="72">
        <v>-45.422936669999999</v>
      </c>
      <c r="J16" s="247">
        <v>477143.82445400138</v>
      </c>
      <c r="K16" s="247">
        <v>6765741.3599189064</v>
      </c>
      <c r="L16" s="51">
        <v>99.7</v>
      </c>
      <c r="M16" s="51">
        <v>0.73</v>
      </c>
      <c r="N16" s="51">
        <v>0.15</v>
      </c>
      <c r="O16" s="51" t="s">
        <v>252</v>
      </c>
      <c r="P16" s="51">
        <v>0.01</v>
      </c>
      <c r="Q16" s="51">
        <v>0.05</v>
      </c>
      <c r="R16" s="51">
        <v>0.6</v>
      </c>
      <c r="S16" s="51" t="s">
        <v>252</v>
      </c>
      <c r="T16" s="51">
        <v>0.03</v>
      </c>
      <c r="U16" s="51" t="s">
        <v>252</v>
      </c>
      <c r="V16" s="51" t="s">
        <v>252</v>
      </c>
      <c r="W16" s="51" t="s">
        <v>252</v>
      </c>
      <c r="X16" s="51" t="s">
        <v>252</v>
      </c>
      <c r="Y16" s="51">
        <v>0.13</v>
      </c>
      <c r="Z16" s="55">
        <f t="shared" si="0"/>
        <v>0.14615589139419324</v>
      </c>
      <c r="AA16" s="51">
        <v>101.4</v>
      </c>
      <c r="AB16" s="51">
        <v>42.8</v>
      </c>
      <c r="AC16" s="51">
        <v>15</v>
      </c>
      <c r="AD16" s="51" t="s">
        <v>252</v>
      </c>
      <c r="AE16" s="51">
        <v>0.02</v>
      </c>
      <c r="AF16" s="51">
        <v>1.73</v>
      </c>
      <c r="AG16" s="51">
        <v>0.96</v>
      </c>
      <c r="AH16" s="51">
        <v>0.41</v>
      </c>
      <c r="AI16" s="51">
        <v>0.5</v>
      </c>
      <c r="AJ16" s="51">
        <v>1.76</v>
      </c>
      <c r="AK16" s="51">
        <v>1.6</v>
      </c>
      <c r="AL16" s="51">
        <v>0.3</v>
      </c>
      <c r="AM16" s="51">
        <v>8.1</v>
      </c>
      <c r="AN16" s="51">
        <v>0.12</v>
      </c>
      <c r="AO16" s="51">
        <v>2.2999999999999998</v>
      </c>
      <c r="AP16" s="51">
        <v>12.1</v>
      </c>
      <c r="AQ16" s="51" t="s">
        <v>253</v>
      </c>
      <c r="AR16" s="51">
        <v>2.71</v>
      </c>
      <c r="AS16" s="51">
        <v>8.5</v>
      </c>
      <c r="AT16" s="51" t="s">
        <v>253</v>
      </c>
      <c r="AU16" s="51">
        <v>2.27</v>
      </c>
      <c r="AV16" s="51">
        <v>1</v>
      </c>
      <c r="AW16" s="51">
        <v>6.5</v>
      </c>
      <c r="AX16" s="51">
        <v>0.6</v>
      </c>
      <c r="AY16" s="51">
        <v>0.24</v>
      </c>
      <c r="AZ16" s="51">
        <v>1.19</v>
      </c>
      <c r="BA16" s="51">
        <v>0.12</v>
      </c>
      <c r="BB16" s="51">
        <v>0.26</v>
      </c>
      <c r="BC16" s="51" t="s">
        <v>252</v>
      </c>
      <c r="BD16" s="51">
        <v>9.1</v>
      </c>
      <c r="BE16" s="51">
        <v>0.81</v>
      </c>
      <c r="BF16" s="51">
        <v>54</v>
      </c>
      <c r="BG16" s="64"/>
      <c r="BH16" s="73">
        <f t="shared" si="2"/>
        <v>125.86</v>
      </c>
      <c r="BI16" s="73">
        <f t="shared" si="3"/>
        <v>30.84</v>
      </c>
      <c r="BJ16" s="73">
        <f t="shared" si="4"/>
        <v>3.1651718983557546</v>
      </c>
      <c r="BK16" s="8">
        <f t="shared" si="1"/>
        <v>67.5</v>
      </c>
      <c r="BL16" s="8">
        <f t="shared" si="5"/>
        <v>56.9</v>
      </c>
      <c r="BM16" s="8">
        <f t="shared" si="6"/>
        <v>1.7551122663950711</v>
      </c>
      <c r="BN16" s="8">
        <f t="shared" si="7"/>
        <v>1.45</v>
      </c>
      <c r="BO16" s="8">
        <f t="shared" si="8"/>
        <v>0.16136800223497488</v>
      </c>
      <c r="BP16" s="64"/>
      <c r="BQ16">
        <v>-0.92</v>
      </c>
      <c r="BR16">
        <v>-0.62</v>
      </c>
      <c r="BS16">
        <v>0.76</v>
      </c>
      <c r="BT16">
        <v>0.5</v>
      </c>
      <c r="BU16">
        <v>-0.5</v>
      </c>
    </row>
    <row r="17" spans="1:73" x14ac:dyDescent="0.25">
      <c r="A17" t="s">
        <v>247</v>
      </c>
      <c r="B17" t="s">
        <v>268</v>
      </c>
      <c r="C17" s="70" t="s">
        <v>249</v>
      </c>
      <c r="D17" s="70" t="s">
        <v>249</v>
      </c>
      <c r="E17" s="70" t="s">
        <v>250</v>
      </c>
      <c r="F17" t="s">
        <v>251</v>
      </c>
      <c r="G17" s="71">
        <v>2105</v>
      </c>
      <c r="H17" s="72">
        <v>61.025868989999999</v>
      </c>
      <c r="I17" s="72">
        <v>-45.423021239999997</v>
      </c>
      <c r="J17" s="247">
        <v>477139.26186893444</v>
      </c>
      <c r="K17" s="247">
        <v>6765742.5767825143</v>
      </c>
      <c r="L17" s="51">
        <v>98.8</v>
      </c>
      <c r="M17" s="51">
        <v>0.4</v>
      </c>
      <c r="N17" s="51">
        <v>0.24</v>
      </c>
      <c r="O17" s="51" t="s">
        <v>252</v>
      </c>
      <c r="P17" s="51">
        <v>0.01</v>
      </c>
      <c r="Q17" s="51">
        <v>0.1</v>
      </c>
      <c r="R17" s="51">
        <v>0.35</v>
      </c>
      <c r="S17" s="51" t="s">
        <v>252</v>
      </c>
      <c r="T17" s="51">
        <v>0.03</v>
      </c>
      <c r="U17" s="51" t="s">
        <v>252</v>
      </c>
      <c r="V17" s="51" t="s">
        <v>252</v>
      </c>
      <c r="W17" s="51" t="s">
        <v>252</v>
      </c>
      <c r="X17" s="51">
        <v>0.01</v>
      </c>
      <c r="Y17" s="51">
        <v>0.18</v>
      </c>
      <c r="Z17" s="55">
        <f t="shared" si="0"/>
        <v>0.20517279809425587</v>
      </c>
      <c r="AA17" s="51">
        <v>100.12</v>
      </c>
      <c r="AB17" s="51">
        <v>43.1</v>
      </c>
      <c r="AC17" s="51">
        <v>25.6</v>
      </c>
      <c r="AD17" s="51">
        <v>10</v>
      </c>
      <c r="AE17" s="51">
        <v>0.01</v>
      </c>
      <c r="AF17" s="51">
        <v>0.99</v>
      </c>
      <c r="AG17" s="51">
        <v>0.72</v>
      </c>
      <c r="AH17" s="51">
        <v>0.21</v>
      </c>
      <c r="AI17" s="51">
        <v>0.4</v>
      </c>
      <c r="AJ17" s="51">
        <v>0.78</v>
      </c>
      <c r="AK17" s="51">
        <v>3</v>
      </c>
      <c r="AL17" s="51">
        <v>0.2</v>
      </c>
      <c r="AM17" s="51">
        <v>3.7</v>
      </c>
      <c r="AN17" s="51">
        <v>0.13</v>
      </c>
      <c r="AO17" s="51">
        <v>5.8</v>
      </c>
      <c r="AP17" s="51">
        <v>5.4</v>
      </c>
      <c r="AQ17" s="51" t="s">
        <v>253</v>
      </c>
      <c r="AR17" s="51">
        <v>1.27</v>
      </c>
      <c r="AS17" s="51">
        <v>5.5</v>
      </c>
      <c r="AT17" s="51" t="s">
        <v>253</v>
      </c>
      <c r="AU17" s="51">
        <v>1.04</v>
      </c>
      <c r="AV17" s="51">
        <v>1</v>
      </c>
      <c r="AW17" s="51">
        <v>11.2</v>
      </c>
      <c r="AX17" s="51">
        <v>0.4</v>
      </c>
      <c r="AY17" s="51">
        <v>0.12</v>
      </c>
      <c r="AZ17" s="51">
        <v>1.33</v>
      </c>
      <c r="BA17" s="51">
        <v>0.11</v>
      </c>
      <c r="BB17" s="51">
        <v>0.3</v>
      </c>
      <c r="BC17" s="51">
        <v>5</v>
      </c>
      <c r="BD17" s="51">
        <v>6.3</v>
      </c>
      <c r="BE17" s="51">
        <v>0.97</v>
      </c>
      <c r="BF17" s="51">
        <v>140</v>
      </c>
      <c r="BG17" s="64"/>
      <c r="BH17" s="73">
        <f t="shared" si="2"/>
        <v>115.35</v>
      </c>
      <c r="BI17" s="73">
        <f t="shared" si="3"/>
        <v>26.230000000000004</v>
      </c>
      <c r="BJ17" s="73">
        <f t="shared" si="4"/>
        <v>3.9832285115303985</v>
      </c>
      <c r="BK17" s="8">
        <f t="shared" si="1"/>
        <v>28.461538461538463</v>
      </c>
      <c r="BL17" s="8">
        <f t="shared" si="5"/>
        <v>146.20000000000002</v>
      </c>
      <c r="BM17" s="8">
        <f t="shared" si="6"/>
        <v>2.1649473726218416</v>
      </c>
      <c r="BN17" s="8">
        <f t="shared" si="7"/>
        <v>1.6300000000000001</v>
      </c>
      <c r="BO17" s="8">
        <f t="shared" si="8"/>
        <v>0.21218760440395784</v>
      </c>
      <c r="BP17" s="64"/>
      <c r="BQ17">
        <v>0.92</v>
      </c>
      <c r="BR17">
        <v>-0.23</v>
      </c>
      <c r="BS17">
        <v>0.03</v>
      </c>
      <c r="BT17">
        <v>0.5</v>
      </c>
      <c r="BU17">
        <v>-0.5</v>
      </c>
    </row>
    <row r="18" spans="1:73" x14ac:dyDescent="0.25">
      <c r="A18" t="s">
        <v>247</v>
      </c>
      <c r="B18" t="s">
        <v>269</v>
      </c>
      <c r="C18" s="70" t="s">
        <v>249</v>
      </c>
      <c r="D18" s="70" t="s">
        <v>249</v>
      </c>
      <c r="E18" s="70" t="s">
        <v>250</v>
      </c>
      <c r="F18" t="s">
        <v>251</v>
      </c>
      <c r="G18" s="71">
        <v>2440</v>
      </c>
      <c r="H18" s="72">
        <v>61.024663959999998</v>
      </c>
      <c r="I18" s="72">
        <v>-45.428843780000001</v>
      </c>
      <c r="J18" s="247">
        <v>476823.72679926135</v>
      </c>
      <c r="K18" s="247">
        <v>6765610.402958422</v>
      </c>
      <c r="L18" s="51">
        <v>100</v>
      </c>
      <c r="M18" s="51">
        <v>0.31</v>
      </c>
      <c r="N18" s="51">
        <v>0.08</v>
      </c>
      <c r="O18" s="51" t="s">
        <v>252</v>
      </c>
      <c r="P18" s="51">
        <v>0.01</v>
      </c>
      <c r="Q18" s="51">
        <v>0.05</v>
      </c>
      <c r="R18" s="51">
        <v>0.22</v>
      </c>
      <c r="S18" s="51" t="s">
        <v>252</v>
      </c>
      <c r="T18" s="51">
        <v>0.03</v>
      </c>
      <c r="U18" s="51" t="s">
        <v>252</v>
      </c>
      <c r="V18" s="51" t="s">
        <v>252</v>
      </c>
      <c r="W18" s="51" t="s">
        <v>252</v>
      </c>
      <c r="X18" s="51" t="s">
        <v>252</v>
      </c>
      <c r="Y18" s="51">
        <v>0.27</v>
      </c>
      <c r="Z18" s="55">
        <f t="shared" si="0"/>
        <v>0.27914274173858905</v>
      </c>
      <c r="AA18" s="51">
        <v>100.97</v>
      </c>
      <c r="AB18" s="51">
        <v>36.6</v>
      </c>
      <c r="AC18" s="51">
        <v>12.3</v>
      </c>
      <c r="AD18" s="51" t="s">
        <v>252</v>
      </c>
      <c r="AE18" s="51">
        <v>0.05</v>
      </c>
      <c r="AF18" s="51">
        <v>1.33</v>
      </c>
      <c r="AG18" s="51">
        <v>0.62</v>
      </c>
      <c r="AH18" s="51">
        <v>0.41</v>
      </c>
      <c r="AI18" s="51">
        <v>0.5</v>
      </c>
      <c r="AJ18" s="51">
        <v>1.88</v>
      </c>
      <c r="AK18" s="51">
        <v>0.8</v>
      </c>
      <c r="AL18" s="51">
        <v>0.21</v>
      </c>
      <c r="AM18" s="51">
        <v>8.6</v>
      </c>
      <c r="AN18" s="51">
        <v>0.08</v>
      </c>
      <c r="AO18" s="51">
        <v>2</v>
      </c>
      <c r="AP18" s="51">
        <v>10.6</v>
      </c>
      <c r="AQ18" s="51" t="s">
        <v>253</v>
      </c>
      <c r="AR18" s="51">
        <v>2.39</v>
      </c>
      <c r="AS18" s="51">
        <v>3.4</v>
      </c>
      <c r="AT18" s="51" t="s">
        <v>253</v>
      </c>
      <c r="AU18" s="51">
        <v>2.35</v>
      </c>
      <c r="AV18" s="51">
        <v>1</v>
      </c>
      <c r="AW18" s="51">
        <v>3.5</v>
      </c>
      <c r="AX18" s="51">
        <v>0.8</v>
      </c>
      <c r="AY18" s="51">
        <v>0.23</v>
      </c>
      <c r="AZ18" s="51">
        <v>1.3</v>
      </c>
      <c r="BA18" s="51">
        <v>0.08</v>
      </c>
      <c r="BB18" s="51">
        <v>0.24</v>
      </c>
      <c r="BC18" s="51" t="s">
        <v>252</v>
      </c>
      <c r="BD18" s="51">
        <v>6.1</v>
      </c>
      <c r="BE18" s="51">
        <v>0.6</v>
      </c>
      <c r="BF18" s="51">
        <v>27</v>
      </c>
      <c r="BG18" s="64"/>
      <c r="BH18" s="73">
        <f t="shared" si="2"/>
        <v>117.58999999999999</v>
      </c>
      <c r="BI18" s="73">
        <f t="shared" si="3"/>
        <v>22.380000000000003</v>
      </c>
      <c r="BJ18" s="73">
        <f t="shared" si="4"/>
        <v>4.1654054054054059</v>
      </c>
      <c r="BK18" s="8">
        <f t="shared" si="1"/>
        <v>107.5</v>
      </c>
      <c r="BL18" s="8">
        <f t="shared" si="5"/>
        <v>29.8</v>
      </c>
      <c r="BM18" s="8">
        <f t="shared" si="6"/>
        <v>1.4742162640762553</v>
      </c>
      <c r="BN18" s="8">
        <f t="shared" si="7"/>
        <v>1.54</v>
      </c>
      <c r="BO18" s="8">
        <f t="shared" si="8"/>
        <v>0.18752072083646307</v>
      </c>
      <c r="BP18" s="64"/>
      <c r="BQ18">
        <v>-0.92</v>
      </c>
      <c r="BR18">
        <v>-0.62</v>
      </c>
      <c r="BS18">
        <v>-0.35</v>
      </c>
      <c r="BT18">
        <v>0.5</v>
      </c>
      <c r="BU18">
        <v>-0.5</v>
      </c>
    </row>
    <row r="19" spans="1:73" x14ac:dyDescent="0.25">
      <c r="A19" t="s">
        <v>247</v>
      </c>
      <c r="B19" t="s">
        <v>270</v>
      </c>
      <c r="C19" s="70" t="s">
        <v>249</v>
      </c>
      <c r="D19" s="70" t="s">
        <v>249</v>
      </c>
      <c r="E19" s="70" t="s">
        <v>250</v>
      </c>
      <c r="F19" t="s">
        <v>251</v>
      </c>
      <c r="G19" s="71">
        <v>2440</v>
      </c>
      <c r="H19" s="72">
        <v>61.024660959999999</v>
      </c>
      <c r="I19" s="72">
        <v>-45.429128069999997</v>
      </c>
      <c r="J19" s="247">
        <v>476808.36069943692</v>
      </c>
      <c r="K19" s="247">
        <v>6765610.1694444921</v>
      </c>
      <c r="L19" s="51">
        <v>98.2</v>
      </c>
      <c r="M19" s="51">
        <v>0.51</v>
      </c>
      <c r="N19" s="51">
        <v>0.2</v>
      </c>
      <c r="O19" s="51" t="s">
        <v>252</v>
      </c>
      <c r="P19" s="51">
        <v>0.01</v>
      </c>
      <c r="Q19" s="51">
        <v>0.04</v>
      </c>
      <c r="R19" s="51">
        <v>0.39</v>
      </c>
      <c r="S19" s="51" t="s">
        <v>252</v>
      </c>
      <c r="T19" s="51">
        <v>0.04</v>
      </c>
      <c r="U19" s="51" t="s">
        <v>252</v>
      </c>
      <c r="V19" s="51" t="s">
        <v>252</v>
      </c>
      <c r="W19" s="51" t="s">
        <v>252</v>
      </c>
      <c r="X19" s="51">
        <v>0.01</v>
      </c>
      <c r="Y19" s="51">
        <v>0.26</v>
      </c>
      <c r="Z19" s="55">
        <f t="shared" si="0"/>
        <v>0.28116528400533919</v>
      </c>
      <c r="AA19" s="51">
        <v>99.66</v>
      </c>
      <c r="AB19" s="51">
        <v>63.2</v>
      </c>
      <c r="AC19" s="51">
        <v>19</v>
      </c>
      <c r="AD19" s="51" t="s">
        <v>252</v>
      </c>
      <c r="AE19" s="51">
        <v>0.05</v>
      </c>
      <c r="AF19" s="51">
        <v>2.2000000000000002</v>
      </c>
      <c r="AG19" s="51">
        <v>1.0900000000000001</v>
      </c>
      <c r="AH19" s="51">
        <v>0.66</v>
      </c>
      <c r="AI19" s="51">
        <v>0.7</v>
      </c>
      <c r="AJ19" s="51">
        <v>2.88</v>
      </c>
      <c r="AK19" s="51">
        <v>1.4</v>
      </c>
      <c r="AL19" s="51">
        <v>0.36</v>
      </c>
      <c r="AM19" s="51">
        <v>9.4</v>
      </c>
      <c r="AN19" s="51">
        <v>0.1</v>
      </c>
      <c r="AO19" s="51">
        <v>3.6</v>
      </c>
      <c r="AP19" s="51">
        <v>14</v>
      </c>
      <c r="AQ19" s="51" t="s">
        <v>253</v>
      </c>
      <c r="AR19" s="51">
        <v>2.84</v>
      </c>
      <c r="AS19" s="51">
        <v>6.4</v>
      </c>
      <c r="AT19" s="51" t="s">
        <v>253</v>
      </c>
      <c r="AU19" s="51">
        <v>3.34</v>
      </c>
      <c r="AV19" s="51">
        <v>1</v>
      </c>
      <c r="AW19" s="51">
        <v>5.2</v>
      </c>
      <c r="AX19" s="51">
        <v>0.5</v>
      </c>
      <c r="AY19" s="51">
        <v>0.37</v>
      </c>
      <c r="AZ19" s="51">
        <v>1.47</v>
      </c>
      <c r="BA19" s="51">
        <v>0.13</v>
      </c>
      <c r="BB19" s="51">
        <v>0.37</v>
      </c>
      <c r="BC19" s="51" t="s">
        <v>252</v>
      </c>
      <c r="BD19" s="51">
        <v>10</v>
      </c>
      <c r="BE19" s="51">
        <v>0.9</v>
      </c>
      <c r="BF19" s="51">
        <v>56</v>
      </c>
      <c r="BG19" s="64"/>
      <c r="BH19" s="73">
        <f t="shared" si="2"/>
        <v>124.42</v>
      </c>
      <c r="BI19" s="73">
        <f t="shared" si="3"/>
        <v>31.419999999999995</v>
      </c>
      <c r="BJ19" s="73">
        <f t="shared" si="4"/>
        <v>3.4402640264026401</v>
      </c>
      <c r="BK19" s="8">
        <f t="shared" si="1"/>
        <v>94</v>
      </c>
      <c r="BL19" s="8">
        <f t="shared" si="5"/>
        <v>60.1</v>
      </c>
      <c r="BM19" s="8">
        <f t="shared" si="6"/>
        <v>1.7788744720027396</v>
      </c>
      <c r="BN19" s="8">
        <f t="shared" si="7"/>
        <v>1.8399999999999999</v>
      </c>
      <c r="BO19" s="8">
        <f t="shared" si="8"/>
        <v>0.26481782300953643</v>
      </c>
      <c r="BP19" s="64"/>
      <c r="BQ19">
        <v>-0.92</v>
      </c>
      <c r="BR19">
        <v>-0.69</v>
      </c>
      <c r="BS19">
        <v>0.15</v>
      </c>
      <c r="BT19">
        <v>1</v>
      </c>
      <c r="BU19">
        <v>-0.5</v>
      </c>
    </row>
    <row r="20" spans="1:73" x14ac:dyDescent="0.25">
      <c r="A20" t="s">
        <v>247</v>
      </c>
      <c r="B20" t="s">
        <v>271</v>
      </c>
      <c r="C20" s="70" t="s">
        <v>249</v>
      </c>
      <c r="D20" s="70" t="s">
        <v>249</v>
      </c>
      <c r="E20" s="70" t="s">
        <v>250</v>
      </c>
      <c r="F20" t="s">
        <v>251</v>
      </c>
      <c r="G20" s="71">
        <v>2440</v>
      </c>
      <c r="H20" s="72">
        <v>61.024810000000002</v>
      </c>
      <c r="I20" s="72">
        <v>-45.429077139999997</v>
      </c>
      <c r="J20" s="247">
        <v>476811.22187372908</v>
      </c>
      <c r="K20" s="247">
        <v>6765626.751976952</v>
      </c>
      <c r="L20" s="51">
        <v>99.8</v>
      </c>
      <c r="M20" s="51">
        <v>0.27</v>
      </c>
      <c r="N20" s="51">
        <v>0.06</v>
      </c>
      <c r="O20" s="51" t="s">
        <v>252</v>
      </c>
      <c r="P20" s="51">
        <v>0.01</v>
      </c>
      <c r="Q20" s="51">
        <v>0.16</v>
      </c>
      <c r="R20" s="51">
        <v>0.02</v>
      </c>
      <c r="S20" s="51" t="s">
        <v>252</v>
      </c>
      <c r="T20" s="51">
        <v>0.03</v>
      </c>
      <c r="U20" s="51" t="s">
        <v>252</v>
      </c>
      <c r="V20" s="51" t="s">
        <v>252</v>
      </c>
      <c r="W20" s="51" t="s">
        <v>252</v>
      </c>
      <c r="X20" s="51" t="s">
        <v>252</v>
      </c>
      <c r="Y20" s="51">
        <v>0.27</v>
      </c>
      <c r="Z20" s="55">
        <f t="shared" si="0"/>
        <v>0.27713898469413067</v>
      </c>
      <c r="AA20" s="51">
        <v>100.62</v>
      </c>
      <c r="AB20" s="51">
        <v>14.6</v>
      </c>
      <c r="AC20" s="51">
        <v>15.6</v>
      </c>
      <c r="AD20" s="51" t="s">
        <v>252</v>
      </c>
      <c r="AE20" s="51">
        <v>0.02</v>
      </c>
      <c r="AF20" s="51">
        <v>1.63</v>
      </c>
      <c r="AG20" s="51">
        <v>0.76</v>
      </c>
      <c r="AH20" s="51">
        <v>0.54</v>
      </c>
      <c r="AI20" s="51">
        <v>0.4</v>
      </c>
      <c r="AJ20" s="51">
        <v>2.3199999999999998</v>
      </c>
      <c r="AK20" s="51">
        <v>0.9</v>
      </c>
      <c r="AL20" s="51">
        <v>0.27</v>
      </c>
      <c r="AM20" s="51">
        <v>9.3000000000000007</v>
      </c>
      <c r="AN20" s="51">
        <v>0.09</v>
      </c>
      <c r="AO20" s="51">
        <v>2.2999999999999998</v>
      </c>
      <c r="AP20" s="51">
        <v>14.1</v>
      </c>
      <c r="AQ20" s="51" t="s">
        <v>253</v>
      </c>
      <c r="AR20" s="51">
        <v>3.04</v>
      </c>
      <c r="AS20" s="51">
        <v>0.7</v>
      </c>
      <c r="AT20" s="51" t="s">
        <v>253</v>
      </c>
      <c r="AU20" s="51">
        <v>2.97</v>
      </c>
      <c r="AV20" s="51">
        <v>1</v>
      </c>
      <c r="AW20" s="51">
        <v>6.7</v>
      </c>
      <c r="AX20" s="51">
        <v>0.6</v>
      </c>
      <c r="AY20" s="51">
        <v>0.28999999999999998</v>
      </c>
      <c r="AZ20" s="51">
        <v>1.47</v>
      </c>
      <c r="BA20" s="51">
        <v>0.09</v>
      </c>
      <c r="BB20" s="51">
        <v>0.24</v>
      </c>
      <c r="BC20" s="51" t="s">
        <v>252</v>
      </c>
      <c r="BD20" s="51">
        <v>7.5</v>
      </c>
      <c r="BE20" s="51">
        <v>0.81</v>
      </c>
      <c r="BF20" s="51">
        <v>31</v>
      </c>
      <c r="BG20" s="64"/>
      <c r="BH20" s="73">
        <f t="shared" si="2"/>
        <v>118.58000000000001</v>
      </c>
      <c r="BI20" s="73">
        <f t="shared" si="3"/>
        <v>22.119999999999994</v>
      </c>
      <c r="BJ20" s="73">
        <f t="shared" si="4"/>
        <v>4.1844405594405591</v>
      </c>
      <c r="BK20" s="8">
        <f t="shared" si="1"/>
        <v>103.33333333333334</v>
      </c>
      <c r="BL20" s="8">
        <f t="shared" si="5"/>
        <v>33.9</v>
      </c>
      <c r="BM20" s="8">
        <f t="shared" si="6"/>
        <v>1.5301996982030821</v>
      </c>
      <c r="BN20" s="8">
        <f t="shared" si="7"/>
        <v>1.71</v>
      </c>
      <c r="BO20" s="8">
        <f t="shared" si="8"/>
        <v>0.23299611039215382</v>
      </c>
      <c r="BP20" s="64"/>
      <c r="BQ20">
        <v>-0.92</v>
      </c>
      <c r="BR20">
        <v>0.23</v>
      </c>
      <c r="BS20">
        <v>-0.94</v>
      </c>
      <c r="BT20">
        <v>0.5</v>
      </c>
      <c r="BU20">
        <v>-0.5</v>
      </c>
    </row>
    <row r="21" spans="1:73" x14ac:dyDescent="0.25">
      <c r="A21" t="s">
        <v>247</v>
      </c>
      <c r="B21" t="s">
        <v>272</v>
      </c>
      <c r="C21" s="70" t="s">
        <v>249</v>
      </c>
      <c r="D21" s="70" t="s">
        <v>249</v>
      </c>
      <c r="E21" s="70" t="s">
        <v>273</v>
      </c>
      <c r="F21" t="s">
        <v>251</v>
      </c>
      <c r="G21" s="71">
        <v>1280</v>
      </c>
      <c r="H21" s="72">
        <v>61.033722400000002</v>
      </c>
      <c r="I21" s="72">
        <v>-45.413096879999998</v>
      </c>
      <c r="J21" s="247">
        <v>477681.10275015881</v>
      </c>
      <c r="K21" s="247">
        <v>6766613.8935098713</v>
      </c>
      <c r="L21" s="51">
        <v>97.2</v>
      </c>
      <c r="M21" s="51">
        <v>1.36</v>
      </c>
      <c r="N21" s="51">
        <v>0.28999999999999998</v>
      </c>
      <c r="O21" s="51" t="s">
        <v>252</v>
      </c>
      <c r="P21" s="51">
        <v>0.01</v>
      </c>
      <c r="Q21" s="51">
        <v>0.64</v>
      </c>
      <c r="R21" s="51">
        <v>0.41</v>
      </c>
      <c r="S21" s="51" t="s">
        <v>252</v>
      </c>
      <c r="T21" s="51">
        <v>7.0000000000000007E-2</v>
      </c>
      <c r="U21" s="51">
        <v>0.03</v>
      </c>
      <c r="V21" s="51" t="s">
        <v>252</v>
      </c>
      <c r="W21" s="51">
        <v>0.01</v>
      </c>
      <c r="X21" s="51" t="s">
        <v>252</v>
      </c>
      <c r="Y21" s="51">
        <v>0.31</v>
      </c>
      <c r="Z21" s="55">
        <f t="shared" si="0"/>
        <v>0.34582075850917959</v>
      </c>
      <c r="AA21" s="51">
        <v>100.33</v>
      </c>
      <c r="AB21" s="51">
        <v>18.2</v>
      </c>
      <c r="AC21" s="51">
        <v>55.3</v>
      </c>
      <c r="AD21" s="51">
        <v>10</v>
      </c>
      <c r="AE21" s="51">
        <v>0.11</v>
      </c>
      <c r="AF21" s="51">
        <v>3.98</v>
      </c>
      <c r="AG21" s="51">
        <v>3.15</v>
      </c>
      <c r="AH21" s="51">
        <v>0.28999999999999998</v>
      </c>
      <c r="AI21" s="51">
        <v>2.8</v>
      </c>
      <c r="AJ21" s="51">
        <v>3.07</v>
      </c>
      <c r="AK21" s="51">
        <v>6.8</v>
      </c>
      <c r="AL21" s="51">
        <v>0.85</v>
      </c>
      <c r="AM21" s="51">
        <v>27</v>
      </c>
      <c r="AN21" s="51">
        <v>0.49</v>
      </c>
      <c r="AO21" s="51">
        <v>80.5</v>
      </c>
      <c r="AP21" s="51">
        <v>19.2</v>
      </c>
      <c r="AQ21" s="51" t="s">
        <v>253</v>
      </c>
      <c r="AR21" s="51">
        <v>5.55</v>
      </c>
      <c r="AS21" s="51">
        <v>34.299999999999997</v>
      </c>
      <c r="AT21" s="51" t="s">
        <v>253</v>
      </c>
      <c r="AU21" s="51">
        <v>3.78</v>
      </c>
      <c r="AV21" s="51">
        <v>3</v>
      </c>
      <c r="AW21" s="51">
        <v>8.3000000000000007</v>
      </c>
      <c r="AX21" s="51">
        <v>4.8</v>
      </c>
      <c r="AY21" s="51">
        <v>0.54</v>
      </c>
      <c r="AZ21" s="51">
        <v>15.55</v>
      </c>
      <c r="BA21" s="51">
        <v>0.53</v>
      </c>
      <c r="BB21" s="51">
        <v>3.43</v>
      </c>
      <c r="BC21" s="51" t="s">
        <v>252</v>
      </c>
      <c r="BD21" s="51">
        <v>23.4</v>
      </c>
      <c r="BE21" s="51">
        <v>3.72</v>
      </c>
      <c r="BF21" s="51">
        <v>357</v>
      </c>
      <c r="BG21" s="64"/>
      <c r="BH21" s="73">
        <f t="shared" si="2"/>
        <v>165.39</v>
      </c>
      <c r="BI21" s="73">
        <f t="shared" si="3"/>
        <v>115.94</v>
      </c>
      <c r="BJ21" s="73">
        <f t="shared" si="4"/>
        <v>3.1148390616475723</v>
      </c>
      <c r="BK21" s="8">
        <f t="shared" si="1"/>
        <v>55.102040816326529</v>
      </c>
      <c r="BL21" s="8">
        <f t="shared" si="5"/>
        <v>442.3</v>
      </c>
      <c r="BM21" s="8">
        <f t="shared" si="6"/>
        <v>2.6457169393696036</v>
      </c>
      <c r="BN21" s="8">
        <f t="shared" si="7"/>
        <v>18.98</v>
      </c>
      <c r="BO21" s="8">
        <f t="shared" si="8"/>
        <v>1.2782962080912739</v>
      </c>
      <c r="BP21" s="64"/>
      <c r="BQ21">
        <v>-0.92</v>
      </c>
      <c r="BR21">
        <v>3.92</v>
      </c>
      <c r="BS21">
        <v>0.21</v>
      </c>
      <c r="BT21">
        <v>2.5</v>
      </c>
      <c r="BU21">
        <v>-0.5</v>
      </c>
    </row>
    <row r="22" spans="1:73" s="104" customFormat="1" x14ac:dyDescent="0.25">
      <c r="A22" s="95" t="s">
        <v>247</v>
      </c>
      <c r="B22" s="95" t="s">
        <v>274</v>
      </c>
      <c r="C22" s="96" t="s">
        <v>249</v>
      </c>
      <c r="D22" s="70" t="s">
        <v>249</v>
      </c>
      <c r="E22" s="96" t="s">
        <v>273</v>
      </c>
      <c r="F22" s="95" t="s">
        <v>251</v>
      </c>
      <c r="G22" s="97">
        <v>1280</v>
      </c>
      <c r="H22" s="98">
        <v>61.033722400000002</v>
      </c>
      <c r="I22" s="98">
        <v>-45.413096879999998</v>
      </c>
      <c r="J22" s="248">
        <v>477681.10275015881</v>
      </c>
      <c r="K22" s="248">
        <v>6766613.8935098713</v>
      </c>
      <c r="L22" s="99">
        <v>95.2</v>
      </c>
      <c r="M22" s="99">
        <v>1.9</v>
      </c>
      <c r="N22" s="99">
        <v>0.61</v>
      </c>
      <c r="O22" s="99">
        <v>0.02</v>
      </c>
      <c r="P22" s="99">
        <v>0.02</v>
      </c>
      <c r="Q22" s="99">
        <v>1.1100000000000001</v>
      </c>
      <c r="R22" s="99">
        <v>0.38</v>
      </c>
      <c r="S22" s="99" t="s">
        <v>252</v>
      </c>
      <c r="T22" s="99">
        <v>0.24</v>
      </c>
      <c r="U22" s="99">
        <v>7.0000000000000007E-2</v>
      </c>
      <c r="V22" s="99" t="s">
        <v>275</v>
      </c>
      <c r="W22" s="99">
        <v>0.01</v>
      </c>
      <c r="X22" s="99">
        <v>0.01</v>
      </c>
      <c r="Y22" s="99">
        <v>0.41</v>
      </c>
      <c r="Z22" s="100">
        <f t="shared" si="0"/>
        <v>0.48690257970655787</v>
      </c>
      <c r="AA22" s="99">
        <v>99.98</v>
      </c>
      <c r="AB22" s="99">
        <v>72.400000000000006</v>
      </c>
      <c r="AC22" s="99">
        <v>66.7</v>
      </c>
      <c r="AD22" s="99">
        <v>10</v>
      </c>
      <c r="AE22" s="99">
        <v>0.16</v>
      </c>
      <c r="AF22" s="99">
        <v>15.8</v>
      </c>
      <c r="AG22" s="99">
        <v>13.85</v>
      </c>
      <c r="AH22" s="99">
        <v>0.6</v>
      </c>
      <c r="AI22" s="99">
        <v>7.4</v>
      </c>
      <c r="AJ22" s="99">
        <v>7.6</v>
      </c>
      <c r="AK22" s="99">
        <v>19.100000000000001</v>
      </c>
      <c r="AL22" s="99">
        <v>3.58</v>
      </c>
      <c r="AM22" s="99">
        <v>21</v>
      </c>
      <c r="AN22" s="99">
        <v>2.02</v>
      </c>
      <c r="AO22" s="99">
        <v>231</v>
      </c>
      <c r="AP22" s="99">
        <v>21.8</v>
      </c>
      <c r="AQ22" s="99" t="s">
        <v>253</v>
      </c>
      <c r="AR22" s="99">
        <v>5.74</v>
      </c>
      <c r="AS22" s="99">
        <v>31.2</v>
      </c>
      <c r="AT22" s="99" t="s">
        <v>253</v>
      </c>
      <c r="AU22" s="99">
        <v>5.97</v>
      </c>
      <c r="AV22" s="99">
        <v>12</v>
      </c>
      <c r="AW22" s="99">
        <v>17.3</v>
      </c>
      <c r="AX22" s="99">
        <v>15.1</v>
      </c>
      <c r="AY22" s="99">
        <v>1.88</v>
      </c>
      <c r="AZ22" s="99">
        <v>103</v>
      </c>
      <c r="BA22" s="99">
        <v>2.2200000000000002</v>
      </c>
      <c r="BB22" s="99">
        <v>7.64</v>
      </c>
      <c r="BC22" s="99" t="s">
        <v>252</v>
      </c>
      <c r="BD22" s="99">
        <v>88.8</v>
      </c>
      <c r="BE22" s="99">
        <v>16.2</v>
      </c>
      <c r="BF22" s="99">
        <v>1010</v>
      </c>
      <c r="BG22" s="101"/>
      <c r="BH22" s="102">
        <f t="shared" si="2"/>
        <v>190.50000000000003</v>
      </c>
      <c r="BI22" s="102">
        <f t="shared" si="3"/>
        <v>294.15999999999997</v>
      </c>
      <c r="BJ22" s="102">
        <f t="shared" si="4"/>
        <v>0.89650155871146497</v>
      </c>
      <c r="BK22" s="103">
        <f t="shared" si="1"/>
        <v>10.396039603960396</v>
      </c>
      <c r="BL22" s="103">
        <f t="shared" si="5"/>
        <v>1256.0999999999999</v>
      </c>
      <c r="BM22" s="103">
        <f t="shared" si="6"/>
        <v>3.0990242156108927</v>
      </c>
      <c r="BN22" s="103">
        <f t="shared" si="7"/>
        <v>110.64</v>
      </c>
      <c r="BO22" s="8">
        <f t="shared" si="8"/>
        <v>2.0439121671012543</v>
      </c>
      <c r="BP22" s="101"/>
      <c r="BQ22">
        <v>-0.67</v>
      </c>
      <c r="BR22">
        <v>7.54</v>
      </c>
      <c r="BS22">
        <v>0.12</v>
      </c>
      <c r="BT22">
        <v>11</v>
      </c>
      <c r="BU22">
        <v>0</v>
      </c>
    </row>
    <row r="23" spans="1:73" x14ac:dyDescent="0.25">
      <c r="A23" t="s">
        <v>247</v>
      </c>
      <c r="B23" t="s">
        <v>276</v>
      </c>
      <c r="C23" s="70" t="s">
        <v>249</v>
      </c>
      <c r="D23" s="70" t="s">
        <v>249</v>
      </c>
      <c r="E23" s="70" t="s">
        <v>273</v>
      </c>
      <c r="F23" t="s">
        <v>251</v>
      </c>
      <c r="G23" s="71">
        <v>1630</v>
      </c>
      <c r="H23" s="72">
        <v>61.032026459999997</v>
      </c>
      <c r="I23" s="72">
        <v>-45.417602080000002</v>
      </c>
      <c r="J23" s="247">
        <v>477436.4924170273</v>
      </c>
      <c r="K23" s="247">
        <v>6766426.5375476312</v>
      </c>
      <c r="L23" s="51">
        <v>99.9</v>
      </c>
      <c r="M23" s="51">
        <v>0.37</v>
      </c>
      <c r="N23" s="51">
        <v>0.1</v>
      </c>
      <c r="O23" s="51" t="s">
        <v>252</v>
      </c>
      <c r="P23" s="51">
        <v>0.01</v>
      </c>
      <c r="Q23" s="51">
        <v>0.08</v>
      </c>
      <c r="R23" s="51">
        <v>0.23</v>
      </c>
      <c r="S23" s="51" t="s">
        <v>252</v>
      </c>
      <c r="T23" s="51">
        <v>0.02</v>
      </c>
      <c r="U23" s="51" t="s">
        <v>252</v>
      </c>
      <c r="V23" s="51" t="s">
        <v>252</v>
      </c>
      <c r="W23" s="51" t="s">
        <v>252</v>
      </c>
      <c r="X23" s="51" t="s">
        <v>252</v>
      </c>
      <c r="Y23" s="51">
        <v>0.15</v>
      </c>
      <c r="Z23" s="55">
        <f t="shared" si="0"/>
        <v>0.16114649878304735</v>
      </c>
      <c r="AA23" s="51">
        <v>100.86</v>
      </c>
      <c r="AB23" s="51">
        <v>15.9</v>
      </c>
      <c r="AC23" s="51">
        <v>4.4000000000000004</v>
      </c>
      <c r="AD23" s="51">
        <v>10</v>
      </c>
      <c r="AE23" s="51" t="s">
        <v>252</v>
      </c>
      <c r="AF23" s="51">
        <v>1.03</v>
      </c>
      <c r="AG23" s="51">
        <v>0.63</v>
      </c>
      <c r="AH23" s="51">
        <v>0.21</v>
      </c>
      <c r="AI23" s="51">
        <v>0.2</v>
      </c>
      <c r="AJ23" s="51">
        <v>1.27</v>
      </c>
      <c r="AK23" s="51">
        <v>1.8</v>
      </c>
      <c r="AL23" s="51">
        <v>0.18</v>
      </c>
      <c r="AM23" s="51">
        <v>3.6</v>
      </c>
      <c r="AN23" s="51">
        <v>7.0000000000000007E-2</v>
      </c>
      <c r="AO23" s="51">
        <v>1.7</v>
      </c>
      <c r="AP23" s="51">
        <v>3.4</v>
      </c>
      <c r="AQ23" s="51" t="s">
        <v>253</v>
      </c>
      <c r="AR23" s="51">
        <v>0.84</v>
      </c>
      <c r="AS23" s="51">
        <v>3</v>
      </c>
      <c r="AT23" s="51" t="s">
        <v>253</v>
      </c>
      <c r="AU23" s="51">
        <v>0.98</v>
      </c>
      <c r="AV23" s="51">
        <v>1</v>
      </c>
      <c r="AW23" s="51">
        <v>4.7</v>
      </c>
      <c r="AX23" s="51">
        <v>0.6</v>
      </c>
      <c r="AY23" s="51">
        <v>0.15</v>
      </c>
      <c r="AZ23" s="51">
        <v>0.76</v>
      </c>
      <c r="BA23" s="51">
        <v>7.0000000000000007E-2</v>
      </c>
      <c r="BB23" s="51">
        <v>0.23</v>
      </c>
      <c r="BC23" s="51" t="s">
        <v>252</v>
      </c>
      <c r="BD23" s="51">
        <v>6.2</v>
      </c>
      <c r="BE23" s="51">
        <v>0.56000000000000005</v>
      </c>
      <c r="BF23" s="51">
        <v>67</v>
      </c>
      <c r="BG23" s="64"/>
      <c r="BH23" s="73">
        <f t="shared" si="2"/>
        <v>110.36999999999999</v>
      </c>
      <c r="BI23" s="73">
        <f t="shared" si="3"/>
        <v>16.990000000000002</v>
      </c>
      <c r="BJ23" s="73">
        <f t="shared" si="4"/>
        <v>1.6535433070866141</v>
      </c>
      <c r="BK23" s="8">
        <f t="shared" si="1"/>
        <v>51.428571428571423</v>
      </c>
      <c r="BL23" s="8">
        <f t="shared" si="5"/>
        <v>69.3</v>
      </c>
      <c r="BM23" s="8">
        <f t="shared" si="6"/>
        <v>1.8407332346118068</v>
      </c>
      <c r="BN23" s="8">
        <f t="shared" si="7"/>
        <v>0.99</v>
      </c>
      <c r="BO23" s="8">
        <f t="shared" si="8"/>
        <v>-4.3648054024500883E-3</v>
      </c>
      <c r="BP23" s="64"/>
      <c r="BQ23">
        <v>-0.92</v>
      </c>
      <c r="BR23">
        <v>-0.38</v>
      </c>
      <c r="BS23">
        <v>-0.32</v>
      </c>
      <c r="BT23">
        <v>0</v>
      </c>
      <c r="BU23">
        <v>-0.5</v>
      </c>
    </row>
    <row r="24" spans="1:73" s="104" customFormat="1" x14ac:dyDescent="0.25">
      <c r="A24" s="104" t="s">
        <v>247</v>
      </c>
      <c r="B24" s="104" t="s">
        <v>277</v>
      </c>
      <c r="C24" s="105" t="s">
        <v>249</v>
      </c>
      <c r="D24" s="70" t="s">
        <v>249</v>
      </c>
      <c r="E24" s="105" t="s">
        <v>273</v>
      </c>
      <c r="F24" s="104" t="s">
        <v>251</v>
      </c>
      <c r="G24" s="97">
        <v>1630</v>
      </c>
      <c r="H24" s="98">
        <v>61.032126030000001</v>
      </c>
      <c r="I24" s="98">
        <v>-45.417733730000002</v>
      </c>
      <c r="J24" s="248">
        <v>477429.4500308212</v>
      </c>
      <c r="K24" s="248">
        <v>6766437.6733689019</v>
      </c>
      <c r="L24" s="106">
        <v>99.8</v>
      </c>
      <c r="M24" s="106">
        <v>0.22</v>
      </c>
      <c r="N24" s="106">
        <v>0.09</v>
      </c>
      <c r="O24" s="106" t="s">
        <v>252</v>
      </c>
      <c r="P24" s="106">
        <v>0.01</v>
      </c>
      <c r="Q24" s="106">
        <v>0.09</v>
      </c>
      <c r="R24" s="106">
        <v>0.06</v>
      </c>
      <c r="S24" s="106" t="s">
        <v>252</v>
      </c>
      <c r="T24" s="106">
        <v>0.01</v>
      </c>
      <c r="U24" s="106" t="s">
        <v>252</v>
      </c>
      <c r="V24" s="106" t="s">
        <v>252</v>
      </c>
      <c r="W24" s="106" t="s">
        <v>252</v>
      </c>
      <c r="X24" s="106" t="s">
        <v>252</v>
      </c>
      <c r="Y24" s="106">
        <v>0.19</v>
      </c>
      <c r="Z24" s="107">
        <f t="shared" si="0"/>
        <v>0.20014462026081817</v>
      </c>
      <c r="AA24" s="106">
        <v>100.47</v>
      </c>
      <c r="AB24" s="106">
        <v>7.9</v>
      </c>
      <c r="AC24" s="106">
        <v>3.7</v>
      </c>
      <c r="AD24" s="106" t="s">
        <v>252</v>
      </c>
      <c r="AE24" s="106">
        <v>0.02</v>
      </c>
      <c r="AF24" s="106">
        <v>0.63</v>
      </c>
      <c r="AG24" s="106">
        <v>0.38</v>
      </c>
      <c r="AH24" s="106">
        <v>0.16</v>
      </c>
      <c r="AI24" s="106">
        <v>0.3</v>
      </c>
      <c r="AJ24" s="106">
        <v>0.85</v>
      </c>
      <c r="AK24" s="106">
        <v>1.3</v>
      </c>
      <c r="AL24" s="106">
        <v>0.11</v>
      </c>
      <c r="AM24" s="106">
        <v>3.2</v>
      </c>
      <c r="AN24" s="106">
        <v>0.04</v>
      </c>
      <c r="AO24" s="106">
        <v>1.4</v>
      </c>
      <c r="AP24" s="106">
        <v>4.0999999999999996</v>
      </c>
      <c r="AQ24" s="106" t="s">
        <v>253</v>
      </c>
      <c r="AR24" s="106">
        <v>0.9</v>
      </c>
      <c r="AS24" s="106">
        <v>1</v>
      </c>
      <c r="AT24" s="106" t="s">
        <v>253</v>
      </c>
      <c r="AU24" s="106">
        <v>0.9</v>
      </c>
      <c r="AV24" s="106">
        <v>1</v>
      </c>
      <c r="AW24" s="106">
        <v>3</v>
      </c>
      <c r="AX24" s="106">
        <v>0.6</v>
      </c>
      <c r="AY24" s="106">
        <v>0.1</v>
      </c>
      <c r="AZ24" s="106">
        <v>0.66</v>
      </c>
      <c r="BA24" s="106">
        <v>0.04</v>
      </c>
      <c r="BB24" s="106">
        <v>0.25</v>
      </c>
      <c r="BC24" s="106" t="s">
        <v>252</v>
      </c>
      <c r="BD24" s="106">
        <v>3.2</v>
      </c>
      <c r="BE24" s="106">
        <v>0.32</v>
      </c>
      <c r="BF24" s="106">
        <v>43</v>
      </c>
      <c r="BG24" s="101"/>
      <c r="BH24" s="102">
        <f t="shared" si="2"/>
        <v>107.69999999999999</v>
      </c>
      <c r="BI24" s="102">
        <f t="shared" si="3"/>
        <v>10.61</v>
      </c>
      <c r="BJ24" s="102">
        <f t="shared" si="4"/>
        <v>2.8651452282157677</v>
      </c>
      <c r="BK24" s="103">
        <f t="shared" si="1"/>
        <v>80</v>
      </c>
      <c r="BL24" s="103">
        <f t="shared" si="5"/>
        <v>45</v>
      </c>
      <c r="BM24" s="103">
        <f t="shared" si="6"/>
        <v>1.6532125137753437</v>
      </c>
      <c r="BN24" s="103">
        <f t="shared" si="7"/>
        <v>0.91</v>
      </c>
      <c r="BO24" s="8">
        <f t="shared" si="8"/>
        <v>-4.0958607678906384E-2</v>
      </c>
      <c r="BP24" s="101"/>
      <c r="BQ24">
        <v>-0.92</v>
      </c>
      <c r="BR24">
        <v>-0.31</v>
      </c>
      <c r="BS24">
        <v>-0.82</v>
      </c>
      <c r="BT24">
        <v>-0.5</v>
      </c>
      <c r="BU24">
        <v>-0.5</v>
      </c>
    </row>
    <row r="25" spans="1:73" x14ac:dyDescent="0.25">
      <c r="A25" t="s">
        <v>247</v>
      </c>
      <c r="B25" t="s">
        <v>278</v>
      </c>
      <c r="C25" s="70" t="s">
        <v>249</v>
      </c>
      <c r="D25" s="70" t="s">
        <v>249</v>
      </c>
      <c r="E25" s="70" t="s">
        <v>273</v>
      </c>
      <c r="F25" t="s">
        <v>251</v>
      </c>
      <c r="G25" s="71">
        <v>1630</v>
      </c>
      <c r="H25" s="72">
        <v>61.032207640000003</v>
      </c>
      <c r="I25" s="72">
        <v>-45.41783083</v>
      </c>
      <c r="J25" s="247">
        <v>477424.261671794</v>
      </c>
      <c r="K25" s="247">
        <v>6766446.7968458552</v>
      </c>
      <c r="L25" s="51">
        <v>98.4</v>
      </c>
      <c r="M25" s="51">
        <v>0.26</v>
      </c>
      <c r="N25" s="51">
        <v>0.11</v>
      </c>
      <c r="O25" s="51" t="s">
        <v>252</v>
      </c>
      <c r="P25" s="51">
        <v>0.01</v>
      </c>
      <c r="Q25" s="51">
        <v>0.05</v>
      </c>
      <c r="R25" s="51">
        <v>0.16</v>
      </c>
      <c r="S25" s="51" t="s">
        <v>252</v>
      </c>
      <c r="T25" s="51">
        <v>0.03</v>
      </c>
      <c r="U25" s="51" t="s">
        <v>252</v>
      </c>
      <c r="V25" s="51" t="s">
        <v>252</v>
      </c>
      <c r="W25" s="51" t="s">
        <v>252</v>
      </c>
      <c r="X25" s="51" t="s">
        <v>252</v>
      </c>
      <c r="Y25" s="51">
        <v>0.33</v>
      </c>
      <c r="Z25" s="55">
        <f t="shared" si="0"/>
        <v>0.34214837730527659</v>
      </c>
      <c r="AA25" s="51">
        <v>99.35</v>
      </c>
      <c r="AB25" s="51">
        <v>22.7</v>
      </c>
      <c r="AC25" s="51">
        <v>5.2</v>
      </c>
      <c r="AD25" s="51" t="s">
        <v>252</v>
      </c>
      <c r="AE25" s="51">
        <v>0.01</v>
      </c>
      <c r="AF25" s="51">
        <v>2.33</v>
      </c>
      <c r="AG25" s="51">
        <v>1.49</v>
      </c>
      <c r="AH25" s="51">
        <v>0.35</v>
      </c>
      <c r="AI25" s="51">
        <v>0.2</v>
      </c>
      <c r="AJ25" s="51">
        <v>2.52</v>
      </c>
      <c r="AK25" s="51">
        <v>1.6</v>
      </c>
      <c r="AL25" s="51">
        <v>0.47</v>
      </c>
      <c r="AM25" s="51">
        <v>5.2</v>
      </c>
      <c r="AN25" s="51">
        <v>0.16</v>
      </c>
      <c r="AO25" s="51">
        <v>2.8</v>
      </c>
      <c r="AP25" s="51">
        <v>8</v>
      </c>
      <c r="AQ25" s="51" t="s">
        <v>253</v>
      </c>
      <c r="AR25" s="51">
        <v>1.61</v>
      </c>
      <c r="AS25" s="51">
        <v>2.4</v>
      </c>
      <c r="AT25" s="51" t="s">
        <v>253</v>
      </c>
      <c r="AU25" s="51">
        <v>1.64</v>
      </c>
      <c r="AV25" s="51">
        <v>1</v>
      </c>
      <c r="AW25" s="51">
        <v>3.9</v>
      </c>
      <c r="AX25" s="51">
        <v>0.8</v>
      </c>
      <c r="AY25" s="51">
        <v>0.34</v>
      </c>
      <c r="AZ25" s="51">
        <v>1</v>
      </c>
      <c r="BA25" s="51">
        <v>0.17</v>
      </c>
      <c r="BB25" s="51">
        <v>0.35</v>
      </c>
      <c r="BC25" s="51" t="s">
        <v>252</v>
      </c>
      <c r="BD25" s="51">
        <v>15.1</v>
      </c>
      <c r="BE25" s="51">
        <v>1.25</v>
      </c>
      <c r="BF25" s="51">
        <v>59</v>
      </c>
      <c r="BG25" s="64"/>
      <c r="BH25" s="73">
        <f t="shared" si="2"/>
        <v>114.18999999999998</v>
      </c>
      <c r="BI25" s="73">
        <f t="shared" si="3"/>
        <v>28.440000000000005</v>
      </c>
      <c r="BJ25" s="73">
        <f t="shared" si="4"/>
        <v>1.1506335053965275</v>
      </c>
      <c r="BK25" s="8">
        <f t="shared" si="1"/>
        <v>32.5</v>
      </c>
      <c r="BL25" s="8">
        <f t="shared" si="5"/>
        <v>62.599999999999994</v>
      </c>
      <c r="BM25" s="8">
        <f t="shared" si="6"/>
        <v>1.7965743332104296</v>
      </c>
      <c r="BN25" s="8">
        <f t="shared" si="7"/>
        <v>1.35</v>
      </c>
      <c r="BO25" s="8">
        <f t="shared" si="8"/>
        <v>0.13033376849500614</v>
      </c>
      <c r="BP25" s="64"/>
      <c r="BQ25">
        <v>-0.92</v>
      </c>
      <c r="BR25">
        <v>-0.62</v>
      </c>
      <c r="BS25">
        <v>-0.53</v>
      </c>
      <c r="BT25">
        <v>0.5</v>
      </c>
      <c r="BU25">
        <v>-0.5</v>
      </c>
    </row>
    <row r="26" spans="1:73" x14ac:dyDescent="0.25">
      <c r="A26" t="s">
        <v>247</v>
      </c>
      <c r="B26" t="s">
        <v>279</v>
      </c>
      <c r="C26" s="70" t="s">
        <v>249</v>
      </c>
      <c r="D26" s="70" t="s">
        <v>249</v>
      </c>
      <c r="E26" s="70" t="s">
        <v>280</v>
      </c>
      <c r="F26" t="s">
        <v>251</v>
      </c>
      <c r="G26" s="71">
        <v>215</v>
      </c>
      <c r="H26" s="72">
        <v>61.025829360000003</v>
      </c>
      <c r="I26" s="72">
        <v>-45.386966630000003</v>
      </c>
      <c r="J26" s="247">
        <v>479087.66760094749</v>
      </c>
      <c r="K26" s="247">
        <v>6765726.1137819309</v>
      </c>
      <c r="L26" s="51">
        <v>97</v>
      </c>
      <c r="M26" s="51">
        <v>0.82</v>
      </c>
      <c r="N26" s="51">
        <v>0.55000000000000004</v>
      </c>
      <c r="O26" s="51">
        <v>0.11</v>
      </c>
      <c r="P26" s="51">
        <v>0.08</v>
      </c>
      <c r="Q26" s="51">
        <v>0.32</v>
      </c>
      <c r="R26" s="51">
        <v>0.46</v>
      </c>
      <c r="S26" s="51" t="s">
        <v>252</v>
      </c>
      <c r="T26" s="51">
        <v>0.05</v>
      </c>
      <c r="U26" s="51">
        <v>0.06</v>
      </c>
      <c r="V26" s="51">
        <v>0.02</v>
      </c>
      <c r="W26" s="51" t="s">
        <v>252</v>
      </c>
      <c r="X26" s="51">
        <v>0.01</v>
      </c>
      <c r="Y26" s="51">
        <v>0.21</v>
      </c>
      <c r="Z26" s="55">
        <f t="shared" si="0"/>
        <v>0.27863588145167173</v>
      </c>
      <c r="AA26" s="51">
        <v>99.69</v>
      </c>
      <c r="AB26" s="51">
        <v>96.2</v>
      </c>
      <c r="AC26" s="51">
        <v>124</v>
      </c>
      <c r="AD26" s="51" t="s">
        <v>252</v>
      </c>
      <c r="AE26" s="51">
        <v>0.03</v>
      </c>
      <c r="AF26" s="51">
        <v>4.83</v>
      </c>
      <c r="AG26" s="51">
        <v>2.36</v>
      </c>
      <c r="AH26" s="51">
        <v>1.31</v>
      </c>
      <c r="AI26" s="51">
        <v>1.6</v>
      </c>
      <c r="AJ26" s="51">
        <v>6.67</v>
      </c>
      <c r="AK26" s="51">
        <v>4.5</v>
      </c>
      <c r="AL26" s="51">
        <v>0.82</v>
      </c>
      <c r="AM26" s="51">
        <v>77.099999999999994</v>
      </c>
      <c r="AN26" s="51">
        <v>0.27</v>
      </c>
      <c r="AO26" s="51">
        <v>192</v>
      </c>
      <c r="AP26" s="51">
        <v>56</v>
      </c>
      <c r="AQ26" s="51" t="s">
        <v>253</v>
      </c>
      <c r="AR26" s="51">
        <v>14.9</v>
      </c>
      <c r="AS26" s="51">
        <v>8.9</v>
      </c>
      <c r="AT26" s="51" t="s">
        <v>253</v>
      </c>
      <c r="AU26" s="51">
        <v>9.2100000000000009</v>
      </c>
      <c r="AV26" s="51">
        <v>1</v>
      </c>
      <c r="AW26" s="51">
        <v>39.1</v>
      </c>
      <c r="AX26" s="51">
        <v>3.1</v>
      </c>
      <c r="AY26" s="51">
        <v>0.9</v>
      </c>
      <c r="AZ26" s="51">
        <v>4.68</v>
      </c>
      <c r="BA26" s="51">
        <v>0.31</v>
      </c>
      <c r="BB26" s="51">
        <v>9.8699999999999992</v>
      </c>
      <c r="BC26" s="51">
        <v>5</v>
      </c>
      <c r="BD26" s="51">
        <v>25.4</v>
      </c>
      <c r="BE26" s="51">
        <v>2.27</v>
      </c>
      <c r="BF26" s="51">
        <v>194</v>
      </c>
      <c r="BG26" s="64"/>
      <c r="BH26" s="73">
        <f t="shared" si="2"/>
        <v>175.50000000000003</v>
      </c>
      <c r="BI26" s="73">
        <f t="shared" si="3"/>
        <v>133.54</v>
      </c>
      <c r="BJ26" s="73">
        <f t="shared" si="4"/>
        <v>7.7822927879440247</v>
      </c>
      <c r="BK26" s="8">
        <f t="shared" si="1"/>
        <v>285.55555555555554</v>
      </c>
      <c r="BL26" s="8">
        <f t="shared" si="5"/>
        <v>389.1</v>
      </c>
      <c r="BM26" s="8">
        <f t="shared" si="6"/>
        <v>2.5900612308037427</v>
      </c>
      <c r="BN26" s="8">
        <f t="shared" si="7"/>
        <v>14.549999999999999</v>
      </c>
      <c r="BO26" s="8">
        <f t="shared" si="8"/>
        <v>1.1628629933219261</v>
      </c>
      <c r="BP26" s="64"/>
      <c r="BQ26">
        <v>0.83</v>
      </c>
      <c r="BR26">
        <v>1.46</v>
      </c>
      <c r="BS26">
        <v>0.35</v>
      </c>
      <c r="BT26">
        <v>1.5</v>
      </c>
      <c r="BU26">
        <v>3</v>
      </c>
    </row>
    <row r="27" spans="1:73" x14ac:dyDescent="0.25">
      <c r="A27" t="s">
        <v>247</v>
      </c>
      <c r="B27" t="s">
        <v>281</v>
      </c>
      <c r="C27" s="70" t="s">
        <v>249</v>
      </c>
      <c r="D27" s="70" t="s">
        <v>249</v>
      </c>
      <c r="E27" s="70" t="s">
        <v>280</v>
      </c>
      <c r="F27" t="s">
        <v>251</v>
      </c>
      <c r="G27" s="71">
        <v>215</v>
      </c>
      <c r="H27" s="72">
        <v>61.025890560000001</v>
      </c>
      <c r="I27" s="72">
        <v>-45.387018060000003</v>
      </c>
      <c r="J27" s="247">
        <v>479084.92854146019</v>
      </c>
      <c r="K27" s="247">
        <v>6765732.9468826801</v>
      </c>
      <c r="L27" s="51">
        <v>97.7</v>
      </c>
      <c r="M27" s="51">
        <v>0.7</v>
      </c>
      <c r="N27" s="51">
        <v>0.57999999999999996</v>
      </c>
      <c r="O27" s="51">
        <v>0.11</v>
      </c>
      <c r="P27" s="51">
        <v>7.0000000000000007E-2</v>
      </c>
      <c r="Q27" s="51">
        <v>0.37</v>
      </c>
      <c r="R27" s="51">
        <v>0.33</v>
      </c>
      <c r="S27" s="51" t="s">
        <v>252</v>
      </c>
      <c r="T27" s="51">
        <v>0.04</v>
      </c>
      <c r="U27" s="51">
        <v>0.05</v>
      </c>
      <c r="V27" s="51">
        <v>0.01</v>
      </c>
      <c r="W27" s="51" t="s">
        <v>252</v>
      </c>
      <c r="X27" s="51">
        <v>0.01</v>
      </c>
      <c r="Y27" s="51">
        <v>0.17</v>
      </c>
      <c r="Z27" s="55">
        <f t="shared" si="0"/>
        <v>0.23938608989684815</v>
      </c>
      <c r="AA27" s="51">
        <v>100.14</v>
      </c>
      <c r="AB27" s="51">
        <v>60.7</v>
      </c>
      <c r="AC27" s="51">
        <v>29.3</v>
      </c>
      <c r="AD27" s="51">
        <v>10</v>
      </c>
      <c r="AE27" s="51">
        <v>0.1</v>
      </c>
      <c r="AF27" s="51">
        <v>2.67</v>
      </c>
      <c r="AG27" s="51">
        <v>1.75</v>
      </c>
      <c r="AH27" s="51">
        <v>0.49</v>
      </c>
      <c r="AI27" s="51">
        <v>1.2</v>
      </c>
      <c r="AJ27" s="51">
        <v>2.78</v>
      </c>
      <c r="AK27" s="51">
        <v>3.7</v>
      </c>
      <c r="AL27" s="51">
        <v>0.52</v>
      </c>
      <c r="AM27" s="51">
        <v>17.399999999999999</v>
      </c>
      <c r="AN27" s="51">
        <v>0.21</v>
      </c>
      <c r="AO27" s="51">
        <v>39.4</v>
      </c>
      <c r="AP27" s="51">
        <v>14.6</v>
      </c>
      <c r="AQ27" s="51" t="s">
        <v>253</v>
      </c>
      <c r="AR27" s="51">
        <v>3.56</v>
      </c>
      <c r="AS27" s="51">
        <v>7.2</v>
      </c>
      <c r="AT27" s="51" t="s">
        <v>253</v>
      </c>
      <c r="AU27" s="51">
        <v>2.88</v>
      </c>
      <c r="AV27" s="51">
        <v>1</v>
      </c>
      <c r="AW27" s="51">
        <v>34.4</v>
      </c>
      <c r="AX27" s="51">
        <v>1.3</v>
      </c>
      <c r="AY27" s="51">
        <v>0.4</v>
      </c>
      <c r="AZ27" s="51">
        <v>5.56</v>
      </c>
      <c r="BA27" s="51">
        <v>0.24</v>
      </c>
      <c r="BB27" s="51">
        <v>1.48</v>
      </c>
      <c r="BC27" s="51">
        <v>6</v>
      </c>
      <c r="BD27" s="51">
        <v>18.2</v>
      </c>
      <c r="BE27" s="51">
        <v>1.58</v>
      </c>
      <c r="BF27" s="51">
        <v>134</v>
      </c>
      <c r="BG27" s="64"/>
      <c r="BH27" s="73">
        <f t="shared" si="2"/>
        <v>129.01</v>
      </c>
      <c r="BI27" s="73">
        <f t="shared" si="3"/>
        <v>62.13000000000001</v>
      </c>
      <c r="BJ27" s="73">
        <f t="shared" si="4"/>
        <v>2.7770825185764565</v>
      </c>
      <c r="BK27" s="8">
        <f t="shared" si="1"/>
        <v>82.857142857142847</v>
      </c>
      <c r="BL27" s="8">
        <f t="shared" si="5"/>
        <v>174.70000000000002</v>
      </c>
      <c r="BM27" s="8">
        <f t="shared" si="6"/>
        <v>2.2422929049829308</v>
      </c>
      <c r="BN27" s="8">
        <f t="shared" si="7"/>
        <v>7.0399999999999991</v>
      </c>
      <c r="BO27" s="8">
        <f t="shared" si="8"/>
        <v>0.84757265914211211</v>
      </c>
      <c r="BP27" s="64"/>
      <c r="BQ27">
        <v>0.83</v>
      </c>
      <c r="BR27">
        <v>1.85</v>
      </c>
      <c r="BS27">
        <v>-0.03</v>
      </c>
      <c r="BT27">
        <v>1</v>
      </c>
      <c r="BU27">
        <v>2.5</v>
      </c>
    </row>
    <row r="28" spans="1:73" x14ac:dyDescent="0.25">
      <c r="A28" t="s">
        <v>247</v>
      </c>
      <c r="B28" t="s">
        <v>282</v>
      </c>
      <c r="C28" s="70" t="s">
        <v>249</v>
      </c>
      <c r="D28" s="70" t="s">
        <v>249</v>
      </c>
      <c r="E28" s="70" t="s">
        <v>280</v>
      </c>
      <c r="F28" t="s">
        <v>251</v>
      </c>
      <c r="G28" s="71">
        <v>215</v>
      </c>
      <c r="H28" s="72">
        <v>61.025986379999999</v>
      </c>
      <c r="I28" s="72">
        <v>-45.386997489999999</v>
      </c>
      <c r="J28" s="247">
        <v>479086.10323437618</v>
      </c>
      <c r="K28" s="247">
        <v>6765743.6130925287</v>
      </c>
      <c r="L28" s="51">
        <v>98.4</v>
      </c>
      <c r="M28" s="51">
        <v>0.72</v>
      </c>
      <c r="N28" s="51">
        <v>0.15</v>
      </c>
      <c r="O28" s="51">
        <v>0.01</v>
      </c>
      <c r="P28" s="51">
        <v>0.02</v>
      </c>
      <c r="Q28" s="51">
        <v>0.15</v>
      </c>
      <c r="R28" s="51">
        <v>0.44</v>
      </c>
      <c r="S28" s="51" t="s">
        <v>252</v>
      </c>
      <c r="T28" s="51">
        <v>0.03</v>
      </c>
      <c r="U28" s="51">
        <v>0.01</v>
      </c>
      <c r="V28" s="51">
        <v>0.01</v>
      </c>
      <c r="W28" s="51" t="s">
        <v>252</v>
      </c>
      <c r="X28" s="51" t="s">
        <v>252</v>
      </c>
      <c r="Y28" s="51">
        <v>0.16</v>
      </c>
      <c r="Z28" s="55">
        <f t="shared" si="0"/>
        <v>0.17728360495494885</v>
      </c>
      <c r="AA28" s="51">
        <v>100.1</v>
      </c>
      <c r="AB28" s="51">
        <v>35.299999999999997</v>
      </c>
      <c r="AC28" s="51">
        <v>13.8</v>
      </c>
      <c r="AD28" s="51" t="s">
        <v>252</v>
      </c>
      <c r="AE28" s="51">
        <v>0.02</v>
      </c>
      <c r="AF28" s="51">
        <v>1.08</v>
      </c>
      <c r="AG28" s="51">
        <v>0.67</v>
      </c>
      <c r="AH28" s="51">
        <v>0.23</v>
      </c>
      <c r="AI28" s="51">
        <v>0.8</v>
      </c>
      <c r="AJ28" s="51">
        <v>1.1499999999999999</v>
      </c>
      <c r="AK28" s="51">
        <v>2.1</v>
      </c>
      <c r="AL28" s="51">
        <v>0.2</v>
      </c>
      <c r="AM28" s="51">
        <v>5.2</v>
      </c>
      <c r="AN28" s="51">
        <v>0.09</v>
      </c>
      <c r="AO28" s="51">
        <v>9.5</v>
      </c>
      <c r="AP28" s="51">
        <v>6</v>
      </c>
      <c r="AQ28" s="51" t="s">
        <v>253</v>
      </c>
      <c r="AR28" s="51">
        <v>1.45</v>
      </c>
      <c r="AS28" s="51">
        <v>8.1999999999999993</v>
      </c>
      <c r="AT28" s="51" t="s">
        <v>253</v>
      </c>
      <c r="AU28" s="51">
        <v>1.21</v>
      </c>
      <c r="AV28" s="51">
        <v>1</v>
      </c>
      <c r="AW28" s="51">
        <v>7.4</v>
      </c>
      <c r="AX28" s="51">
        <v>0.8</v>
      </c>
      <c r="AY28" s="51">
        <v>0.18</v>
      </c>
      <c r="AZ28" s="51">
        <v>2</v>
      </c>
      <c r="BA28" s="51">
        <v>0.09</v>
      </c>
      <c r="BB28" s="51">
        <v>0.5</v>
      </c>
      <c r="BC28" s="51" t="s">
        <v>252</v>
      </c>
      <c r="BD28" s="51">
        <v>6</v>
      </c>
      <c r="BE28" s="51">
        <v>0.71</v>
      </c>
      <c r="BF28" s="51">
        <v>72</v>
      </c>
      <c r="BG28" s="64"/>
      <c r="BH28" s="73">
        <f t="shared" si="2"/>
        <v>117.8</v>
      </c>
      <c r="BI28" s="73">
        <f t="shared" si="3"/>
        <v>25.4</v>
      </c>
      <c r="BJ28" s="73">
        <f t="shared" si="4"/>
        <v>3.2195121951219519</v>
      </c>
      <c r="BK28" s="8">
        <f t="shared" si="1"/>
        <v>57.777777777777779</v>
      </c>
      <c r="BL28" s="8">
        <f t="shared" si="5"/>
        <v>82.3</v>
      </c>
      <c r="BM28" s="8">
        <f t="shared" si="6"/>
        <v>1.9153998352122699</v>
      </c>
      <c r="BN28" s="8">
        <f t="shared" si="7"/>
        <v>2.5</v>
      </c>
      <c r="BO28" s="8">
        <f t="shared" si="8"/>
        <v>0.3979400086720376</v>
      </c>
      <c r="BP28" s="64"/>
      <c r="BQ28">
        <v>-0.83</v>
      </c>
      <c r="BR28">
        <v>0.15</v>
      </c>
      <c r="BS28">
        <v>0.28999999999999998</v>
      </c>
      <c r="BT28">
        <v>0.5</v>
      </c>
      <c r="BU28">
        <v>0</v>
      </c>
    </row>
    <row r="29" spans="1:73" x14ac:dyDescent="0.25">
      <c r="A29" t="s">
        <v>247</v>
      </c>
      <c r="B29" t="s">
        <v>283</v>
      </c>
      <c r="C29" s="70" t="s">
        <v>318</v>
      </c>
      <c r="D29" s="70" t="s">
        <v>249</v>
      </c>
      <c r="E29" s="70" t="s">
        <v>284</v>
      </c>
      <c r="F29" t="s">
        <v>251</v>
      </c>
      <c r="G29" s="71">
        <v>98</v>
      </c>
      <c r="H29" s="77">
        <v>61.027500000000003</v>
      </c>
      <c r="I29" s="77">
        <v>-45.386389999999999</v>
      </c>
      <c r="J29" s="249">
        <v>479119.92726844538</v>
      </c>
      <c r="K29" s="249">
        <v>6765912.0117585659</v>
      </c>
      <c r="L29" s="51">
        <v>94.56</v>
      </c>
      <c r="M29" s="51">
        <v>1.94</v>
      </c>
      <c r="N29" s="51">
        <v>0.73</v>
      </c>
      <c r="O29" s="51">
        <v>0.28999999999999998</v>
      </c>
      <c r="P29" s="51">
        <v>0.04</v>
      </c>
      <c r="Q29" s="51">
        <v>0.75</v>
      </c>
      <c r="R29" s="51">
        <v>0.85</v>
      </c>
      <c r="S29" s="51" t="s">
        <v>253</v>
      </c>
      <c r="T29" s="51">
        <v>0.16</v>
      </c>
      <c r="U29" s="51">
        <v>0.02</v>
      </c>
      <c r="V29" s="51">
        <v>0.02</v>
      </c>
      <c r="W29" s="51" t="s">
        <v>253</v>
      </c>
      <c r="X29" s="51" t="s">
        <v>253</v>
      </c>
      <c r="Y29" s="51">
        <v>0.5</v>
      </c>
      <c r="Z29" s="55">
        <f t="shared" si="0"/>
        <v>0.57764798636575232</v>
      </c>
      <c r="AA29" s="55">
        <f t="shared" ref="AA29:AA36" si="9">SUM(L29:X29, Z29)</f>
        <v>99.937647986365747</v>
      </c>
      <c r="AB29" s="51">
        <v>149</v>
      </c>
      <c r="AC29" s="51">
        <v>41.3</v>
      </c>
      <c r="AD29" s="51" t="s">
        <v>252</v>
      </c>
      <c r="AE29" s="51">
        <v>0.02</v>
      </c>
      <c r="AF29" s="51">
        <v>1.62</v>
      </c>
      <c r="AG29" s="51">
        <v>0.77</v>
      </c>
      <c r="AH29" s="51">
        <v>0.61</v>
      </c>
      <c r="AI29" s="51">
        <v>3.3</v>
      </c>
      <c r="AJ29" s="51">
        <v>2.2599999999999998</v>
      </c>
      <c r="AK29" s="51">
        <v>1.9</v>
      </c>
      <c r="AL29" s="51">
        <v>0.23</v>
      </c>
      <c r="AM29" s="51">
        <v>19.5</v>
      </c>
      <c r="AN29" s="51">
        <v>0.15</v>
      </c>
      <c r="AO29" s="51">
        <v>26.4</v>
      </c>
      <c r="AP29" s="51">
        <v>19</v>
      </c>
      <c r="AQ29" s="51" t="s">
        <v>253</v>
      </c>
      <c r="AR29" s="51">
        <v>4.8</v>
      </c>
      <c r="AS29" s="51">
        <v>13.2</v>
      </c>
      <c r="AT29" s="51" t="s">
        <v>253</v>
      </c>
      <c r="AU29" s="51">
        <v>3.13</v>
      </c>
      <c r="AV29" s="51">
        <v>2</v>
      </c>
      <c r="AW29" s="51">
        <v>181.5</v>
      </c>
      <c r="AX29" s="51">
        <v>2.2999999999999998</v>
      </c>
      <c r="AY29" s="51">
        <v>0.3</v>
      </c>
      <c r="AZ29" s="51">
        <v>0.96</v>
      </c>
      <c r="BA29" s="51">
        <v>0.09</v>
      </c>
      <c r="BB29" s="51">
        <v>0.11</v>
      </c>
      <c r="BC29" s="51">
        <v>8</v>
      </c>
      <c r="BD29" s="51">
        <v>5.6</v>
      </c>
      <c r="BE29" s="51">
        <v>0.9</v>
      </c>
      <c r="BF29" s="51">
        <v>60</v>
      </c>
      <c r="BG29" s="64"/>
      <c r="BH29" s="73">
        <f t="shared" si="2"/>
        <v>136.41764798636578</v>
      </c>
      <c r="BI29" s="73">
        <f t="shared" si="3"/>
        <v>53.1</v>
      </c>
      <c r="BJ29" s="73">
        <f t="shared" si="4"/>
        <v>9.378881987577639</v>
      </c>
      <c r="BK29" s="8">
        <f t="shared" si="1"/>
        <v>130</v>
      </c>
      <c r="BL29" s="8">
        <f t="shared" si="5"/>
        <v>88.7</v>
      </c>
      <c r="BM29" s="8">
        <f t="shared" si="6"/>
        <v>1.9479236198317265</v>
      </c>
      <c r="BN29" s="8">
        <f t="shared" si="7"/>
        <v>1.07</v>
      </c>
      <c r="BO29" s="8">
        <f t="shared" si="8"/>
        <v>2.9383777685209667E-2</v>
      </c>
      <c r="BP29" s="64"/>
      <c r="BQ29">
        <v>3.83</v>
      </c>
      <c r="BR29">
        <v>4.7699999999999996</v>
      </c>
      <c r="BS29">
        <v>1.5</v>
      </c>
      <c r="BT29">
        <v>7</v>
      </c>
      <c r="BU29">
        <v>1</v>
      </c>
    </row>
    <row r="30" spans="1:73" x14ac:dyDescent="0.25">
      <c r="A30" t="s">
        <v>247</v>
      </c>
      <c r="B30" t="s">
        <v>285</v>
      </c>
      <c r="C30" s="70" t="s">
        <v>318</v>
      </c>
      <c r="D30" s="70" t="s">
        <v>249</v>
      </c>
      <c r="E30" s="70" t="s">
        <v>284</v>
      </c>
      <c r="F30" t="s">
        <v>251</v>
      </c>
      <c r="G30" s="71">
        <v>130</v>
      </c>
      <c r="H30" s="72">
        <v>61.040280000000003</v>
      </c>
      <c r="I30" s="72">
        <v>-45.392780000000002</v>
      </c>
      <c r="J30" s="247">
        <v>478783.15967080963</v>
      </c>
      <c r="K30" s="247">
        <v>6767337.5497322362</v>
      </c>
      <c r="L30" s="51">
        <v>82.74</v>
      </c>
      <c r="M30" s="51">
        <v>6.56</v>
      </c>
      <c r="N30" s="51">
        <v>0.83</v>
      </c>
      <c r="O30" s="51">
        <v>1.81</v>
      </c>
      <c r="P30" s="51">
        <v>1.51</v>
      </c>
      <c r="Q30" s="51">
        <v>0.77</v>
      </c>
      <c r="R30" s="51">
        <v>5.08</v>
      </c>
      <c r="S30" s="51" t="s">
        <v>253</v>
      </c>
      <c r="T30" s="51">
        <v>0.14000000000000001</v>
      </c>
      <c r="U30" s="51">
        <v>0.06</v>
      </c>
      <c r="V30" s="51">
        <v>0.06</v>
      </c>
      <c r="W30" s="51" t="s">
        <v>253</v>
      </c>
      <c r="X30" s="51" t="s">
        <v>253</v>
      </c>
      <c r="Y30" s="51">
        <v>0.3</v>
      </c>
      <c r="Z30" s="55">
        <f t="shared" si="0"/>
        <v>0.39668848007408875</v>
      </c>
      <c r="AA30" s="55">
        <f t="shared" si="9"/>
        <v>99.956688480074092</v>
      </c>
      <c r="AB30" s="51">
        <v>287</v>
      </c>
      <c r="AC30" s="51">
        <v>52.3</v>
      </c>
      <c r="AD30" s="51" t="s">
        <v>252</v>
      </c>
      <c r="AE30" s="51">
        <v>0.16</v>
      </c>
      <c r="AF30" s="51">
        <v>5.35</v>
      </c>
      <c r="AG30" s="51">
        <v>2.88</v>
      </c>
      <c r="AH30" s="51">
        <v>1.1599999999999999</v>
      </c>
      <c r="AI30" s="51">
        <v>6.9</v>
      </c>
      <c r="AJ30" s="51">
        <v>5.95</v>
      </c>
      <c r="AK30" s="51">
        <v>3</v>
      </c>
      <c r="AL30" s="51">
        <v>0.94</v>
      </c>
      <c r="AM30" s="51">
        <v>23.4</v>
      </c>
      <c r="AN30" s="51">
        <v>0.37</v>
      </c>
      <c r="AO30" s="51">
        <v>9.9</v>
      </c>
      <c r="AP30" s="51">
        <v>29.2</v>
      </c>
      <c r="AQ30" s="51" t="s">
        <v>253</v>
      </c>
      <c r="AR30" s="51">
        <v>6.68</v>
      </c>
      <c r="AS30" s="51">
        <v>74.7</v>
      </c>
      <c r="AT30" s="51" t="s">
        <v>253</v>
      </c>
      <c r="AU30" s="51">
        <v>5.84</v>
      </c>
      <c r="AV30" s="51">
        <v>1</v>
      </c>
      <c r="AW30" s="51">
        <v>99.8</v>
      </c>
      <c r="AX30" s="51">
        <v>0.7</v>
      </c>
      <c r="AY30" s="51">
        <v>0.85</v>
      </c>
      <c r="AZ30" s="51">
        <v>2.44</v>
      </c>
      <c r="BA30" s="51">
        <v>0.4</v>
      </c>
      <c r="BB30" s="51">
        <v>0.42</v>
      </c>
      <c r="BC30" s="51" t="s">
        <v>252</v>
      </c>
      <c r="BD30" s="51">
        <v>25.4</v>
      </c>
      <c r="BE30" s="51">
        <v>2.69</v>
      </c>
      <c r="BF30" s="51">
        <v>111</v>
      </c>
      <c r="BG30" s="64"/>
      <c r="BH30" s="73">
        <f t="shared" si="2"/>
        <v>213.73668848007406</v>
      </c>
      <c r="BI30" s="73">
        <f t="shared" si="3"/>
        <v>135.15</v>
      </c>
      <c r="BJ30" s="73">
        <f t="shared" si="4"/>
        <v>3.2029320987654324</v>
      </c>
      <c r="BK30" s="8">
        <f t="shared" si="1"/>
        <v>63.243243243243242</v>
      </c>
      <c r="BL30" s="8">
        <f t="shared" si="5"/>
        <v>121.60000000000001</v>
      </c>
      <c r="BM30" s="8">
        <f t="shared" si="6"/>
        <v>2.0849335749367164</v>
      </c>
      <c r="BN30" s="8">
        <f t="shared" si="7"/>
        <v>2.86</v>
      </c>
      <c r="BO30" s="8">
        <f t="shared" si="8"/>
        <v>0.456366033129043</v>
      </c>
      <c r="BP30" s="64"/>
      <c r="BQ30">
        <v>29.17</v>
      </c>
      <c r="BR30">
        <v>4.92</v>
      </c>
      <c r="BS30">
        <v>13.94</v>
      </c>
      <c r="BT30">
        <v>6</v>
      </c>
      <c r="BU30">
        <v>74.5</v>
      </c>
    </row>
    <row r="31" spans="1:73" x14ac:dyDescent="0.25">
      <c r="A31" t="s">
        <v>247</v>
      </c>
      <c r="B31" t="s">
        <v>286</v>
      </c>
      <c r="C31" s="70" t="s">
        <v>318</v>
      </c>
      <c r="D31" s="70" t="s">
        <v>249</v>
      </c>
      <c r="E31" s="70" t="s">
        <v>284</v>
      </c>
      <c r="F31" t="s">
        <v>251</v>
      </c>
      <c r="G31" s="71">
        <v>148</v>
      </c>
      <c r="H31" s="72">
        <v>61.041951557530112</v>
      </c>
      <c r="I31" s="72">
        <v>-45.393599723431684</v>
      </c>
      <c r="J31" s="247">
        <v>478740.00006359874</v>
      </c>
      <c r="K31" s="247">
        <v>6767524.000078029</v>
      </c>
      <c r="L31" s="51">
        <v>84.35</v>
      </c>
      <c r="M31" s="51">
        <v>5.87</v>
      </c>
      <c r="N31" s="51">
        <v>0.74</v>
      </c>
      <c r="O31" s="51">
        <v>1.6</v>
      </c>
      <c r="P31" s="51">
        <v>1.1100000000000001</v>
      </c>
      <c r="Q31" s="51">
        <v>1.68</v>
      </c>
      <c r="R31" s="51">
        <v>4.03</v>
      </c>
      <c r="S31" s="51" t="s">
        <v>253</v>
      </c>
      <c r="T31" s="51">
        <v>0.17</v>
      </c>
      <c r="U31" s="51">
        <v>0.05</v>
      </c>
      <c r="V31" s="51">
        <v>0.02</v>
      </c>
      <c r="W31" s="51" t="s">
        <v>253</v>
      </c>
      <c r="X31" s="51" t="s">
        <v>253</v>
      </c>
      <c r="Y31" s="51">
        <v>0.21</v>
      </c>
      <c r="Z31" s="55">
        <f t="shared" si="0"/>
        <v>0.29541614625251494</v>
      </c>
      <c r="AA31" s="55">
        <f t="shared" si="9"/>
        <v>99.915416146252511</v>
      </c>
      <c r="AB31" s="51">
        <v>284</v>
      </c>
      <c r="AC31" s="51">
        <v>47.7</v>
      </c>
      <c r="AD31" s="51" t="s">
        <v>252</v>
      </c>
      <c r="AE31" s="51">
        <v>0.09</v>
      </c>
      <c r="AF31" s="51">
        <v>4.99</v>
      </c>
      <c r="AG31" s="51">
        <v>2.94</v>
      </c>
      <c r="AH31" s="51">
        <v>0.93</v>
      </c>
      <c r="AI31" s="51">
        <v>7.7</v>
      </c>
      <c r="AJ31" s="51">
        <v>5.22</v>
      </c>
      <c r="AK31" s="51">
        <v>3.9</v>
      </c>
      <c r="AL31" s="51">
        <v>0.95</v>
      </c>
      <c r="AM31" s="51">
        <v>22.9</v>
      </c>
      <c r="AN31" s="51">
        <v>0.47</v>
      </c>
      <c r="AO31" s="51">
        <v>21.9</v>
      </c>
      <c r="AP31" s="51">
        <v>27.7</v>
      </c>
      <c r="AQ31" s="51" t="s">
        <v>253</v>
      </c>
      <c r="AR31" s="51">
        <v>6.43</v>
      </c>
      <c r="AS31" s="51">
        <v>67.900000000000006</v>
      </c>
      <c r="AT31" s="51" t="s">
        <v>253</v>
      </c>
      <c r="AU31" s="51">
        <v>5.26</v>
      </c>
      <c r="AV31" s="51">
        <v>1</v>
      </c>
      <c r="AW31" s="51">
        <v>104</v>
      </c>
      <c r="AX31" s="51">
        <v>1.6</v>
      </c>
      <c r="AY31" s="51">
        <v>0.74</v>
      </c>
      <c r="AZ31" s="51">
        <v>3.23</v>
      </c>
      <c r="BA31" s="51">
        <v>0.43</v>
      </c>
      <c r="BB31" s="51">
        <v>0.49</v>
      </c>
      <c r="BC31" s="51">
        <v>5</v>
      </c>
      <c r="BD31" s="51">
        <v>23.8</v>
      </c>
      <c r="BE31" s="51">
        <v>3.08</v>
      </c>
      <c r="BF31" s="51">
        <v>134</v>
      </c>
      <c r="BG31" s="64"/>
      <c r="BH31" s="73">
        <f t="shared" si="2"/>
        <v>205.80541614625253</v>
      </c>
      <c r="BI31" s="73">
        <f t="shared" si="3"/>
        <v>133.41</v>
      </c>
      <c r="BJ31" s="73">
        <f t="shared" si="4"/>
        <v>3.1053475935828878</v>
      </c>
      <c r="BK31" s="8">
        <f t="shared" si="1"/>
        <v>48.723404255319146</v>
      </c>
      <c r="BL31" s="8">
        <f t="shared" si="5"/>
        <v>157.5</v>
      </c>
      <c r="BM31" s="8">
        <f t="shared" si="6"/>
        <v>2.1972805581256192</v>
      </c>
      <c r="BN31" s="8">
        <f t="shared" si="7"/>
        <v>3.7199999999999998</v>
      </c>
      <c r="BO31" s="8">
        <f t="shared" si="8"/>
        <v>0.57054293988189753</v>
      </c>
      <c r="BP31" s="64"/>
      <c r="BQ31">
        <v>25.67</v>
      </c>
      <c r="BR31">
        <v>11.92</v>
      </c>
      <c r="BS31">
        <v>10.85</v>
      </c>
      <c r="BT31">
        <v>7.5</v>
      </c>
      <c r="BU31">
        <v>54.5</v>
      </c>
    </row>
    <row r="32" spans="1:73" x14ac:dyDescent="0.25">
      <c r="A32" t="s">
        <v>247</v>
      </c>
      <c r="B32" t="s">
        <v>287</v>
      </c>
      <c r="C32" s="70" t="s">
        <v>318</v>
      </c>
      <c r="D32" s="70" t="s">
        <v>249</v>
      </c>
      <c r="E32" s="70" t="s">
        <v>284</v>
      </c>
      <c r="F32" t="s">
        <v>251</v>
      </c>
      <c r="G32" s="71">
        <v>150</v>
      </c>
      <c r="H32" s="72">
        <v>61.03389</v>
      </c>
      <c r="I32" s="72">
        <v>-45.395829999999997</v>
      </c>
      <c r="J32" s="247">
        <v>478614.10667192622</v>
      </c>
      <c r="K32" s="247">
        <v>6766626.7996499753</v>
      </c>
      <c r="L32" s="51">
        <v>90.93</v>
      </c>
      <c r="M32" s="51">
        <v>3.21</v>
      </c>
      <c r="N32" s="51">
        <v>0.62</v>
      </c>
      <c r="O32" s="51">
        <v>0.9</v>
      </c>
      <c r="P32" s="51">
        <v>0.63</v>
      </c>
      <c r="Q32" s="51">
        <v>0.37</v>
      </c>
      <c r="R32" s="51">
        <v>2.56</v>
      </c>
      <c r="S32" s="51" t="s">
        <v>253</v>
      </c>
      <c r="T32" s="51">
        <v>0.12</v>
      </c>
      <c r="U32" s="51">
        <v>0.02</v>
      </c>
      <c r="V32" s="51">
        <v>0.02</v>
      </c>
      <c r="W32" s="51" t="s">
        <v>253</v>
      </c>
      <c r="X32" s="51" t="s">
        <v>253</v>
      </c>
      <c r="Y32" s="51">
        <v>0.5</v>
      </c>
      <c r="Z32" s="55">
        <f t="shared" si="0"/>
        <v>0.56662732262123139</v>
      </c>
      <c r="AA32" s="55">
        <f t="shared" si="9"/>
        <v>99.946627322621239</v>
      </c>
      <c r="AB32" s="51">
        <v>227</v>
      </c>
      <c r="AC32" s="51">
        <v>39.299999999999997</v>
      </c>
      <c r="AD32" s="51">
        <v>10</v>
      </c>
      <c r="AE32" s="51">
        <v>0.12</v>
      </c>
      <c r="AF32" s="51">
        <v>3.8</v>
      </c>
      <c r="AG32" s="51">
        <v>2.2000000000000002</v>
      </c>
      <c r="AH32" s="51">
        <v>0.73</v>
      </c>
      <c r="AI32" s="51">
        <v>3</v>
      </c>
      <c r="AJ32" s="51">
        <v>3.97</v>
      </c>
      <c r="AK32" s="51">
        <v>2.7</v>
      </c>
      <c r="AL32" s="51">
        <v>0.71</v>
      </c>
      <c r="AM32" s="51">
        <v>18.100000000000001</v>
      </c>
      <c r="AN32" s="51">
        <v>0.28999999999999998</v>
      </c>
      <c r="AO32" s="51">
        <v>19.899999999999999</v>
      </c>
      <c r="AP32" s="51">
        <v>21.2</v>
      </c>
      <c r="AQ32" s="51" t="s">
        <v>253</v>
      </c>
      <c r="AR32" s="51">
        <v>4.93</v>
      </c>
      <c r="AS32" s="51">
        <v>41.5</v>
      </c>
      <c r="AT32" s="51" t="s">
        <v>253</v>
      </c>
      <c r="AU32" s="51">
        <v>4.04</v>
      </c>
      <c r="AV32" s="51">
        <v>1</v>
      </c>
      <c r="AW32" s="51">
        <v>90.1</v>
      </c>
      <c r="AX32" s="51">
        <v>1.3</v>
      </c>
      <c r="AY32" s="51">
        <v>0.59</v>
      </c>
      <c r="AZ32" s="51">
        <v>2.67</v>
      </c>
      <c r="BA32" s="51">
        <v>0.31</v>
      </c>
      <c r="BB32" s="51">
        <v>0.49</v>
      </c>
      <c r="BC32" s="51">
        <v>6</v>
      </c>
      <c r="BD32" s="51">
        <v>19</v>
      </c>
      <c r="BE32" s="51">
        <v>2.29</v>
      </c>
      <c r="BF32" s="51">
        <v>104</v>
      </c>
      <c r="BG32" s="64"/>
      <c r="BH32" s="73">
        <f t="shared" si="2"/>
        <v>170.16662732262125</v>
      </c>
      <c r="BI32" s="73">
        <f t="shared" si="3"/>
        <v>95.190000000000012</v>
      </c>
      <c r="BJ32" s="73">
        <f t="shared" si="4"/>
        <v>3.1610140459061329</v>
      </c>
      <c r="BK32" s="8">
        <f t="shared" si="1"/>
        <v>62.413793103448285</v>
      </c>
      <c r="BL32" s="8">
        <f t="shared" si="5"/>
        <v>125.2</v>
      </c>
      <c r="BM32" s="8">
        <f t="shared" si="6"/>
        <v>2.0976043288744108</v>
      </c>
      <c r="BN32" s="8">
        <f t="shared" si="7"/>
        <v>3.16</v>
      </c>
      <c r="BO32" s="8">
        <f t="shared" si="8"/>
        <v>0.49968708261840383</v>
      </c>
      <c r="BP32" s="64"/>
      <c r="BQ32">
        <v>14</v>
      </c>
      <c r="BR32">
        <v>1.85</v>
      </c>
      <c r="BS32">
        <v>6.53</v>
      </c>
      <c r="BT32">
        <v>5</v>
      </c>
      <c r="BU32">
        <v>30.5</v>
      </c>
    </row>
    <row r="33" spans="1:73" x14ac:dyDescent="0.25">
      <c r="A33" t="s">
        <v>247</v>
      </c>
      <c r="B33" t="s">
        <v>288</v>
      </c>
      <c r="C33" s="70" t="s">
        <v>318</v>
      </c>
      <c r="D33" s="70" t="s">
        <v>249</v>
      </c>
      <c r="E33" s="70" t="s">
        <v>284</v>
      </c>
      <c r="F33" t="s">
        <v>251</v>
      </c>
      <c r="G33" s="71">
        <v>156</v>
      </c>
      <c r="H33" s="72">
        <v>61.043329999999997</v>
      </c>
      <c r="I33" s="72">
        <v>-45.393329999999999</v>
      </c>
      <c r="J33" s="247">
        <v>478755.49110883585</v>
      </c>
      <c r="K33" s="247">
        <v>6767677.4487730926</v>
      </c>
      <c r="L33" s="51">
        <v>84.05</v>
      </c>
      <c r="M33" s="51">
        <v>7.26</v>
      </c>
      <c r="N33" s="51">
        <v>0.63</v>
      </c>
      <c r="O33" s="51">
        <v>0.34</v>
      </c>
      <c r="P33" s="51">
        <v>0.15</v>
      </c>
      <c r="Q33" s="51">
        <v>0.8</v>
      </c>
      <c r="R33" s="51">
        <v>5.74</v>
      </c>
      <c r="S33" s="51" t="s">
        <v>253</v>
      </c>
      <c r="T33" s="51">
        <v>0.18</v>
      </c>
      <c r="U33" s="51" t="s">
        <v>252</v>
      </c>
      <c r="V33" s="51">
        <v>0.15</v>
      </c>
      <c r="W33" s="51" t="s">
        <v>253</v>
      </c>
      <c r="X33" s="51" t="s">
        <v>253</v>
      </c>
      <c r="Y33" s="51">
        <v>0.6</v>
      </c>
      <c r="Z33" s="55">
        <f t="shared" si="0"/>
        <v>0.66424606046119383</v>
      </c>
      <c r="AA33" s="55">
        <f t="shared" si="9"/>
        <v>99.964246060461207</v>
      </c>
      <c r="AB33" s="51">
        <v>414</v>
      </c>
      <c r="AC33" s="51">
        <v>50.6</v>
      </c>
      <c r="AD33" s="51" t="s">
        <v>252</v>
      </c>
      <c r="AE33" s="51">
        <v>0.03</v>
      </c>
      <c r="AF33" s="51">
        <v>5.55</v>
      </c>
      <c r="AG33" s="51">
        <v>2.08</v>
      </c>
      <c r="AH33" s="51">
        <v>1.45</v>
      </c>
      <c r="AI33" s="51">
        <v>8.8000000000000007</v>
      </c>
      <c r="AJ33" s="51">
        <v>7.54</v>
      </c>
      <c r="AK33" s="51">
        <v>0.5</v>
      </c>
      <c r="AL33" s="51">
        <v>0.87</v>
      </c>
      <c r="AM33" s="51">
        <v>25.2</v>
      </c>
      <c r="AN33" s="51">
        <v>0.13</v>
      </c>
      <c r="AO33" s="51">
        <v>14.9</v>
      </c>
      <c r="AP33" s="51">
        <v>32.6</v>
      </c>
      <c r="AQ33" s="51" t="s">
        <v>253</v>
      </c>
      <c r="AR33" s="51">
        <v>7</v>
      </c>
      <c r="AS33" s="51">
        <v>79.900000000000006</v>
      </c>
      <c r="AT33" s="51" t="s">
        <v>253</v>
      </c>
      <c r="AU33" s="51">
        <v>7.15</v>
      </c>
      <c r="AV33" s="51">
        <v>1</v>
      </c>
      <c r="AW33" s="51">
        <v>137</v>
      </c>
      <c r="AX33" s="51">
        <v>0.6</v>
      </c>
      <c r="AY33" s="51">
        <v>0.96</v>
      </c>
      <c r="AZ33" s="51">
        <v>1.02</v>
      </c>
      <c r="BA33" s="51">
        <v>0.23</v>
      </c>
      <c r="BB33" s="51">
        <v>0.17</v>
      </c>
      <c r="BC33" s="51">
        <v>10</v>
      </c>
      <c r="BD33" s="51">
        <v>20</v>
      </c>
      <c r="BE33" s="51">
        <v>1.1200000000000001</v>
      </c>
      <c r="BF33" s="51">
        <v>15</v>
      </c>
      <c r="BG33" s="64"/>
      <c r="BH33" s="73">
        <f t="shared" si="2"/>
        <v>220.09424606046122</v>
      </c>
      <c r="BI33" s="73">
        <f t="shared" si="3"/>
        <v>142.80000000000001</v>
      </c>
      <c r="BJ33" s="73">
        <f t="shared" si="4"/>
        <v>4.2514544279250153</v>
      </c>
      <c r="BK33" s="8">
        <f t="shared" si="1"/>
        <v>193.84615384615384</v>
      </c>
      <c r="BL33" s="8">
        <f t="shared" si="5"/>
        <v>30.5</v>
      </c>
      <c r="BM33" s="8">
        <f t="shared" si="6"/>
        <v>1.4842998393467859</v>
      </c>
      <c r="BN33" s="8">
        <f t="shared" si="7"/>
        <v>1.19</v>
      </c>
      <c r="BO33" s="8">
        <f t="shared" si="8"/>
        <v>7.554696139253074E-2</v>
      </c>
      <c r="BP33" s="64"/>
      <c r="BQ33">
        <v>4.67</v>
      </c>
      <c r="BR33">
        <v>5.15</v>
      </c>
      <c r="BS33">
        <v>15.88</v>
      </c>
      <c r="BT33">
        <v>8</v>
      </c>
      <c r="BU33">
        <v>6.5</v>
      </c>
    </row>
    <row r="34" spans="1:73" x14ac:dyDescent="0.25">
      <c r="A34" t="s">
        <v>247</v>
      </c>
      <c r="B34" t="s">
        <v>289</v>
      </c>
      <c r="C34" s="70" t="s">
        <v>318</v>
      </c>
      <c r="D34" s="70" t="s">
        <v>249</v>
      </c>
      <c r="E34" s="70" t="s">
        <v>284</v>
      </c>
      <c r="F34" t="s">
        <v>251</v>
      </c>
      <c r="G34" s="71">
        <v>156</v>
      </c>
      <c r="H34" s="72">
        <v>61.043329999999997</v>
      </c>
      <c r="I34" s="72">
        <v>-45.393329999999999</v>
      </c>
      <c r="J34" s="247">
        <v>478755.49110883585</v>
      </c>
      <c r="K34" s="247">
        <v>6767677.4487730926</v>
      </c>
      <c r="L34" s="51">
        <v>89.7</v>
      </c>
      <c r="M34" s="51">
        <v>4.49</v>
      </c>
      <c r="N34" s="51">
        <v>0.49</v>
      </c>
      <c r="O34" s="51">
        <v>0.54</v>
      </c>
      <c r="P34" s="51">
        <v>0.28999999999999998</v>
      </c>
      <c r="Q34" s="51">
        <v>0.5</v>
      </c>
      <c r="R34" s="51">
        <v>3.52</v>
      </c>
      <c r="S34" s="51" t="s">
        <v>253</v>
      </c>
      <c r="T34" s="51">
        <v>0.13</v>
      </c>
      <c r="U34" s="51">
        <v>0.02</v>
      </c>
      <c r="V34" s="51">
        <v>0.03</v>
      </c>
      <c r="W34" s="51" t="s">
        <v>253</v>
      </c>
      <c r="X34" s="51" t="s">
        <v>253</v>
      </c>
      <c r="Y34" s="51">
        <v>0.2</v>
      </c>
      <c r="Z34" s="55">
        <f t="shared" si="0"/>
        <v>0.25360290183225209</v>
      </c>
      <c r="AA34" s="55">
        <f t="shared" si="9"/>
        <v>99.963602901832246</v>
      </c>
      <c r="AB34" s="51">
        <v>268.5</v>
      </c>
      <c r="AC34" s="51">
        <v>23.2</v>
      </c>
      <c r="AD34" s="51" t="s">
        <v>253</v>
      </c>
      <c r="AE34" s="51" t="s">
        <v>253</v>
      </c>
      <c r="AF34" s="51" t="s">
        <v>253</v>
      </c>
      <c r="AG34" s="51" t="s">
        <v>253</v>
      </c>
      <c r="AH34" s="51" t="s">
        <v>253</v>
      </c>
      <c r="AI34" s="51" t="s">
        <v>253</v>
      </c>
      <c r="AJ34" s="51" t="s">
        <v>253</v>
      </c>
      <c r="AK34" s="51" t="s">
        <v>253</v>
      </c>
      <c r="AL34" s="51" t="s">
        <v>253</v>
      </c>
      <c r="AM34" s="51">
        <v>18.5</v>
      </c>
      <c r="AN34" s="51" t="s">
        <v>253</v>
      </c>
      <c r="AO34" s="51">
        <v>10.7</v>
      </c>
      <c r="AP34" s="51">
        <v>12.7</v>
      </c>
      <c r="AQ34" s="51">
        <v>3.6</v>
      </c>
      <c r="AR34" s="51" t="s">
        <v>253</v>
      </c>
      <c r="AS34" s="51" t="s">
        <v>253</v>
      </c>
      <c r="AT34" s="51" t="s">
        <v>252</v>
      </c>
      <c r="AU34" s="51" t="s">
        <v>252</v>
      </c>
      <c r="AV34" s="51" t="s">
        <v>253</v>
      </c>
      <c r="AW34" s="51">
        <v>164</v>
      </c>
      <c r="AX34" s="51" t="s">
        <v>253</v>
      </c>
      <c r="AY34" s="51" t="s">
        <v>253</v>
      </c>
      <c r="AZ34" s="51" t="s">
        <v>252</v>
      </c>
      <c r="BA34" s="51" t="s">
        <v>253</v>
      </c>
      <c r="BB34" s="51">
        <v>2</v>
      </c>
      <c r="BC34" s="51" t="s">
        <v>253</v>
      </c>
      <c r="BD34" s="51">
        <v>9.5</v>
      </c>
      <c r="BE34" s="51" t="s">
        <v>253</v>
      </c>
      <c r="BF34" s="51">
        <v>13.3</v>
      </c>
      <c r="BG34" s="64"/>
      <c r="BH34" s="73">
        <f t="shared" si="2"/>
        <v>112.66360290183225</v>
      </c>
      <c r="BI34" s="73">
        <f t="shared" si="3"/>
        <v>28</v>
      </c>
      <c r="BJ34" s="73">
        <f t="shared" si="4"/>
        <v>5.7263157894736851</v>
      </c>
      <c r="BK34" s="8"/>
      <c r="BL34" s="8"/>
      <c r="BM34" s="8"/>
      <c r="BP34" s="64"/>
      <c r="BQ34">
        <v>8</v>
      </c>
      <c r="BR34">
        <v>2.85</v>
      </c>
      <c r="BS34">
        <v>9.35</v>
      </c>
      <c r="BT34">
        <v>5.5</v>
      </c>
      <c r="BU34">
        <v>13.5</v>
      </c>
    </row>
    <row r="35" spans="1:73" x14ac:dyDescent="0.25">
      <c r="A35" t="s">
        <v>247</v>
      </c>
      <c r="B35" t="s">
        <v>290</v>
      </c>
      <c r="C35" s="70" t="s">
        <v>318</v>
      </c>
      <c r="D35" s="70" t="s">
        <v>249</v>
      </c>
      <c r="E35" s="70" t="s">
        <v>284</v>
      </c>
      <c r="F35" t="s">
        <v>251</v>
      </c>
      <c r="G35" s="71">
        <v>156</v>
      </c>
      <c r="H35" s="72">
        <v>61.043329999999997</v>
      </c>
      <c r="I35" s="72">
        <v>-45.393329999999999</v>
      </c>
      <c r="J35" s="247">
        <v>478755.49110883585</v>
      </c>
      <c r="K35" s="247">
        <v>6767677.4487730926</v>
      </c>
      <c r="L35" s="51">
        <v>95.32</v>
      </c>
      <c r="M35" s="51">
        <v>1.19</v>
      </c>
      <c r="N35" s="51">
        <v>1.44</v>
      </c>
      <c r="O35" s="51">
        <v>0.11</v>
      </c>
      <c r="P35" s="51">
        <v>0.02</v>
      </c>
      <c r="Q35" s="51">
        <v>0.62</v>
      </c>
      <c r="R35" s="51">
        <v>0.49</v>
      </c>
      <c r="S35" s="51" t="s">
        <v>252</v>
      </c>
      <c r="T35" s="51">
        <v>0.04</v>
      </c>
      <c r="U35" s="51">
        <v>0.09</v>
      </c>
      <c r="V35" s="51">
        <v>0.05</v>
      </c>
      <c r="W35" s="51" t="s">
        <v>253</v>
      </c>
      <c r="X35" s="51" t="s">
        <v>253</v>
      </c>
      <c r="Y35" s="51">
        <v>0.3</v>
      </c>
      <c r="Z35" s="55">
        <f t="shared" si="0"/>
        <v>0.46456935129460214</v>
      </c>
      <c r="AA35" s="55">
        <f t="shared" si="9"/>
        <v>99.83456935129459</v>
      </c>
      <c r="AB35" s="51">
        <v>617</v>
      </c>
      <c r="AC35" s="51">
        <v>452</v>
      </c>
      <c r="AD35" s="51" t="s">
        <v>252</v>
      </c>
      <c r="AE35" s="51">
        <v>0.03</v>
      </c>
      <c r="AF35" s="51">
        <v>6.72</v>
      </c>
      <c r="AG35" s="51">
        <v>2.64</v>
      </c>
      <c r="AH35" s="51">
        <v>3.41</v>
      </c>
      <c r="AI35" s="51">
        <v>3.4</v>
      </c>
      <c r="AJ35" s="51">
        <v>13.25</v>
      </c>
      <c r="AK35" s="51">
        <v>2.4</v>
      </c>
      <c r="AL35" s="51">
        <v>1.03</v>
      </c>
      <c r="AM35" s="51">
        <v>263</v>
      </c>
      <c r="AN35" s="51">
        <v>0.24</v>
      </c>
      <c r="AO35" s="51">
        <v>42.5</v>
      </c>
      <c r="AP35" s="51">
        <v>174.5</v>
      </c>
      <c r="AQ35" s="51" t="s">
        <v>253</v>
      </c>
      <c r="AR35" s="51">
        <v>48</v>
      </c>
      <c r="AS35" s="51">
        <v>11.7</v>
      </c>
      <c r="AT35" s="51" t="s">
        <v>253</v>
      </c>
      <c r="AU35" s="51">
        <v>22</v>
      </c>
      <c r="AV35" s="51">
        <v>1</v>
      </c>
      <c r="AW35" s="51">
        <v>71.099999999999994</v>
      </c>
      <c r="AX35" s="51">
        <v>1.3</v>
      </c>
      <c r="AY35" s="51">
        <v>1.36</v>
      </c>
      <c r="AZ35" s="51">
        <v>2</v>
      </c>
      <c r="BA35" s="51">
        <v>0.3</v>
      </c>
      <c r="BB35" s="51">
        <v>1.64</v>
      </c>
      <c r="BC35" s="51">
        <v>14</v>
      </c>
      <c r="BD35" s="51">
        <v>30</v>
      </c>
      <c r="BE35" s="51">
        <v>1.86</v>
      </c>
      <c r="BF35" s="51">
        <v>96</v>
      </c>
      <c r="BG35" s="64"/>
      <c r="BH35" s="73">
        <f t="shared" si="2"/>
        <v>298.80456935129462</v>
      </c>
      <c r="BI35" s="73">
        <f t="shared" si="3"/>
        <v>331.15</v>
      </c>
      <c r="BJ35" s="73">
        <f>SUM(AM35, AC35, AR35, AP35, AU35, AJ35,AH35)/SUM(AN35, AY35, BD35, BE35, AF35, AG35,AL35, AT35,BA35)</f>
        <v>22.110079275198188</v>
      </c>
      <c r="BK35" s="8">
        <f t="shared" si="1"/>
        <v>1095.8333333333335</v>
      </c>
      <c r="BL35" s="8">
        <f t="shared" si="5"/>
        <v>139.80000000000001</v>
      </c>
      <c r="BM35" s="8">
        <f t="shared" si="6"/>
        <v>2.1455071714096627</v>
      </c>
      <c r="BN35" s="8">
        <f t="shared" si="7"/>
        <v>3.6399999999999997</v>
      </c>
      <c r="BO35" s="8">
        <f t="shared" si="8"/>
        <v>0.56110138364905593</v>
      </c>
      <c r="BP35" s="64"/>
      <c r="BQ35">
        <v>0.83</v>
      </c>
      <c r="BR35">
        <v>3.77</v>
      </c>
      <c r="BS35">
        <v>0.44</v>
      </c>
      <c r="BT35">
        <v>1</v>
      </c>
      <c r="BU35">
        <v>0</v>
      </c>
    </row>
    <row r="36" spans="1:73" x14ac:dyDescent="0.25">
      <c r="A36" t="s">
        <v>247</v>
      </c>
      <c r="B36" t="s">
        <v>291</v>
      </c>
      <c r="C36" s="70" t="s">
        <v>318</v>
      </c>
      <c r="D36" s="70" t="s">
        <v>249</v>
      </c>
      <c r="E36" s="70" t="s">
        <v>284</v>
      </c>
      <c r="F36" t="s">
        <v>251</v>
      </c>
      <c r="G36" s="71">
        <v>330</v>
      </c>
      <c r="H36" s="72">
        <v>61.041110000000003</v>
      </c>
      <c r="I36" s="72">
        <v>-45.396940000000001</v>
      </c>
      <c r="J36" s="247">
        <v>478559.01079439878</v>
      </c>
      <c r="K36" s="247">
        <v>6767431.35327553</v>
      </c>
      <c r="L36" s="51">
        <v>96.59</v>
      </c>
      <c r="M36" s="51">
        <v>1.38</v>
      </c>
      <c r="N36" s="51">
        <v>0.28000000000000003</v>
      </c>
      <c r="O36" s="51">
        <v>0.04</v>
      </c>
      <c r="P36" s="51" t="s">
        <v>252</v>
      </c>
      <c r="Q36" s="51">
        <v>0.28999999999999998</v>
      </c>
      <c r="R36" s="51">
        <v>0.84</v>
      </c>
      <c r="S36" s="51" t="s">
        <v>252</v>
      </c>
      <c r="T36" s="51">
        <v>0.1</v>
      </c>
      <c r="U36" s="51">
        <v>0.01</v>
      </c>
      <c r="V36" s="51">
        <v>0.02</v>
      </c>
      <c r="W36" s="51" t="s">
        <v>253</v>
      </c>
      <c r="X36" s="51" t="s">
        <v>253</v>
      </c>
      <c r="Y36" s="51">
        <v>0.3</v>
      </c>
      <c r="Z36" s="55">
        <f t="shared" si="0"/>
        <v>0.33030802574392815</v>
      </c>
      <c r="AA36" s="55">
        <f t="shared" si="9"/>
        <v>99.880308025743943</v>
      </c>
      <c r="AB36" s="51">
        <v>321</v>
      </c>
      <c r="AC36" s="51">
        <v>18.399999999999999</v>
      </c>
      <c r="AD36" s="51" t="s">
        <v>252</v>
      </c>
      <c r="AE36" s="51">
        <v>0.24</v>
      </c>
      <c r="AF36" s="51">
        <v>1.94</v>
      </c>
      <c r="AG36" s="51">
        <v>1.23</v>
      </c>
      <c r="AH36" s="51">
        <v>0.28000000000000003</v>
      </c>
      <c r="AI36" s="51">
        <v>1.8</v>
      </c>
      <c r="AJ36" s="51">
        <v>1.72</v>
      </c>
      <c r="AK36" s="51">
        <v>2.2999999999999998</v>
      </c>
      <c r="AL36" s="51">
        <v>0.34</v>
      </c>
      <c r="AM36" s="51">
        <v>5.9</v>
      </c>
      <c r="AN36" s="51">
        <v>0.1</v>
      </c>
      <c r="AO36" s="51">
        <v>33.5</v>
      </c>
      <c r="AP36" s="51">
        <v>8</v>
      </c>
      <c r="AQ36" s="51" t="s">
        <v>253</v>
      </c>
      <c r="AR36" s="51">
        <v>1.8</v>
      </c>
      <c r="AS36" s="51">
        <v>25.9</v>
      </c>
      <c r="AT36" s="51" t="s">
        <v>253</v>
      </c>
      <c r="AU36" s="51">
        <v>1.78</v>
      </c>
      <c r="AV36" s="51">
        <v>2</v>
      </c>
      <c r="AW36" s="51">
        <v>34.200000000000003</v>
      </c>
      <c r="AX36" s="51">
        <v>1.7</v>
      </c>
      <c r="AY36" s="51">
        <v>0.28000000000000003</v>
      </c>
      <c r="AZ36" s="51">
        <v>2.4</v>
      </c>
      <c r="BA36" s="51">
        <v>0.13</v>
      </c>
      <c r="BB36" s="51">
        <v>0.84</v>
      </c>
      <c r="BC36" s="51" t="s">
        <v>252</v>
      </c>
      <c r="BD36" s="51">
        <v>9.6</v>
      </c>
      <c r="BE36" s="51">
        <v>1</v>
      </c>
      <c r="BF36" s="51">
        <v>93</v>
      </c>
      <c r="BG36" s="64"/>
      <c r="BH36" s="73">
        <f t="shared" si="2"/>
        <v>138.40030802574393</v>
      </c>
      <c r="BI36" s="73">
        <f t="shared" si="3"/>
        <v>49.98</v>
      </c>
      <c r="BJ36" s="73">
        <f t="shared" si="4"/>
        <v>2.5909712722298215</v>
      </c>
      <c r="BK36" s="8">
        <f t="shared" si="1"/>
        <v>59</v>
      </c>
      <c r="BL36" s="8">
        <f t="shared" si="5"/>
        <v>128.19999999999999</v>
      </c>
      <c r="BM36" s="8">
        <f t="shared" si="6"/>
        <v>2.1078880251827985</v>
      </c>
      <c r="BN36" s="8">
        <f t="shared" si="7"/>
        <v>3.2399999999999998</v>
      </c>
      <c r="BO36" s="8">
        <f t="shared" si="8"/>
        <v>0.51054501020661214</v>
      </c>
      <c r="BP36" s="64"/>
      <c r="BQ36">
        <v>-0.33</v>
      </c>
      <c r="BR36">
        <v>1.23</v>
      </c>
      <c r="BS36">
        <v>1.47</v>
      </c>
      <c r="BT36">
        <v>4</v>
      </c>
      <c r="BU36">
        <v>-0.75</v>
      </c>
    </row>
    <row r="37" spans="1:73" x14ac:dyDescent="0.25">
      <c r="A37" t="s">
        <v>247</v>
      </c>
      <c r="B37" t="s">
        <v>292</v>
      </c>
      <c r="C37" s="70" t="s">
        <v>249</v>
      </c>
      <c r="D37" s="70" t="s">
        <v>249</v>
      </c>
      <c r="E37" s="70" t="s">
        <v>284</v>
      </c>
      <c r="F37" t="s">
        <v>251</v>
      </c>
      <c r="G37" s="71">
        <v>420</v>
      </c>
      <c r="H37" s="72">
        <v>61.038259089999997</v>
      </c>
      <c r="I37" s="72">
        <v>-45.397354610000001</v>
      </c>
      <c r="J37" s="247">
        <v>478534.68866177148</v>
      </c>
      <c r="K37" s="247">
        <v>6767113.9439781839</v>
      </c>
      <c r="L37" s="51">
        <v>95.6</v>
      </c>
      <c r="M37" s="51">
        <v>1.1000000000000001</v>
      </c>
      <c r="N37" s="51">
        <v>0.98</v>
      </c>
      <c r="O37" s="51">
        <v>0.16</v>
      </c>
      <c r="P37" s="51">
        <v>0.06</v>
      </c>
      <c r="Q37" s="51">
        <v>0.46</v>
      </c>
      <c r="R37" s="51">
        <v>0.6</v>
      </c>
      <c r="S37" s="51" t="s">
        <v>252</v>
      </c>
      <c r="T37" s="51">
        <v>0.1</v>
      </c>
      <c r="U37" s="51">
        <v>0.78</v>
      </c>
      <c r="V37" s="51">
        <v>0.06</v>
      </c>
      <c r="W37" s="51">
        <v>0.02</v>
      </c>
      <c r="X37" s="51">
        <v>7.0000000000000007E-2</v>
      </c>
      <c r="Y37" s="51">
        <v>0.35</v>
      </c>
      <c r="Z37" s="55">
        <f t="shared" si="0"/>
        <v>0.62410741065632824</v>
      </c>
      <c r="AA37" s="51">
        <v>100.34</v>
      </c>
      <c r="AB37" s="51">
        <v>576</v>
      </c>
      <c r="AC37" s="51">
        <v>202</v>
      </c>
      <c r="AD37" s="51">
        <v>10</v>
      </c>
      <c r="AE37" s="51">
        <v>0.62</v>
      </c>
      <c r="AF37" s="51">
        <v>14.8</v>
      </c>
      <c r="AG37" s="51">
        <v>8.5399999999999991</v>
      </c>
      <c r="AH37" s="51">
        <v>2.62</v>
      </c>
      <c r="AI37" s="51">
        <v>3.5</v>
      </c>
      <c r="AJ37" s="51">
        <v>15.4</v>
      </c>
      <c r="AK37" s="51">
        <v>7.9</v>
      </c>
      <c r="AL37" s="51">
        <v>2.71</v>
      </c>
      <c r="AM37" s="51">
        <v>86.7</v>
      </c>
      <c r="AN37" s="51">
        <v>0.91</v>
      </c>
      <c r="AO37" s="51">
        <v>92.2</v>
      </c>
      <c r="AP37" s="51">
        <v>94.3</v>
      </c>
      <c r="AQ37" s="51" t="s">
        <v>253</v>
      </c>
      <c r="AR37" s="51">
        <v>23.5</v>
      </c>
      <c r="AS37" s="51">
        <v>28.9</v>
      </c>
      <c r="AT37" s="51" t="s">
        <v>253</v>
      </c>
      <c r="AU37" s="51">
        <v>18.45</v>
      </c>
      <c r="AV37" s="51">
        <v>3</v>
      </c>
      <c r="AW37" s="51">
        <v>122</v>
      </c>
      <c r="AX37" s="51">
        <v>4.2</v>
      </c>
      <c r="AY37" s="51">
        <v>2.25</v>
      </c>
      <c r="AZ37" s="51">
        <v>27.1</v>
      </c>
      <c r="BA37" s="51">
        <v>1.1599999999999999</v>
      </c>
      <c r="BB37" s="51">
        <v>2.77</v>
      </c>
      <c r="BC37" s="51" t="s">
        <v>252</v>
      </c>
      <c r="BD37" s="51">
        <v>79.8</v>
      </c>
      <c r="BE37" s="51">
        <v>7.77</v>
      </c>
      <c r="BF37" s="51">
        <v>433</v>
      </c>
      <c r="BG37" s="64"/>
      <c r="BH37" s="73">
        <f t="shared" si="2"/>
        <v>249.77000000000004</v>
      </c>
      <c r="BI37" s="73">
        <f t="shared" si="3"/>
        <v>250.02</v>
      </c>
      <c r="BJ37" s="73">
        <f t="shared" si="4"/>
        <v>3.7558928268611163</v>
      </c>
      <c r="BK37" s="8">
        <f t="shared" si="1"/>
        <v>95.27472527472527</v>
      </c>
      <c r="BL37" s="8">
        <f t="shared" si="5"/>
        <v>529.40000000000009</v>
      </c>
      <c r="BM37" s="8">
        <f t="shared" si="6"/>
        <v>2.7237839369653294</v>
      </c>
      <c r="BN37" s="8">
        <f t="shared" si="7"/>
        <v>29.87</v>
      </c>
      <c r="BO37" s="8">
        <f t="shared" si="8"/>
        <v>1.4752352226041283</v>
      </c>
      <c r="BP37" s="64"/>
      <c r="BQ37">
        <v>1.67</v>
      </c>
      <c r="BR37">
        <v>2.54</v>
      </c>
      <c r="BS37">
        <v>0.76</v>
      </c>
      <c r="BT37">
        <v>4</v>
      </c>
      <c r="BU37">
        <v>2</v>
      </c>
    </row>
    <row r="38" spans="1:73" x14ac:dyDescent="0.25">
      <c r="A38" t="s">
        <v>247</v>
      </c>
      <c r="B38" t="s">
        <v>293</v>
      </c>
      <c r="C38" s="70" t="s">
        <v>249</v>
      </c>
      <c r="D38" s="70" t="s">
        <v>249</v>
      </c>
      <c r="E38" s="70" t="s">
        <v>284</v>
      </c>
      <c r="F38" t="s">
        <v>251</v>
      </c>
      <c r="G38" s="71">
        <v>430</v>
      </c>
      <c r="H38" s="72">
        <v>61.03086339</v>
      </c>
      <c r="I38" s="72">
        <v>-45.394584330000001</v>
      </c>
      <c r="J38" s="247">
        <v>478679.37591258512</v>
      </c>
      <c r="K38" s="247">
        <v>6766289.2785509005</v>
      </c>
      <c r="L38" s="51">
        <v>97</v>
      </c>
      <c r="M38" s="51">
        <v>1.49</v>
      </c>
      <c r="N38" s="51">
        <v>0.54</v>
      </c>
      <c r="O38" s="51">
        <v>0.03</v>
      </c>
      <c r="P38" s="51">
        <v>0.01</v>
      </c>
      <c r="Q38" s="51">
        <v>0.28999999999999998</v>
      </c>
      <c r="R38" s="51">
        <v>1.1499999999999999</v>
      </c>
      <c r="S38" s="51" t="s">
        <v>252</v>
      </c>
      <c r="T38" s="51">
        <v>0.04</v>
      </c>
      <c r="U38" s="51">
        <v>0.01</v>
      </c>
      <c r="V38" s="51">
        <v>0.01</v>
      </c>
      <c r="W38" s="51">
        <v>0.05</v>
      </c>
      <c r="X38" s="51">
        <v>0.05</v>
      </c>
      <c r="Y38" s="51">
        <v>0.28000000000000003</v>
      </c>
      <c r="Z38" s="55">
        <f t="shared" si="0"/>
        <v>0.33635686732188685</v>
      </c>
      <c r="AA38" s="51">
        <v>100.95</v>
      </c>
      <c r="AB38" s="51">
        <v>401</v>
      </c>
      <c r="AC38" s="51">
        <v>22.7</v>
      </c>
      <c r="AD38" s="51" t="s">
        <v>252</v>
      </c>
      <c r="AE38" s="51">
        <v>0.03</v>
      </c>
      <c r="AF38" s="51">
        <v>0.92</v>
      </c>
      <c r="AG38" s="51">
        <v>0.41</v>
      </c>
      <c r="AH38" s="51">
        <v>0.47</v>
      </c>
      <c r="AI38" s="51">
        <v>1.5</v>
      </c>
      <c r="AJ38" s="51">
        <v>1.62</v>
      </c>
      <c r="AK38" s="51">
        <v>1.8</v>
      </c>
      <c r="AL38" s="51">
        <v>0.16</v>
      </c>
      <c r="AM38" s="51">
        <v>13.4</v>
      </c>
      <c r="AN38" s="51">
        <v>0.05</v>
      </c>
      <c r="AO38" s="51">
        <v>7.1</v>
      </c>
      <c r="AP38" s="51">
        <v>16.899999999999999</v>
      </c>
      <c r="AQ38" s="51" t="s">
        <v>253</v>
      </c>
      <c r="AR38" s="51">
        <v>4.1500000000000004</v>
      </c>
      <c r="AS38" s="51">
        <v>14.6</v>
      </c>
      <c r="AT38" s="51" t="s">
        <v>253</v>
      </c>
      <c r="AU38" s="51">
        <v>2.8</v>
      </c>
      <c r="AV38" s="51">
        <v>1</v>
      </c>
      <c r="AW38" s="51">
        <v>329</v>
      </c>
      <c r="AX38" s="51">
        <v>0.7</v>
      </c>
      <c r="AY38" s="51">
        <v>0.18</v>
      </c>
      <c r="AZ38" s="51">
        <v>0.61</v>
      </c>
      <c r="BA38" s="51">
        <v>0.06</v>
      </c>
      <c r="BB38" s="51">
        <v>0.12</v>
      </c>
      <c r="BC38" s="51" t="s">
        <v>252</v>
      </c>
      <c r="BD38" s="51">
        <v>4.5999999999999996</v>
      </c>
      <c r="BE38" s="51">
        <v>0.37</v>
      </c>
      <c r="BF38" s="51">
        <v>80</v>
      </c>
      <c r="BG38" s="64"/>
      <c r="BH38" s="73">
        <f t="shared" si="2"/>
        <v>135.69</v>
      </c>
      <c r="BI38" s="73">
        <f t="shared" si="3"/>
        <v>36.660000000000004</v>
      </c>
      <c r="BJ38" s="73">
        <f t="shared" si="4"/>
        <v>9.1911111111111108</v>
      </c>
      <c r="BK38" s="8">
        <f t="shared" si="1"/>
        <v>268</v>
      </c>
      <c r="BL38" s="8">
        <f t="shared" si="5"/>
        <v>87.8</v>
      </c>
      <c r="BM38" s="8">
        <f t="shared" si="6"/>
        <v>1.9434945159061026</v>
      </c>
      <c r="BN38" s="8">
        <f t="shared" si="7"/>
        <v>0.73</v>
      </c>
      <c r="BO38" s="8">
        <f t="shared" si="8"/>
        <v>-0.13667713987954411</v>
      </c>
      <c r="BP38" s="64"/>
      <c r="BQ38">
        <v>-0.5</v>
      </c>
      <c r="BR38">
        <v>1.23</v>
      </c>
      <c r="BS38">
        <v>2.38</v>
      </c>
      <c r="BT38">
        <v>1</v>
      </c>
      <c r="BU38">
        <v>-0.5</v>
      </c>
    </row>
    <row r="39" spans="1:73" x14ac:dyDescent="0.25">
      <c r="A39" t="s">
        <v>247</v>
      </c>
      <c r="B39" t="s">
        <v>294</v>
      </c>
      <c r="C39" s="70" t="s">
        <v>318</v>
      </c>
      <c r="D39" s="70" t="s">
        <v>249</v>
      </c>
      <c r="E39" s="70" t="s">
        <v>284</v>
      </c>
      <c r="F39" t="s">
        <v>251</v>
      </c>
      <c r="G39" s="71">
        <v>446</v>
      </c>
      <c r="H39" s="72">
        <v>61.030279999999998</v>
      </c>
      <c r="I39" s="72">
        <v>-45.39472</v>
      </c>
      <c r="J39" s="247">
        <v>478671.65364718373</v>
      </c>
      <c r="K39" s="247">
        <v>6766224.3426224114</v>
      </c>
      <c r="L39" s="51">
        <v>93.02</v>
      </c>
      <c r="M39" s="51">
        <v>0.3</v>
      </c>
      <c r="N39" s="51">
        <v>4.34</v>
      </c>
      <c r="O39" s="51">
        <v>0.09</v>
      </c>
      <c r="P39" s="51">
        <v>0.01</v>
      </c>
      <c r="Q39" s="51">
        <v>1.58</v>
      </c>
      <c r="R39" s="51">
        <v>0.19</v>
      </c>
      <c r="S39" s="51" t="s">
        <v>252</v>
      </c>
      <c r="T39" s="51">
        <v>0.02</v>
      </c>
      <c r="U39" s="51">
        <v>0.04</v>
      </c>
      <c r="V39" s="51">
        <v>0.02</v>
      </c>
      <c r="W39" s="51" t="s">
        <v>253</v>
      </c>
      <c r="X39" s="51" t="s">
        <v>253</v>
      </c>
      <c r="Y39" s="51">
        <v>0.3</v>
      </c>
      <c r="Z39" s="55">
        <f t="shared" si="0"/>
        <v>0.74383698713350854</v>
      </c>
      <c r="AA39" s="55">
        <f>SUM(L39:X39, Z39)</f>
        <v>100.3538369871335</v>
      </c>
      <c r="AB39" s="51">
        <v>59.1</v>
      </c>
      <c r="AC39" s="51">
        <v>58.4</v>
      </c>
      <c r="AD39" s="51" t="s">
        <v>252</v>
      </c>
      <c r="AE39" s="51" t="s">
        <v>252</v>
      </c>
      <c r="AF39" s="51">
        <v>2.76</v>
      </c>
      <c r="AG39" s="51">
        <v>1.56</v>
      </c>
      <c r="AH39" s="51">
        <v>1.0900000000000001</v>
      </c>
      <c r="AI39" s="51">
        <v>0.9</v>
      </c>
      <c r="AJ39" s="51">
        <v>4.32</v>
      </c>
      <c r="AK39" s="51">
        <v>1.3</v>
      </c>
      <c r="AL39" s="51">
        <v>0.48</v>
      </c>
      <c r="AM39" s="51">
        <v>34.299999999999997</v>
      </c>
      <c r="AN39" s="51">
        <v>0.27</v>
      </c>
      <c r="AO39" s="51">
        <v>12.3</v>
      </c>
      <c r="AP39" s="51">
        <v>35.6</v>
      </c>
      <c r="AQ39" s="51" t="s">
        <v>253</v>
      </c>
      <c r="AR39" s="51">
        <v>8.2899999999999991</v>
      </c>
      <c r="AS39" s="51">
        <v>3.5</v>
      </c>
      <c r="AT39" s="51" t="s">
        <v>253</v>
      </c>
      <c r="AU39" s="51">
        <v>5.96</v>
      </c>
      <c r="AV39" s="51">
        <v>1</v>
      </c>
      <c r="AW39" s="51">
        <v>36.700000000000003</v>
      </c>
      <c r="AX39" s="51">
        <v>0.4</v>
      </c>
      <c r="AY39" s="51">
        <v>0.48</v>
      </c>
      <c r="AZ39" s="51">
        <v>1.1000000000000001</v>
      </c>
      <c r="BA39" s="51">
        <v>0.21</v>
      </c>
      <c r="BB39" s="51">
        <v>0.19</v>
      </c>
      <c r="BC39" s="51">
        <v>15</v>
      </c>
      <c r="BD39" s="51">
        <v>12.5</v>
      </c>
      <c r="BE39" s="51">
        <v>1.75</v>
      </c>
      <c r="BF39" s="51">
        <v>42</v>
      </c>
      <c r="BG39" s="64"/>
      <c r="BH39" s="73">
        <f t="shared" si="2"/>
        <v>144.8738369871335</v>
      </c>
      <c r="BI39" s="73">
        <f t="shared" si="3"/>
        <v>70.859999999999985</v>
      </c>
      <c r="BJ39" s="73">
        <f t="shared" si="4"/>
        <v>7.3943028485757116</v>
      </c>
      <c r="BK39" s="8">
        <f t="shared" si="1"/>
        <v>127.03703703703702</v>
      </c>
      <c r="BL39" s="8">
        <f t="shared" si="5"/>
        <v>54.699999999999996</v>
      </c>
      <c r="BM39" s="8">
        <f t="shared" si="6"/>
        <v>1.7379873263334307</v>
      </c>
      <c r="BN39" s="8">
        <f t="shared" si="7"/>
        <v>1.29</v>
      </c>
      <c r="BO39" s="8">
        <f t="shared" si="8"/>
        <v>0.11058971029924898</v>
      </c>
      <c r="BP39" s="64"/>
      <c r="BQ39">
        <v>0.5</v>
      </c>
      <c r="BR39">
        <v>11.15</v>
      </c>
      <c r="BS39">
        <v>-0.44</v>
      </c>
      <c r="BT39">
        <v>0</v>
      </c>
      <c r="BU39">
        <v>-0.5</v>
      </c>
    </row>
    <row r="40" spans="1:73" x14ac:dyDescent="0.25">
      <c r="A40" t="s">
        <v>247</v>
      </c>
      <c r="B40" t="s">
        <v>295</v>
      </c>
      <c r="C40" s="70" t="s">
        <v>318</v>
      </c>
      <c r="D40" s="70" t="s">
        <v>249</v>
      </c>
      <c r="E40" s="70" t="s">
        <v>284</v>
      </c>
      <c r="F40" t="s">
        <v>251</v>
      </c>
      <c r="G40" s="71">
        <v>2570</v>
      </c>
      <c r="H40" s="72">
        <v>61.026940000000003</v>
      </c>
      <c r="I40" s="72">
        <v>-45.432220000000001</v>
      </c>
      <c r="J40" s="247">
        <v>476642.93853884254</v>
      </c>
      <c r="K40" s="247">
        <v>6765865.1152317142</v>
      </c>
      <c r="L40" s="51">
        <v>92.11</v>
      </c>
      <c r="M40" s="51">
        <v>0.21</v>
      </c>
      <c r="N40" s="51">
        <v>7.16</v>
      </c>
      <c r="O40" s="125">
        <v>5.0000000000000001E-3</v>
      </c>
      <c r="P40" s="51" t="s">
        <v>252</v>
      </c>
      <c r="Q40" s="51">
        <v>0.01</v>
      </c>
      <c r="R40" s="51">
        <v>7.0000000000000007E-2</v>
      </c>
      <c r="S40" s="51" t="s">
        <v>252</v>
      </c>
      <c r="T40" s="51">
        <v>0.06</v>
      </c>
      <c r="U40" s="51">
        <v>0.05</v>
      </c>
      <c r="V40" s="51">
        <v>0.01</v>
      </c>
      <c r="W40" s="51" t="s">
        <v>253</v>
      </c>
      <c r="X40" s="51" t="s">
        <v>253</v>
      </c>
      <c r="Y40" s="51">
        <v>0.2</v>
      </c>
      <c r="Z40" s="55">
        <f t="shared" si="0"/>
        <v>0.92862215752364852</v>
      </c>
      <c r="AA40" s="55">
        <f>SUM(L40:X40, Z40)</f>
        <v>100.61362215752364</v>
      </c>
      <c r="AB40" s="51">
        <v>32.6</v>
      </c>
      <c r="AC40" s="51">
        <v>4.9000000000000004</v>
      </c>
      <c r="AD40" s="51">
        <v>10</v>
      </c>
      <c r="AE40" s="51">
        <v>0.04</v>
      </c>
      <c r="AF40" s="51">
        <v>1.21</v>
      </c>
      <c r="AG40" s="51">
        <v>0.68</v>
      </c>
      <c r="AH40" s="51">
        <v>0.18</v>
      </c>
      <c r="AI40" s="51">
        <v>0.3</v>
      </c>
      <c r="AJ40" s="51">
        <v>1.04</v>
      </c>
      <c r="AK40" s="51">
        <v>1.1000000000000001</v>
      </c>
      <c r="AL40" s="51">
        <v>0.24</v>
      </c>
      <c r="AM40" s="51">
        <v>4</v>
      </c>
      <c r="AN40" s="51">
        <v>0.09</v>
      </c>
      <c r="AO40" s="51">
        <v>74.900000000000006</v>
      </c>
      <c r="AP40" s="51">
        <v>5.0999999999999996</v>
      </c>
      <c r="AQ40" s="51" t="s">
        <v>253</v>
      </c>
      <c r="AR40" s="51">
        <v>1.04</v>
      </c>
      <c r="AS40" s="51">
        <v>1.6</v>
      </c>
      <c r="AT40" s="51" t="s">
        <v>253</v>
      </c>
      <c r="AU40" s="51">
        <v>1.04</v>
      </c>
      <c r="AV40" s="51">
        <v>1</v>
      </c>
      <c r="AW40" s="51">
        <v>3.2</v>
      </c>
      <c r="AX40" s="51">
        <v>0.5</v>
      </c>
      <c r="AY40" s="51">
        <v>0.16</v>
      </c>
      <c r="AZ40" s="51">
        <v>1.06</v>
      </c>
      <c r="BA40" s="51">
        <v>0.08</v>
      </c>
      <c r="BB40" s="51">
        <v>0.48</v>
      </c>
      <c r="BC40" s="51">
        <v>27</v>
      </c>
      <c r="BD40" s="51">
        <v>5.7</v>
      </c>
      <c r="BE40" s="51">
        <v>0.66</v>
      </c>
      <c r="BF40" s="51">
        <v>39</v>
      </c>
      <c r="BG40" s="64"/>
      <c r="BH40" s="73">
        <f t="shared" si="2"/>
        <v>109.89362215752362</v>
      </c>
      <c r="BI40" s="73">
        <f t="shared" si="3"/>
        <v>42.210000000000008</v>
      </c>
      <c r="BJ40" s="73">
        <f t="shared" si="4"/>
        <v>1.961451247165533</v>
      </c>
      <c r="BK40" s="8">
        <f t="shared" si="1"/>
        <v>44.444444444444443</v>
      </c>
      <c r="BL40" s="8">
        <f t="shared" si="5"/>
        <v>114.4</v>
      </c>
      <c r="BM40" s="8">
        <f t="shared" si="6"/>
        <v>2.0584260244570056</v>
      </c>
      <c r="BN40" s="8">
        <f t="shared" si="7"/>
        <v>1.54</v>
      </c>
      <c r="BO40" s="8">
        <f t="shared" si="8"/>
        <v>0.18752072083646307</v>
      </c>
      <c r="BP40" s="64"/>
    </row>
    <row r="41" spans="1:73" x14ac:dyDescent="0.25">
      <c r="A41" t="s">
        <v>247</v>
      </c>
      <c r="B41" t="s">
        <v>296</v>
      </c>
      <c r="C41" s="70" t="s">
        <v>249</v>
      </c>
      <c r="D41" s="70" t="s">
        <v>249</v>
      </c>
      <c r="E41" s="70" t="s">
        <v>297</v>
      </c>
      <c r="F41" t="s">
        <v>298</v>
      </c>
      <c r="G41" s="71">
        <v>850</v>
      </c>
      <c r="H41" s="72">
        <v>61.036038689999998</v>
      </c>
      <c r="I41" s="72">
        <v>-45.405278799999998</v>
      </c>
      <c r="J41" s="247">
        <v>478105.09275911329</v>
      </c>
      <c r="K41" s="247">
        <v>6766869.2510424927</v>
      </c>
      <c r="L41" s="51">
        <v>98.5</v>
      </c>
      <c r="M41" s="51">
        <v>0.61</v>
      </c>
      <c r="N41" s="51">
        <v>0.16</v>
      </c>
      <c r="O41" s="125">
        <v>0.01</v>
      </c>
      <c r="P41" s="51">
        <v>0.02</v>
      </c>
      <c r="Q41" s="51">
        <v>0.15</v>
      </c>
      <c r="R41" s="51">
        <v>0.33</v>
      </c>
      <c r="S41" s="51" t="s">
        <v>252</v>
      </c>
      <c r="T41" s="51">
        <v>0.04</v>
      </c>
      <c r="U41" s="51" t="s">
        <v>252</v>
      </c>
      <c r="V41" s="51" t="s">
        <v>252</v>
      </c>
      <c r="W41" s="51">
        <v>0.01</v>
      </c>
      <c r="X41" s="51" t="s">
        <v>252</v>
      </c>
      <c r="Y41" s="51">
        <v>0.19</v>
      </c>
      <c r="Z41" s="55">
        <f t="shared" si="0"/>
        <v>0.20715776991642243</v>
      </c>
      <c r="AA41" s="51">
        <v>100.02</v>
      </c>
      <c r="AB41" s="51">
        <v>29.4</v>
      </c>
      <c r="AC41" s="51">
        <v>5.2</v>
      </c>
      <c r="AD41" s="51" t="s">
        <v>252</v>
      </c>
      <c r="AE41" s="51">
        <v>0.02</v>
      </c>
      <c r="AF41" s="51">
        <v>0.48</v>
      </c>
      <c r="AG41" s="51">
        <v>0.33</v>
      </c>
      <c r="AH41" s="51">
        <v>0.12</v>
      </c>
      <c r="AI41" s="51">
        <v>0.5</v>
      </c>
      <c r="AJ41" s="51">
        <v>0.52</v>
      </c>
      <c r="AK41" s="51">
        <v>2.8</v>
      </c>
      <c r="AL41" s="51">
        <v>0.12</v>
      </c>
      <c r="AM41" s="51">
        <v>3.7</v>
      </c>
      <c r="AN41" s="51">
        <v>0.06</v>
      </c>
      <c r="AO41" s="51">
        <v>3.3</v>
      </c>
      <c r="AP41" s="51">
        <v>3.1</v>
      </c>
      <c r="AQ41" s="51" t="s">
        <v>253</v>
      </c>
      <c r="AR41" s="51">
        <v>0.86</v>
      </c>
      <c r="AS41" s="51">
        <v>4.2</v>
      </c>
      <c r="AT41" s="51" t="s">
        <v>253</v>
      </c>
      <c r="AU41" s="51">
        <v>0.63</v>
      </c>
      <c r="AV41" s="51">
        <v>1</v>
      </c>
      <c r="AW41" s="51">
        <v>3.9</v>
      </c>
      <c r="AX41" s="51">
        <v>0.4</v>
      </c>
      <c r="AY41" s="51">
        <v>0.09</v>
      </c>
      <c r="AZ41" s="51">
        <v>0.96</v>
      </c>
      <c r="BA41" s="51">
        <v>7.0000000000000007E-2</v>
      </c>
      <c r="BB41" s="51">
        <v>0.28999999999999998</v>
      </c>
      <c r="BC41" s="51" t="s">
        <v>252</v>
      </c>
      <c r="BD41" s="51">
        <v>3.2</v>
      </c>
      <c r="BE41" s="51">
        <v>0.49</v>
      </c>
      <c r="BF41" s="51">
        <v>119</v>
      </c>
      <c r="BG41" s="64"/>
      <c r="BH41" s="73">
        <f t="shared" si="2"/>
        <v>110.78</v>
      </c>
      <c r="BI41" s="73">
        <f t="shared" si="3"/>
        <v>15.760000000000002</v>
      </c>
      <c r="BJ41" s="73">
        <f t="shared" si="4"/>
        <v>2.9194214876033051</v>
      </c>
      <c r="BK41" s="8">
        <f t="shared" si="1"/>
        <v>61.666666666666671</v>
      </c>
      <c r="BL41" s="8">
        <f t="shared" si="5"/>
        <v>122.7</v>
      </c>
      <c r="BM41" s="8">
        <f t="shared" si="6"/>
        <v>2.0888445627270045</v>
      </c>
      <c r="BN41" s="8">
        <f t="shared" si="7"/>
        <v>1.25</v>
      </c>
      <c r="BO41" s="8">
        <f t="shared" si="8"/>
        <v>9.691001300805642E-2</v>
      </c>
      <c r="BP41" s="64"/>
      <c r="BQ41">
        <v>-0.83</v>
      </c>
      <c r="BR41">
        <v>0.15</v>
      </c>
      <c r="BS41">
        <v>-0.03</v>
      </c>
      <c r="BT41">
        <v>1</v>
      </c>
      <c r="BU41">
        <v>0</v>
      </c>
    </row>
    <row r="42" spans="1:73" x14ac:dyDescent="0.25">
      <c r="A42" t="s">
        <v>247</v>
      </c>
      <c r="B42" t="s">
        <v>299</v>
      </c>
      <c r="C42" s="70" t="s">
        <v>249</v>
      </c>
      <c r="D42" s="70" t="s">
        <v>249</v>
      </c>
      <c r="E42" s="70" t="s">
        <v>297</v>
      </c>
      <c r="F42" t="s">
        <v>298</v>
      </c>
      <c r="G42" s="71">
        <v>1065</v>
      </c>
      <c r="H42" s="72">
        <v>61.035432180000001</v>
      </c>
      <c r="I42" s="72">
        <v>-45.409015340000003</v>
      </c>
      <c r="J42" s="247">
        <v>477902.80863550166</v>
      </c>
      <c r="K42" s="247">
        <v>6766802.9508103207</v>
      </c>
      <c r="L42" s="51">
        <v>97.1</v>
      </c>
      <c r="M42" s="51">
        <v>1.05</v>
      </c>
      <c r="N42" s="51">
        <v>0.26</v>
      </c>
      <c r="O42" s="125">
        <v>5.0000000000000001E-3</v>
      </c>
      <c r="P42" s="51">
        <v>0.01</v>
      </c>
      <c r="Q42" s="51">
        <v>0.17</v>
      </c>
      <c r="R42" s="51">
        <v>0.72</v>
      </c>
      <c r="S42" s="51" t="s">
        <v>252</v>
      </c>
      <c r="T42" s="51">
        <v>0.06</v>
      </c>
      <c r="U42" s="51" t="s">
        <v>252</v>
      </c>
      <c r="V42" s="51" t="s">
        <v>252</v>
      </c>
      <c r="W42" s="51">
        <v>0.01</v>
      </c>
      <c r="X42" s="51" t="s">
        <v>252</v>
      </c>
      <c r="Y42" s="51">
        <v>0.26</v>
      </c>
      <c r="Z42" s="55">
        <f t="shared" si="0"/>
        <v>0.28717655513871426</v>
      </c>
      <c r="AA42" s="51">
        <v>99.64</v>
      </c>
      <c r="AB42" s="51">
        <v>34.700000000000003</v>
      </c>
      <c r="AC42" s="51">
        <v>6.8</v>
      </c>
      <c r="AD42" s="51">
        <v>10</v>
      </c>
      <c r="AE42" s="51">
        <v>0.03</v>
      </c>
      <c r="AF42" s="51">
        <v>0.77</v>
      </c>
      <c r="AG42" s="51">
        <v>0.55000000000000004</v>
      </c>
      <c r="AH42" s="51">
        <v>0.18</v>
      </c>
      <c r="AI42" s="51">
        <v>0.9</v>
      </c>
      <c r="AJ42" s="51">
        <v>0.76</v>
      </c>
      <c r="AK42" s="51">
        <v>3.2</v>
      </c>
      <c r="AL42" s="51">
        <v>0.17</v>
      </c>
      <c r="AM42" s="51">
        <v>5.3</v>
      </c>
      <c r="AN42" s="51">
        <v>0.09</v>
      </c>
      <c r="AO42" s="51">
        <v>4.9000000000000004</v>
      </c>
      <c r="AP42" s="51">
        <v>4.7</v>
      </c>
      <c r="AQ42" s="51" t="s">
        <v>253</v>
      </c>
      <c r="AR42" s="51">
        <v>1.19</v>
      </c>
      <c r="AS42" s="51">
        <v>10.6</v>
      </c>
      <c r="AT42" s="51" t="s">
        <v>253</v>
      </c>
      <c r="AU42" s="51">
        <v>0.97</v>
      </c>
      <c r="AV42" s="51">
        <v>1</v>
      </c>
      <c r="AW42" s="51">
        <v>4</v>
      </c>
      <c r="AX42" s="51">
        <v>0.6</v>
      </c>
      <c r="AY42" s="51">
        <v>0.13</v>
      </c>
      <c r="AZ42" s="51">
        <v>1.48</v>
      </c>
      <c r="BA42" s="51">
        <v>0.09</v>
      </c>
      <c r="BB42" s="51">
        <v>0.32</v>
      </c>
      <c r="BC42" s="51" t="s">
        <v>252</v>
      </c>
      <c r="BD42" s="51">
        <v>5</v>
      </c>
      <c r="BE42" s="51">
        <v>0.64</v>
      </c>
      <c r="BF42" s="51">
        <v>136</v>
      </c>
      <c r="BG42" s="64"/>
      <c r="BH42" s="73">
        <f t="shared" si="2"/>
        <v>119.18</v>
      </c>
      <c r="BI42" s="73">
        <f t="shared" si="3"/>
        <v>26.98</v>
      </c>
      <c r="BJ42" s="73">
        <f t="shared" si="4"/>
        <v>2.6747311827956994</v>
      </c>
      <c r="BK42" s="8">
        <f t="shared" si="1"/>
        <v>58.888888888888886</v>
      </c>
      <c r="BL42" s="8">
        <f t="shared" si="5"/>
        <v>141.5</v>
      </c>
      <c r="BM42" s="8">
        <f t="shared" si="6"/>
        <v>2.150756439860309</v>
      </c>
      <c r="BN42" s="8">
        <f t="shared" si="7"/>
        <v>1.8</v>
      </c>
      <c r="BO42" s="8">
        <f t="shared" si="8"/>
        <v>0.25527250510330607</v>
      </c>
      <c r="BP42" s="64"/>
      <c r="BQ42">
        <v>-0.92</v>
      </c>
      <c r="BR42">
        <v>0.31</v>
      </c>
      <c r="BS42">
        <v>1.1200000000000001</v>
      </c>
      <c r="BT42">
        <v>2</v>
      </c>
      <c r="BU42">
        <v>-0.5</v>
      </c>
    </row>
    <row r="43" spans="1:73" x14ac:dyDescent="0.25">
      <c r="A43" t="s">
        <v>247</v>
      </c>
      <c r="B43" t="s">
        <v>300</v>
      </c>
      <c r="C43" s="70" t="s">
        <v>249</v>
      </c>
      <c r="D43" s="70" t="s">
        <v>249</v>
      </c>
      <c r="E43" s="70" t="s">
        <v>297</v>
      </c>
      <c r="F43" t="s">
        <v>298</v>
      </c>
      <c r="G43" s="71">
        <v>1190</v>
      </c>
      <c r="H43" s="72">
        <v>61.033184130000002</v>
      </c>
      <c r="I43" s="72">
        <v>-45.408505290000001</v>
      </c>
      <c r="J43" s="247">
        <v>477928.80203944806</v>
      </c>
      <c r="K43" s="247">
        <v>6766552.3828925593</v>
      </c>
      <c r="L43" s="51">
        <v>98.8</v>
      </c>
      <c r="M43" s="51">
        <v>0.53</v>
      </c>
      <c r="N43" s="51">
        <v>0.09</v>
      </c>
      <c r="O43" s="125">
        <v>5.0000000000000001E-3</v>
      </c>
      <c r="P43" s="51">
        <v>0.01</v>
      </c>
      <c r="Q43" s="51">
        <v>0.11</v>
      </c>
      <c r="R43" s="51">
        <v>0.33</v>
      </c>
      <c r="S43" s="51" t="s">
        <v>252</v>
      </c>
      <c r="T43" s="51">
        <v>0.03</v>
      </c>
      <c r="U43" s="51" t="s">
        <v>252</v>
      </c>
      <c r="V43" s="51" t="s">
        <v>252</v>
      </c>
      <c r="W43" s="51" t="s">
        <v>252</v>
      </c>
      <c r="X43" s="51" t="s">
        <v>252</v>
      </c>
      <c r="Y43" s="51">
        <v>0.17</v>
      </c>
      <c r="Z43" s="55">
        <f t="shared" si="0"/>
        <v>0.18014462026081818</v>
      </c>
      <c r="AA43" s="51">
        <v>100.07</v>
      </c>
      <c r="AB43" s="51">
        <v>20.7</v>
      </c>
      <c r="AC43" s="51">
        <v>7.9</v>
      </c>
      <c r="AD43" s="51" t="s">
        <v>252</v>
      </c>
      <c r="AE43" s="51">
        <v>0.02</v>
      </c>
      <c r="AF43" s="51">
        <v>0.43</v>
      </c>
      <c r="AG43" s="51">
        <v>0.28999999999999998</v>
      </c>
      <c r="AH43" s="51">
        <v>0.11</v>
      </c>
      <c r="AI43" s="51">
        <v>0.5</v>
      </c>
      <c r="AJ43" s="51">
        <v>0.69</v>
      </c>
      <c r="AK43" s="51">
        <v>1.1000000000000001</v>
      </c>
      <c r="AL43" s="51">
        <v>0.09</v>
      </c>
      <c r="AM43" s="51">
        <v>4.8</v>
      </c>
      <c r="AN43" s="51">
        <v>0.03</v>
      </c>
      <c r="AO43" s="51">
        <v>2.2999999999999998</v>
      </c>
      <c r="AP43" s="51">
        <v>4.4000000000000004</v>
      </c>
      <c r="AQ43" s="51" t="s">
        <v>253</v>
      </c>
      <c r="AR43" s="51">
        <v>1.05</v>
      </c>
      <c r="AS43" s="51">
        <v>4</v>
      </c>
      <c r="AT43" s="51" t="s">
        <v>253</v>
      </c>
      <c r="AU43" s="51">
        <v>0.81</v>
      </c>
      <c r="AV43" s="51">
        <v>1</v>
      </c>
      <c r="AW43" s="51">
        <v>3.2</v>
      </c>
      <c r="AX43" s="51">
        <v>0.8</v>
      </c>
      <c r="AY43" s="51">
        <v>7.0000000000000007E-2</v>
      </c>
      <c r="AZ43" s="51">
        <v>1.05</v>
      </c>
      <c r="BA43" s="51">
        <v>0.02</v>
      </c>
      <c r="BB43" s="51">
        <v>0.2</v>
      </c>
      <c r="BC43" s="51">
        <v>5</v>
      </c>
      <c r="BD43" s="51">
        <v>2.8</v>
      </c>
      <c r="BE43" s="51">
        <v>0.28999999999999998</v>
      </c>
      <c r="BF43" s="51">
        <v>40</v>
      </c>
      <c r="BG43" s="64"/>
      <c r="BH43" s="73">
        <f t="shared" si="2"/>
        <v>110.14</v>
      </c>
      <c r="BI43" s="73">
        <f t="shared" si="3"/>
        <v>19.999999999999996</v>
      </c>
      <c r="BJ43" s="73">
        <f t="shared" si="4"/>
        <v>4.9154228855721396</v>
      </c>
      <c r="BK43" s="8">
        <f t="shared" si="1"/>
        <v>160</v>
      </c>
      <c r="BL43" s="8">
        <f t="shared" si="5"/>
        <v>43.099999999999994</v>
      </c>
      <c r="BM43" s="8">
        <f t="shared" si="6"/>
        <v>1.6344772701607315</v>
      </c>
      <c r="BN43" s="8">
        <f t="shared" si="7"/>
        <v>1.25</v>
      </c>
      <c r="BO43" s="8">
        <f t="shared" si="8"/>
        <v>9.691001300805642E-2</v>
      </c>
      <c r="BP43" s="64"/>
      <c r="BQ43">
        <v>-0.92</v>
      </c>
      <c r="BR43">
        <v>-0.15</v>
      </c>
      <c r="BS43">
        <v>-0.03</v>
      </c>
      <c r="BT43">
        <v>0.5</v>
      </c>
      <c r="BU43">
        <v>-0.5</v>
      </c>
    </row>
    <row r="44" spans="1:73" x14ac:dyDescent="0.25">
      <c r="A44" t="s">
        <v>247</v>
      </c>
      <c r="B44" t="s">
        <v>301</v>
      </c>
      <c r="C44" s="70" t="s">
        <v>249</v>
      </c>
      <c r="D44" s="70" t="s">
        <v>249</v>
      </c>
      <c r="E44" s="70" t="s">
        <v>297</v>
      </c>
      <c r="F44" t="s">
        <v>298</v>
      </c>
      <c r="G44" s="71">
        <v>1195</v>
      </c>
      <c r="H44" s="72">
        <v>61.031496879999999</v>
      </c>
      <c r="I44" s="72">
        <v>-45.409355830000003</v>
      </c>
      <c r="J44" s="247">
        <v>477881.67375259037</v>
      </c>
      <c r="K44" s="247">
        <v>6766364.7379206996</v>
      </c>
      <c r="L44" s="51">
        <v>99.1</v>
      </c>
      <c r="M44" s="51">
        <v>0.43</v>
      </c>
      <c r="N44" s="51">
        <v>0.11</v>
      </c>
      <c r="O44" s="125">
        <v>0.24</v>
      </c>
      <c r="P44" s="51">
        <v>0.01</v>
      </c>
      <c r="Q44" s="51">
        <v>0.13</v>
      </c>
      <c r="R44" s="51">
        <v>0.23</v>
      </c>
      <c r="S44" s="51" t="s">
        <v>252</v>
      </c>
      <c r="T44" s="51">
        <v>0.02</v>
      </c>
      <c r="U44" s="51" t="s">
        <v>252</v>
      </c>
      <c r="V44" s="51">
        <v>0.17</v>
      </c>
      <c r="W44" s="51">
        <v>0.01</v>
      </c>
      <c r="X44" s="51" t="s">
        <v>252</v>
      </c>
      <c r="Y44" s="51">
        <v>0.16</v>
      </c>
      <c r="Z44" s="55">
        <f t="shared" si="0"/>
        <v>0.17214837730527655</v>
      </c>
      <c r="AA44" s="51">
        <v>100.61</v>
      </c>
      <c r="AB44" s="51">
        <v>16.399999999999999</v>
      </c>
      <c r="AC44" s="51">
        <v>5.5</v>
      </c>
      <c r="AD44" s="51" t="s">
        <v>252</v>
      </c>
      <c r="AE44" s="51">
        <v>0.01</v>
      </c>
      <c r="AF44" s="51">
        <v>1.57</v>
      </c>
      <c r="AG44" s="51">
        <v>0.89</v>
      </c>
      <c r="AH44" s="51">
        <v>0.44</v>
      </c>
      <c r="AI44" s="51">
        <v>0.4</v>
      </c>
      <c r="AJ44" s="51">
        <v>2.69</v>
      </c>
      <c r="AK44" s="51">
        <v>2</v>
      </c>
      <c r="AL44" s="51">
        <v>0.26</v>
      </c>
      <c r="AM44" s="51">
        <v>4.5</v>
      </c>
      <c r="AN44" s="51">
        <v>0.09</v>
      </c>
      <c r="AO44" s="51">
        <v>2.5</v>
      </c>
      <c r="AP44" s="51">
        <v>6.2</v>
      </c>
      <c r="AQ44" s="51" t="s">
        <v>253</v>
      </c>
      <c r="AR44" s="51">
        <v>1.38</v>
      </c>
      <c r="AS44" s="51">
        <v>3.4</v>
      </c>
      <c r="AT44" s="51" t="s">
        <v>253</v>
      </c>
      <c r="AU44" s="51">
        <v>1.88</v>
      </c>
      <c r="AV44" s="51">
        <v>1</v>
      </c>
      <c r="AW44" s="51">
        <v>23.9</v>
      </c>
      <c r="AX44" s="51">
        <v>0.5</v>
      </c>
      <c r="AY44" s="51">
        <v>0.3</v>
      </c>
      <c r="AZ44" s="51">
        <v>1.49</v>
      </c>
      <c r="BA44" s="51">
        <v>0.12</v>
      </c>
      <c r="BB44" s="51">
        <v>0.48</v>
      </c>
      <c r="BC44" s="51" t="s">
        <v>252</v>
      </c>
      <c r="BD44" s="51">
        <v>9</v>
      </c>
      <c r="BE44" s="51">
        <v>0.68</v>
      </c>
      <c r="BF44" s="51">
        <v>85</v>
      </c>
      <c r="BG44" s="64"/>
      <c r="BH44" s="73">
        <f t="shared" si="2"/>
        <v>114.31</v>
      </c>
      <c r="BI44" s="73">
        <f t="shared" si="3"/>
        <v>22.469999999999995</v>
      </c>
      <c r="BJ44" s="73">
        <f t="shared" si="4"/>
        <v>1.7498063516653757</v>
      </c>
      <c r="BK44" s="8">
        <f t="shared" si="1"/>
        <v>50</v>
      </c>
      <c r="BL44" s="8">
        <f t="shared" si="5"/>
        <v>88</v>
      </c>
      <c r="BM44" s="8">
        <f t="shared" si="6"/>
        <v>1.9444826721501687</v>
      </c>
      <c r="BN44" s="8">
        <f t="shared" si="7"/>
        <v>1.97</v>
      </c>
      <c r="BO44" s="8">
        <f t="shared" si="8"/>
        <v>0.2944662261615929</v>
      </c>
      <c r="BP44" s="64"/>
      <c r="BQ44">
        <v>3</v>
      </c>
      <c r="BR44">
        <v>0</v>
      </c>
      <c r="BS44">
        <v>-0.32</v>
      </c>
      <c r="BT44">
        <v>0</v>
      </c>
      <c r="BU44">
        <v>-0.5</v>
      </c>
    </row>
    <row r="45" spans="1:73" x14ac:dyDescent="0.25">
      <c r="A45" t="s">
        <v>247</v>
      </c>
      <c r="B45" t="s">
        <v>302</v>
      </c>
      <c r="C45" s="70" t="s">
        <v>249</v>
      </c>
      <c r="D45" s="70" t="s">
        <v>249</v>
      </c>
      <c r="E45" s="70" t="s">
        <v>297</v>
      </c>
      <c r="F45" t="s">
        <v>298</v>
      </c>
      <c r="G45" s="71">
        <v>1210</v>
      </c>
      <c r="H45" s="72">
        <v>61.034285879999999</v>
      </c>
      <c r="I45" s="72">
        <v>-45.411352780000001</v>
      </c>
      <c r="J45" s="247">
        <v>477775.72678246966</v>
      </c>
      <c r="K45" s="247">
        <v>6766676.0627752794</v>
      </c>
      <c r="L45" s="51">
        <v>99</v>
      </c>
      <c r="M45" s="51">
        <v>1.03</v>
      </c>
      <c r="N45" s="51">
        <v>0.16</v>
      </c>
      <c r="O45" s="125">
        <v>5.0000000000000001E-3</v>
      </c>
      <c r="P45" s="51">
        <v>0.02</v>
      </c>
      <c r="Q45" s="51">
        <v>0.24</v>
      </c>
      <c r="R45" s="51">
        <v>0.55000000000000004</v>
      </c>
      <c r="S45" s="51" t="s">
        <v>252</v>
      </c>
      <c r="T45" s="51">
        <v>0.02</v>
      </c>
      <c r="U45" s="51" t="s">
        <v>252</v>
      </c>
      <c r="V45" s="51" t="s">
        <v>252</v>
      </c>
      <c r="W45" s="51">
        <v>0.01</v>
      </c>
      <c r="X45" s="51" t="s">
        <v>252</v>
      </c>
      <c r="Y45" s="51">
        <v>0.21</v>
      </c>
      <c r="Z45" s="55">
        <f t="shared" si="0"/>
        <v>0.22715776991642242</v>
      </c>
      <c r="AA45" s="51">
        <v>101.24</v>
      </c>
      <c r="AB45" s="51">
        <v>34</v>
      </c>
      <c r="AC45" s="51">
        <v>5.7</v>
      </c>
      <c r="AD45" s="51">
        <v>10</v>
      </c>
      <c r="AE45" s="51">
        <v>0.06</v>
      </c>
      <c r="AF45" s="51">
        <v>0.82</v>
      </c>
      <c r="AG45" s="51">
        <v>0.51</v>
      </c>
      <c r="AH45" s="51">
        <v>0.16</v>
      </c>
      <c r="AI45" s="51">
        <v>1.2</v>
      </c>
      <c r="AJ45" s="51">
        <v>0.74</v>
      </c>
      <c r="AK45" s="51">
        <v>1</v>
      </c>
      <c r="AL45" s="51">
        <v>0.16</v>
      </c>
      <c r="AM45" s="51">
        <v>4.3</v>
      </c>
      <c r="AN45" s="51">
        <v>0.06</v>
      </c>
      <c r="AO45" s="51">
        <v>2.5</v>
      </c>
      <c r="AP45" s="51">
        <v>5.3</v>
      </c>
      <c r="AQ45" s="51" t="s">
        <v>253</v>
      </c>
      <c r="AR45" s="51">
        <v>1.18</v>
      </c>
      <c r="AS45" s="51">
        <v>6.8</v>
      </c>
      <c r="AT45" s="51" t="s">
        <v>253</v>
      </c>
      <c r="AU45" s="51">
        <v>0.92</v>
      </c>
      <c r="AV45" s="51">
        <v>1</v>
      </c>
      <c r="AW45" s="51">
        <v>6.4</v>
      </c>
      <c r="AX45" s="51">
        <v>0.7</v>
      </c>
      <c r="AY45" s="51">
        <v>0.13</v>
      </c>
      <c r="AZ45" s="51">
        <v>1.24</v>
      </c>
      <c r="BA45" s="51">
        <v>0.08</v>
      </c>
      <c r="BB45" s="51">
        <v>0.24</v>
      </c>
      <c r="BC45" s="51" t="s">
        <v>252</v>
      </c>
      <c r="BD45" s="51">
        <v>5</v>
      </c>
      <c r="BE45" s="51">
        <v>0.45</v>
      </c>
      <c r="BF45" s="51">
        <v>39</v>
      </c>
      <c r="BG45" s="64"/>
      <c r="BH45" s="73">
        <f t="shared" si="2"/>
        <v>115.37999999999998</v>
      </c>
      <c r="BI45" s="73">
        <f t="shared" si="3"/>
        <v>19.919999999999998</v>
      </c>
      <c r="BJ45" s="73">
        <f t="shared" si="4"/>
        <v>2.5381414701803049</v>
      </c>
      <c r="BK45" s="8">
        <f t="shared" si="1"/>
        <v>71.666666666666671</v>
      </c>
      <c r="BL45" s="8">
        <f t="shared" si="5"/>
        <v>42.2</v>
      </c>
      <c r="BM45" s="8">
        <f t="shared" si="6"/>
        <v>1.6253124509616739</v>
      </c>
      <c r="BN45" s="8">
        <f t="shared" si="7"/>
        <v>1.48</v>
      </c>
      <c r="BO45" s="8">
        <f t="shared" si="8"/>
        <v>0.17026171539495738</v>
      </c>
      <c r="BP45" s="64"/>
      <c r="BQ45">
        <v>-0.92</v>
      </c>
      <c r="BR45">
        <v>0.85</v>
      </c>
      <c r="BS45">
        <v>0.62</v>
      </c>
      <c r="BT45">
        <v>0</v>
      </c>
      <c r="BU45">
        <v>0</v>
      </c>
    </row>
    <row r="46" spans="1:73" x14ac:dyDescent="0.25">
      <c r="A46" t="s">
        <v>247</v>
      </c>
      <c r="B46" t="s">
        <v>303</v>
      </c>
      <c r="C46" s="70" t="s">
        <v>249</v>
      </c>
      <c r="D46" s="70" t="s">
        <v>249</v>
      </c>
      <c r="E46" s="70" t="s">
        <v>297</v>
      </c>
      <c r="F46" t="s">
        <v>298</v>
      </c>
      <c r="G46" s="71">
        <v>1340</v>
      </c>
      <c r="H46" s="72">
        <v>61.028768120000002</v>
      </c>
      <c r="I46" s="72">
        <v>-45.410332580000002</v>
      </c>
      <c r="J46" s="247">
        <v>477826.99406913976</v>
      </c>
      <c r="K46" s="247">
        <v>6766061.1292968811</v>
      </c>
      <c r="L46" s="51">
        <v>96.8</v>
      </c>
      <c r="M46" s="51">
        <v>1.35</v>
      </c>
      <c r="N46" s="51">
        <v>0.32</v>
      </c>
      <c r="O46" s="125">
        <v>0.01</v>
      </c>
      <c r="P46" s="51">
        <v>0.03</v>
      </c>
      <c r="Q46" s="51">
        <v>0.22</v>
      </c>
      <c r="R46" s="51">
        <v>0.87</v>
      </c>
      <c r="S46" s="51" t="s">
        <v>252</v>
      </c>
      <c r="T46" s="51">
        <v>0.05</v>
      </c>
      <c r="U46" s="51" t="s">
        <v>252</v>
      </c>
      <c r="V46" s="51" t="s">
        <v>252</v>
      </c>
      <c r="W46" s="51">
        <v>0.01</v>
      </c>
      <c r="X46" s="51">
        <v>0.01</v>
      </c>
      <c r="Y46" s="51">
        <v>0.13</v>
      </c>
      <c r="Z46" s="55">
        <f t="shared" si="0"/>
        <v>0.1631878262720893</v>
      </c>
      <c r="AA46" s="51">
        <v>99.8</v>
      </c>
      <c r="AB46" s="51">
        <v>56</v>
      </c>
      <c r="AC46" s="51">
        <v>7.7</v>
      </c>
      <c r="AD46" s="51">
        <v>10</v>
      </c>
      <c r="AE46" s="51">
        <v>0.05</v>
      </c>
      <c r="AF46" s="51">
        <v>1.81</v>
      </c>
      <c r="AG46" s="51">
        <v>1.03</v>
      </c>
      <c r="AH46" s="51">
        <v>0.24</v>
      </c>
      <c r="AI46" s="51">
        <v>1.3</v>
      </c>
      <c r="AJ46" s="51">
        <v>1.57</v>
      </c>
      <c r="AK46" s="51">
        <v>2.7</v>
      </c>
      <c r="AL46" s="51">
        <v>0.36</v>
      </c>
      <c r="AM46" s="51">
        <v>3.3</v>
      </c>
      <c r="AN46" s="51">
        <v>0.12</v>
      </c>
      <c r="AO46" s="51">
        <v>5.0999999999999996</v>
      </c>
      <c r="AP46" s="51">
        <v>3.7</v>
      </c>
      <c r="AQ46" s="51" t="s">
        <v>253</v>
      </c>
      <c r="AR46" s="51">
        <v>0.84</v>
      </c>
      <c r="AS46" s="51">
        <v>12.5</v>
      </c>
      <c r="AT46" s="51" t="s">
        <v>253</v>
      </c>
      <c r="AU46" s="51">
        <v>0.94</v>
      </c>
      <c r="AV46" s="51">
        <v>1</v>
      </c>
      <c r="AW46" s="51">
        <v>17.100000000000001</v>
      </c>
      <c r="AX46" s="51">
        <v>0.7</v>
      </c>
      <c r="AY46" s="51">
        <v>0.26</v>
      </c>
      <c r="AZ46" s="51">
        <v>1.83</v>
      </c>
      <c r="BA46" s="51">
        <v>0.15</v>
      </c>
      <c r="BB46" s="51">
        <v>0.36</v>
      </c>
      <c r="BC46" s="51" t="s">
        <v>252</v>
      </c>
      <c r="BD46" s="51">
        <v>11.1</v>
      </c>
      <c r="BE46" s="51">
        <v>1.01</v>
      </c>
      <c r="BF46" s="51">
        <v>118</v>
      </c>
      <c r="BG46" s="64"/>
      <c r="BH46" s="73">
        <f t="shared" si="2"/>
        <v>120.87</v>
      </c>
      <c r="BI46" s="73">
        <f t="shared" si="3"/>
        <v>33.989999999999995</v>
      </c>
      <c r="BJ46" s="73">
        <f t="shared" si="4"/>
        <v>1.1546717171717171</v>
      </c>
      <c r="BK46" s="8">
        <f t="shared" si="1"/>
        <v>27.5</v>
      </c>
      <c r="BL46" s="8">
        <f t="shared" si="5"/>
        <v>123.8</v>
      </c>
      <c r="BM46" s="8">
        <f t="shared" si="6"/>
        <v>2.0927206446840994</v>
      </c>
      <c r="BN46" s="8">
        <f t="shared" si="7"/>
        <v>2.19</v>
      </c>
      <c r="BO46" s="8">
        <f t="shared" si="8"/>
        <v>0.34044411484011833</v>
      </c>
      <c r="BP46" s="64"/>
      <c r="BQ46">
        <v>-0.83</v>
      </c>
      <c r="BR46">
        <v>0.69</v>
      </c>
      <c r="BS46">
        <v>1.56</v>
      </c>
      <c r="BT46">
        <v>1.5</v>
      </c>
      <c r="BU46">
        <v>0.5</v>
      </c>
    </row>
    <row r="47" spans="1:73" x14ac:dyDescent="0.25">
      <c r="A47" t="s">
        <v>247</v>
      </c>
      <c r="B47" t="s">
        <v>304</v>
      </c>
      <c r="C47" s="70" t="s">
        <v>249</v>
      </c>
      <c r="D47" s="70" t="s">
        <v>249</v>
      </c>
      <c r="E47" s="70" t="s">
        <v>297</v>
      </c>
      <c r="F47" t="s">
        <v>298</v>
      </c>
      <c r="G47" s="71">
        <v>1480</v>
      </c>
      <c r="H47" s="72">
        <v>61.028298540000002</v>
      </c>
      <c r="I47" s="72">
        <v>-45.412749060000003</v>
      </c>
      <c r="J47" s="247">
        <v>477696.08709268918</v>
      </c>
      <c r="K47" s="247">
        <v>6766009.6463933168</v>
      </c>
      <c r="L47" s="51">
        <v>98.9</v>
      </c>
      <c r="M47" s="51">
        <v>0.49</v>
      </c>
      <c r="N47" s="51">
        <v>0.26</v>
      </c>
      <c r="O47" s="125">
        <v>5.0000000000000001E-3</v>
      </c>
      <c r="P47" s="51">
        <v>0.02</v>
      </c>
      <c r="Q47" s="51">
        <v>0.04</v>
      </c>
      <c r="R47" s="51">
        <v>0.4</v>
      </c>
      <c r="S47" s="51" t="s">
        <v>252</v>
      </c>
      <c r="T47" s="51">
        <v>0.03</v>
      </c>
      <c r="U47" s="51">
        <v>0.01</v>
      </c>
      <c r="V47" s="51" t="s">
        <v>252</v>
      </c>
      <c r="W47" s="51">
        <v>0.01</v>
      </c>
      <c r="X47" s="51" t="s">
        <v>252</v>
      </c>
      <c r="Y47" s="51">
        <v>0.41</v>
      </c>
      <c r="Z47" s="55">
        <f t="shared" si="0"/>
        <v>0.43830426869946976</v>
      </c>
      <c r="AA47" s="51">
        <v>100.57</v>
      </c>
      <c r="AB47" s="51">
        <v>32.4</v>
      </c>
      <c r="AC47" s="51">
        <v>7.4</v>
      </c>
      <c r="AD47" s="51">
        <v>10</v>
      </c>
      <c r="AE47" s="51">
        <v>0.02</v>
      </c>
      <c r="AF47" s="51">
        <v>0.79</v>
      </c>
      <c r="AG47" s="51">
        <v>0.6</v>
      </c>
      <c r="AH47" s="51">
        <v>0.2</v>
      </c>
      <c r="AI47" s="51">
        <v>0.4</v>
      </c>
      <c r="AJ47" s="51">
        <v>0.74</v>
      </c>
      <c r="AK47" s="51">
        <v>3.8</v>
      </c>
      <c r="AL47" s="51">
        <v>0.18</v>
      </c>
      <c r="AM47" s="51">
        <v>2.1</v>
      </c>
      <c r="AN47" s="51">
        <v>0.1</v>
      </c>
      <c r="AO47" s="51">
        <v>9</v>
      </c>
      <c r="AP47" s="51">
        <v>2.7</v>
      </c>
      <c r="AQ47" s="51" t="s">
        <v>253</v>
      </c>
      <c r="AR47" s="51">
        <v>0.59</v>
      </c>
      <c r="AS47" s="51">
        <v>5.5</v>
      </c>
      <c r="AT47" s="51" t="s">
        <v>253</v>
      </c>
      <c r="AU47" s="51">
        <v>0.75</v>
      </c>
      <c r="AV47" s="51">
        <v>1</v>
      </c>
      <c r="AW47" s="51">
        <v>5</v>
      </c>
      <c r="AX47" s="51">
        <v>0.8</v>
      </c>
      <c r="AY47" s="51">
        <v>0.12</v>
      </c>
      <c r="AZ47" s="51">
        <v>1.94</v>
      </c>
      <c r="BA47" s="51">
        <v>0.11</v>
      </c>
      <c r="BB47" s="51">
        <v>0.41</v>
      </c>
      <c r="BC47" s="51">
        <v>6</v>
      </c>
      <c r="BD47" s="51">
        <v>5.6</v>
      </c>
      <c r="BE47" s="51">
        <v>0.78</v>
      </c>
      <c r="BF47" s="51">
        <v>174</v>
      </c>
      <c r="BG47" s="64"/>
      <c r="BH47" s="73">
        <f t="shared" si="2"/>
        <v>113.66</v>
      </c>
      <c r="BI47" s="73">
        <f t="shared" si="3"/>
        <v>26.55</v>
      </c>
      <c r="BJ47" s="73">
        <f t="shared" si="4"/>
        <v>1.748792270531401</v>
      </c>
      <c r="BK47" s="8">
        <f t="shared" si="1"/>
        <v>21</v>
      </c>
      <c r="BL47" s="8">
        <f t="shared" si="5"/>
        <v>183.8</v>
      </c>
      <c r="BM47" s="8">
        <f t="shared" si="6"/>
        <v>2.2643455070500926</v>
      </c>
      <c r="BN47" s="8">
        <f t="shared" si="7"/>
        <v>2.35</v>
      </c>
      <c r="BO47" s="8">
        <f t="shared" si="8"/>
        <v>0.37106786227173627</v>
      </c>
      <c r="BP47" s="64"/>
      <c r="BQ47">
        <v>-0.92</v>
      </c>
      <c r="BR47">
        <v>-0.69</v>
      </c>
      <c r="BS47">
        <v>0.18</v>
      </c>
      <c r="BT47">
        <v>0.5</v>
      </c>
      <c r="BU47">
        <v>0</v>
      </c>
    </row>
    <row r="48" spans="1:73" x14ac:dyDescent="0.25">
      <c r="A48" t="s">
        <v>247</v>
      </c>
      <c r="B48" s="87" t="s">
        <v>305</v>
      </c>
      <c r="C48" s="70" t="s">
        <v>318</v>
      </c>
      <c r="D48" s="70" t="s">
        <v>249</v>
      </c>
      <c r="E48" s="70" t="s">
        <v>297</v>
      </c>
      <c r="F48" t="s">
        <v>298</v>
      </c>
      <c r="G48" s="71">
        <v>1560</v>
      </c>
      <c r="H48" s="72">
        <v>61.031669999999998</v>
      </c>
      <c r="I48" s="72">
        <v>-45.41639</v>
      </c>
      <c r="J48" s="247">
        <v>477501.72939605388</v>
      </c>
      <c r="K48" s="247">
        <v>6766386.4167768089</v>
      </c>
      <c r="L48" s="51">
        <v>98.57</v>
      </c>
      <c r="M48" s="51">
        <v>0.39</v>
      </c>
      <c r="N48" s="51">
        <v>0.08</v>
      </c>
      <c r="O48" s="125">
        <v>5.0000000000000001E-3</v>
      </c>
      <c r="P48" s="51">
        <v>0.01</v>
      </c>
      <c r="Q48" s="51">
        <v>0.09</v>
      </c>
      <c r="R48" s="51">
        <v>0.19</v>
      </c>
      <c r="S48" s="51" t="s">
        <v>252</v>
      </c>
      <c r="T48" s="51">
        <v>0.02</v>
      </c>
      <c r="U48" s="51" t="s">
        <v>252</v>
      </c>
      <c r="V48" s="51">
        <v>0.01</v>
      </c>
      <c r="W48" s="51" t="s">
        <v>253</v>
      </c>
      <c r="X48" s="51" t="s">
        <v>253</v>
      </c>
      <c r="Y48" s="51">
        <v>0.5</v>
      </c>
      <c r="Z48" s="55">
        <f t="shared" si="0"/>
        <v>0.50914274173858898</v>
      </c>
      <c r="AA48" s="55">
        <f>SUM(L48:X48, Z48)</f>
        <v>99.874142741738581</v>
      </c>
      <c r="AB48" s="51">
        <v>18.5</v>
      </c>
      <c r="AC48" s="51">
        <v>12</v>
      </c>
      <c r="AD48" s="51" t="s">
        <v>252</v>
      </c>
      <c r="AE48" s="51">
        <v>0.02</v>
      </c>
      <c r="AF48" s="51">
        <v>1.64</v>
      </c>
      <c r="AG48" s="51">
        <v>1.1599999999999999</v>
      </c>
      <c r="AH48" s="51">
        <v>0.27</v>
      </c>
      <c r="AI48" s="51">
        <v>0.2</v>
      </c>
      <c r="AJ48" s="51">
        <v>1.79</v>
      </c>
      <c r="AK48" s="51">
        <v>1</v>
      </c>
      <c r="AL48" s="51">
        <v>0.34</v>
      </c>
      <c r="AM48" s="51">
        <v>4.7</v>
      </c>
      <c r="AN48" s="51">
        <v>0.14000000000000001</v>
      </c>
      <c r="AO48" s="51">
        <v>1.7</v>
      </c>
      <c r="AP48" s="51">
        <v>5.8</v>
      </c>
      <c r="AQ48" s="51" t="s">
        <v>253</v>
      </c>
      <c r="AR48" s="51">
        <v>1.22</v>
      </c>
      <c r="AS48" s="51">
        <v>3.4</v>
      </c>
      <c r="AT48" s="51" t="s">
        <v>253</v>
      </c>
      <c r="AU48" s="51">
        <v>1.1599999999999999</v>
      </c>
      <c r="AV48" s="51">
        <v>1</v>
      </c>
      <c r="AW48" s="51">
        <v>6</v>
      </c>
      <c r="AX48" s="51">
        <v>0.7</v>
      </c>
      <c r="AY48" s="51">
        <v>0.24</v>
      </c>
      <c r="AZ48" s="51">
        <v>1</v>
      </c>
      <c r="BA48" s="51">
        <v>0.12</v>
      </c>
      <c r="BB48" s="51">
        <v>0.24</v>
      </c>
      <c r="BC48" s="51" t="s">
        <v>252</v>
      </c>
      <c r="BD48" s="51">
        <v>10.8</v>
      </c>
      <c r="BE48" s="51">
        <v>0.9</v>
      </c>
      <c r="BF48" s="51">
        <v>39</v>
      </c>
      <c r="BG48" s="64"/>
      <c r="BH48" s="73">
        <f t="shared" si="2"/>
        <v>112.12414274173858</v>
      </c>
      <c r="BI48" s="73">
        <f t="shared" si="3"/>
        <v>23.26</v>
      </c>
      <c r="BJ48" s="73">
        <f t="shared" si="4"/>
        <v>1.7561929595827896</v>
      </c>
      <c r="BK48" s="8">
        <f t="shared" si="1"/>
        <v>33.571428571428569</v>
      </c>
      <c r="BL48" s="8">
        <f t="shared" si="5"/>
        <v>41.400000000000006</v>
      </c>
      <c r="BM48" s="8">
        <f t="shared" si="6"/>
        <v>1.6170003411208991</v>
      </c>
      <c r="BN48" s="8">
        <f t="shared" si="7"/>
        <v>1.24</v>
      </c>
      <c r="BO48" s="8">
        <f t="shared" si="8"/>
        <v>9.3421685162235063E-2</v>
      </c>
      <c r="BP48" s="64"/>
      <c r="BQ48">
        <v>-0.92</v>
      </c>
      <c r="BR48">
        <v>-0.31</v>
      </c>
      <c r="BS48">
        <v>-0.44</v>
      </c>
      <c r="BT48">
        <v>0</v>
      </c>
      <c r="BU48">
        <v>-0.5</v>
      </c>
    </row>
    <row r="49" spans="1:73" x14ac:dyDescent="0.25">
      <c r="A49" t="s">
        <v>247</v>
      </c>
      <c r="B49" t="s">
        <v>306</v>
      </c>
      <c r="C49" s="70" t="s">
        <v>318</v>
      </c>
      <c r="D49" s="70" t="s">
        <v>249</v>
      </c>
      <c r="E49" s="70" t="s">
        <v>297</v>
      </c>
      <c r="F49" t="s">
        <v>298</v>
      </c>
      <c r="G49" s="71">
        <v>1560</v>
      </c>
      <c r="H49" s="72">
        <v>61.028060000000004</v>
      </c>
      <c r="I49" s="72">
        <v>-45.414169999999999</v>
      </c>
      <c r="J49" s="247">
        <v>477619.13577667333</v>
      </c>
      <c r="K49" s="247">
        <v>6765983.5617373204</v>
      </c>
      <c r="L49" s="51">
        <v>97.86</v>
      </c>
      <c r="M49" s="51">
        <v>0.63</v>
      </c>
      <c r="N49" s="51">
        <v>0.28000000000000003</v>
      </c>
      <c r="O49" s="125">
        <v>5.0000000000000001E-3</v>
      </c>
      <c r="P49" s="51" t="s">
        <v>252</v>
      </c>
      <c r="Q49" s="51">
        <v>7.0000000000000007E-2</v>
      </c>
      <c r="R49" s="51">
        <v>0.42</v>
      </c>
      <c r="S49" s="51" t="s">
        <v>252</v>
      </c>
      <c r="T49" s="51">
        <v>0.01</v>
      </c>
      <c r="U49" s="51" t="s">
        <v>252</v>
      </c>
      <c r="V49" s="51">
        <v>0.01</v>
      </c>
      <c r="W49" s="51" t="s">
        <v>253</v>
      </c>
      <c r="X49" s="51" t="s">
        <v>253</v>
      </c>
      <c r="Y49" s="51">
        <v>0.4</v>
      </c>
      <c r="Z49" s="55">
        <f t="shared" si="0"/>
        <v>0.42918031218317265</v>
      </c>
      <c r="AA49" s="55">
        <f>SUM(L49:X49, Z49)</f>
        <v>99.714180312183174</v>
      </c>
      <c r="AB49" s="51">
        <v>30.7</v>
      </c>
      <c r="AC49" s="51">
        <v>3.3</v>
      </c>
      <c r="AD49" s="51" t="s">
        <v>252</v>
      </c>
      <c r="AE49" s="51" t="s">
        <v>252</v>
      </c>
      <c r="AF49" s="51">
        <v>0.67</v>
      </c>
      <c r="AG49" s="51">
        <v>0.47</v>
      </c>
      <c r="AH49" s="51">
        <v>0.11</v>
      </c>
      <c r="AI49" s="51">
        <v>0.4</v>
      </c>
      <c r="AJ49" s="51">
        <v>0.77</v>
      </c>
      <c r="AK49" s="51">
        <v>0.7</v>
      </c>
      <c r="AL49" s="51">
        <v>0.12</v>
      </c>
      <c r="AM49" s="51">
        <v>1.7</v>
      </c>
      <c r="AN49" s="51">
        <v>0.11</v>
      </c>
      <c r="AO49" s="51">
        <v>3.2</v>
      </c>
      <c r="AP49" s="51">
        <v>2.1</v>
      </c>
      <c r="AQ49" s="51" t="s">
        <v>253</v>
      </c>
      <c r="AR49" s="51">
        <v>0.43</v>
      </c>
      <c r="AS49" s="51">
        <v>5.8</v>
      </c>
      <c r="AT49" s="51" t="s">
        <v>253</v>
      </c>
      <c r="AU49" s="51">
        <v>0.54</v>
      </c>
      <c r="AV49" s="51" t="s">
        <v>252</v>
      </c>
      <c r="AW49" s="51">
        <v>2</v>
      </c>
      <c r="AX49" s="51">
        <v>2.2000000000000002</v>
      </c>
      <c r="AY49" s="51">
        <v>0.1</v>
      </c>
      <c r="AZ49" s="51">
        <v>5.38</v>
      </c>
      <c r="BA49" s="51">
        <v>0.06</v>
      </c>
      <c r="BB49" s="51">
        <v>0.22</v>
      </c>
      <c r="BC49" s="51" t="s">
        <v>252</v>
      </c>
      <c r="BD49" s="51">
        <v>3.7</v>
      </c>
      <c r="BE49" s="51">
        <v>0.72</v>
      </c>
      <c r="BF49" s="51">
        <v>23</v>
      </c>
      <c r="BG49" s="64"/>
      <c r="BH49" s="73">
        <f t="shared" si="2"/>
        <v>109.20418031218317</v>
      </c>
      <c r="BI49" s="73">
        <f t="shared" si="3"/>
        <v>20.149999999999999</v>
      </c>
      <c r="BJ49" s="73">
        <f t="shared" si="4"/>
        <v>1.5042016806722689</v>
      </c>
      <c r="BK49" s="8">
        <f t="shared" si="1"/>
        <v>15.454545454545453</v>
      </c>
      <c r="BL49" s="8">
        <f t="shared" si="5"/>
        <v>28.4</v>
      </c>
      <c r="BM49" s="8">
        <f t="shared" si="6"/>
        <v>1.4533183400470377</v>
      </c>
      <c r="BN49" s="8">
        <f t="shared" si="7"/>
        <v>5.6</v>
      </c>
      <c r="BO49" s="8">
        <f t="shared" si="8"/>
        <v>0.74818802700620035</v>
      </c>
      <c r="BP49" s="64"/>
      <c r="BQ49">
        <v>-0.92</v>
      </c>
      <c r="BR49">
        <v>-0.46</v>
      </c>
      <c r="BS49">
        <v>0.24</v>
      </c>
      <c r="BT49">
        <v>-0.5</v>
      </c>
      <c r="BU49">
        <v>-0.75</v>
      </c>
    </row>
    <row r="50" spans="1:73" s="185" customFormat="1" x14ac:dyDescent="0.25">
      <c r="A50" s="185" t="s">
        <v>247</v>
      </c>
      <c r="B50" s="185" t="s">
        <v>307</v>
      </c>
      <c r="C50" s="105" t="s">
        <v>249</v>
      </c>
      <c r="D50" s="105" t="s">
        <v>249</v>
      </c>
      <c r="E50" s="105" t="s">
        <v>297</v>
      </c>
      <c r="F50" s="185" t="s">
        <v>298</v>
      </c>
      <c r="G50" s="97">
        <v>1560</v>
      </c>
      <c r="H50" s="98">
        <v>61.032418669999998</v>
      </c>
      <c r="I50" s="98">
        <v>-45.416772330000001</v>
      </c>
      <c r="J50" s="248">
        <v>477481.60233920184</v>
      </c>
      <c r="K50" s="248">
        <v>6766469.9376754165</v>
      </c>
      <c r="L50" s="186">
        <v>98.9</v>
      </c>
      <c r="M50" s="186">
        <v>0.15</v>
      </c>
      <c r="N50" s="186">
        <v>0.08</v>
      </c>
      <c r="O50" s="99">
        <v>5.0000000000000001E-3</v>
      </c>
      <c r="P50" s="186">
        <v>0.01</v>
      </c>
      <c r="Q50" s="186">
        <v>0.06</v>
      </c>
      <c r="R50" s="186">
        <v>0.03</v>
      </c>
      <c r="S50" s="186" t="s">
        <v>252</v>
      </c>
      <c r="T50" s="186">
        <v>0.01</v>
      </c>
      <c r="U50" s="186" t="s">
        <v>252</v>
      </c>
      <c r="V50" s="186" t="s">
        <v>252</v>
      </c>
      <c r="W50" s="186">
        <v>0.01</v>
      </c>
      <c r="X50" s="186" t="s">
        <v>252</v>
      </c>
      <c r="Y50" s="186">
        <v>0.28999999999999998</v>
      </c>
      <c r="Z50" s="187">
        <f t="shared" si="0"/>
        <v>0.29914274173858901</v>
      </c>
      <c r="AA50" s="186">
        <v>99.54</v>
      </c>
      <c r="AB50" s="186">
        <v>9</v>
      </c>
      <c r="AC50" s="186">
        <v>1.8</v>
      </c>
      <c r="AD50" s="186" t="s">
        <v>252</v>
      </c>
      <c r="AE50" s="186">
        <v>0.01</v>
      </c>
      <c r="AF50" s="186">
        <v>0.47</v>
      </c>
      <c r="AG50" s="186">
        <v>0.35</v>
      </c>
      <c r="AH50" s="186">
        <v>7.0000000000000007E-2</v>
      </c>
      <c r="AI50" s="186" t="s">
        <v>252</v>
      </c>
      <c r="AJ50" s="186">
        <v>0.48</v>
      </c>
      <c r="AK50" s="186">
        <v>0.6</v>
      </c>
      <c r="AL50" s="186">
        <v>0.1</v>
      </c>
      <c r="AM50" s="186">
        <v>1.4</v>
      </c>
      <c r="AN50" s="186">
        <v>0.03</v>
      </c>
      <c r="AO50" s="186">
        <v>1.4</v>
      </c>
      <c r="AP50" s="186">
        <v>1.2</v>
      </c>
      <c r="AQ50" s="186" t="s">
        <v>253</v>
      </c>
      <c r="AR50" s="186">
        <v>0.32</v>
      </c>
      <c r="AS50" s="186">
        <v>0.7</v>
      </c>
      <c r="AT50" s="186" t="s">
        <v>253</v>
      </c>
      <c r="AU50" s="186">
        <v>0.34</v>
      </c>
      <c r="AV50" s="186">
        <v>1</v>
      </c>
      <c r="AW50" s="186">
        <v>3.1</v>
      </c>
      <c r="AX50" s="186">
        <v>0.8</v>
      </c>
      <c r="AY50" s="186">
        <v>0.08</v>
      </c>
      <c r="AZ50" s="186">
        <v>0.43</v>
      </c>
      <c r="BA50" s="186">
        <v>0.05</v>
      </c>
      <c r="BB50" s="186">
        <v>0.14000000000000001</v>
      </c>
      <c r="BC50" s="186" t="s">
        <v>252</v>
      </c>
      <c r="BD50" s="186">
        <v>3.4</v>
      </c>
      <c r="BE50" s="186">
        <v>0.31</v>
      </c>
      <c r="BF50" s="186">
        <v>21</v>
      </c>
      <c r="BG50" s="188"/>
      <c r="BH50" s="189">
        <f t="shared" si="2"/>
        <v>102.61</v>
      </c>
      <c r="BI50" s="189">
        <f t="shared" si="3"/>
        <v>7.8099999999999987</v>
      </c>
      <c r="BJ50" s="189">
        <f t="shared" si="4"/>
        <v>1.1711899791231735</v>
      </c>
      <c r="BK50" s="190">
        <f t="shared" si="1"/>
        <v>46.666666666666664</v>
      </c>
      <c r="BL50" s="190">
        <f t="shared" si="5"/>
        <v>23.2</v>
      </c>
      <c r="BM50" s="190">
        <f t="shared" si="6"/>
        <v>1.3654879848908996</v>
      </c>
      <c r="BN50" s="190">
        <f t="shared" si="7"/>
        <v>0.57000000000000006</v>
      </c>
      <c r="BO50" s="8">
        <f t="shared" si="8"/>
        <v>-0.24412514432750856</v>
      </c>
      <c r="BP50" s="188"/>
      <c r="BQ50" s="185">
        <v>-0.92</v>
      </c>
      <c r="BR50" s="185">
        <v>-0.54</v>
      </c>
      <c r="BS50" s="185">
        <v>-0.91</v>
      </c>
      <c r="BT50" s="185">
        <v>-0.5</v>
      </c>
      <c r="BU50" s="185">
        <v>-0.5</v>
      </c>
    </row>
    <row r="51" spans="1:73" x14ac:dyDescent="0.25">
      <c r="A51" t="s">
        <v>247</v>
      </c>
      <c r="B51" s="87" t="s">
        <v>308</v>
      </c>
      <c r="C51" s="70" t="s">
        <v>318</v>
      </c>
      <c r="D51" s="70" t="s">
        <v>249</v>
      </c>
      <c r="E51" s="70" t="s">
        <v>297</v>
      </c>
      <c r="F51" t="s">
        <v>298</v>
      </c>
      <c r="G51" s="71">
        <v>1580</v>
      </c>
      <c r="H51" s="72">
        <v>61.029440000000001</v>
      </c>
      <c r="I51" s="72">
        <v>-45.415280000000003</v>
      </c>
      <c r="J51" s="247">
        <v>477560.12898677209</v>
      </c>
      <c r="K51" s="247">
        <v>6766137.6507578436</v>
      </c>
      <c r="L51" s="51">
        <v>98.11</v>
      </c>
      <c r="M51" s="51">
        <v>0.52</v>
      </c>
      <c r="N51" s="51">
        <v>0.22</v>
      </c>
      <c r="O51" s="125">
        <v>0.01</v>
      </c>
      <c r="P51" s="51">
        <v>0.01</v>
      </c>
      <c r="Q51" s="51">
        <v>0.21</v>
      </c>
      <c r="R51" s="51">
        <v>0.26</v>
      </c>
      <c r="S51" s="51" t="s">
        <v>252</v>
      </c>
      <c r="T51" s="51">
        <v>0.01</v>
      </c>
      <c r="U51" s="51" t="s">
        <v>252</v>
      </c>
      <c r="V51" s="51">
        <v>0.02</v>
      </c>
      <c r="W51" s="51" t="s">
        <v>253</v>
      </c>
      <c r="X51" s="51" t="s">
        <v>253</v>
      </c>
      <c r="Y51" s="51">
        <v>0.5</v>
      </c>
      <c r="Z51" s="55">
        <f t="shared" si="0"/>
        <v>0.52316904104979756</v>
      </c>
      <c r="AA51" s="55">
        <f>SUM(L51:X51, Z51)</f>
        <v>99.893169041049802</v>
      </c>
      <c r="AB51" s="51">
        <v>14.2</v>
      </c>
      <c r="AC51" s="51">
        <v>2.4</v>
      </c>
      <c r="AD51" s="51" t="s">
        <v>252</v>
      </c>
      <c r="AE51" s="51" t="s">
        <v>252</v>
      </c>
      <c r="AF51" s="51">
        <v>0.5</v>
      </c>
      <c r="AG51" s="51">
        <v>0.39</v>
      </c>
      <c r="AH51" s="51">
        <v>0.13</v>
      </c>
      <c r="AI51" s="51">
        <v>0.4</v>
      </c>
      <c r="AJ51" s="51">
        <v>0.7</v>
      </c>
      <c r="AK51" s="51">
        <v>0.9</v>
      </c>
      <c r="AL51" s="51">
        <v>0.11</v>
      </c>
      <c r="AM51" s="51">
        <v>2.4</v>
      </c>
      <c r="AN51" s="51">
        <v>0.05</v>
      </c>
      <c r="AO51" s="51">
        <v>2.8</v>
      </c>
      <c r="AP51" s="51">
        <v>5</v>
      </c>
      <c r="AQ51" s="51" t="s">
        <v>253</v>
      </c>
      <c r="AR51" s="51">
        <v>0.88</v>
      </c>
      <c r="AS51" s="51">
        <v>3.8</v>
      </c>
      <c r="AT51" s="51" t="s">
        <v>253</v>
      </c>
      <c r="AU51" s="51">
        <v>0.66</v>
      </c>
      <c r="AV51" s="51" t="s">
        <v>252</v>
      </c>
      <c r="AW51" s="51">
        <v>7.8</v>
      </c>
      <c r="AX51" s="51">
        <v>0.5</v>
      </c>
      <c r="AY51" s="51">
        <v>0.08</v>
      </c>
      <c r="AZ51" s="51">
        <v>0.67</v>
      </c>
      <c r="BA51" s="51">
        <v>0.04</v>
      </c>
      <c r="BB51" s="51">
        <v>0.15</v>
      </c>
      <c r="BC51" s="51" t="s">
        <v>252</v>
      </c>
      <c r="BD51" s="51">
        <v>3</v>
      </c>
      <c r="BE51" s="51">
        <v>0.41</v>
      </c>
      <c r="BF51" s="51">
        <v>28</v>
      </c>
      <c r="BG51" s="64"/>
      <c r="BH51" s="73">
        <f t="shared" si="2"/>
        <v>110.2731690410498</v>
      </c>
      <c r="BI51" s="73">
        <f t="shared" si="3"/>
        <v>11.770000000000001</v>
      </c>
      <c r="BJ51" s="73">
        <f t="shared" si="4"/>
        <v>2.6572052401746724</v>
      </c>
      <c r="BK51" s="8">
        <f t="shared" si="1"/>
        <v>47.999999999999993</v>
      </c>
      <c r="BL51" s="8">
        <f t="shared" si="5"/>
        <v>31.3</v>
      </c>
      <c r="BM51" s="8">
        <f t="shared" si="6"/>
        <v>1.4955443375464486</v>
      </c>
      <c r="BN51" s="8">
        <f t="shared" si="7"/>
        <v>0.82000000000000006</v>
      </c>
      <c r="BO51" s="8">
        <f t="shared" si="8"/>
        <v>-8.6186147616283279E-2</v>
      </c>
      <c r="BP51" s="64"/>
      <c r="BQ51">
        <v>-0.83</v>
      </c>
      <c r="BR51">
        <v>0.62</v>
      </c>
      <c r="BS51">
        <v>-0.24</v>
      </c>
      <c r="BT51">
        <v>-0.5</v>
      </c>
      <c r="BU51">
        <v>-0.5</v>
      </c>
    </row>
    <row r="52" spans="1:73" x14ac:dyDescent="0.25">
      <c r="A52" t="s">
        <v>247</v>
      </c>
      <c r="B52" t="s">
        <v>309</v>
      </c>
      <c r="C52" s="70" t="s">
        <v>249</v>
      </c>
      <c r="D52" s="70" t="s">
        <v>249</v>
      </c>
      <c r="E52" s="70" t="s">
        <v>297</v>
      </c>
      <c r="F52" t="s">
        <v>298</v>
      </c>
      <c r="G52" s="71">
        <v>1605</v>
      </c>
      <c r="H52" s="72">
        <v>61.027760170000001</v>
      </c>
      <c r="I52" s="72">
        <v>-45.41480344</v>
      </c>
      <c r="J52" s="247">
        <v>477584.6948219061</v>
      </c>
      <c r="K52" s="247">
        <v>6765950.3822729727</v>
      </c>
      <c r="L52" s="51">
        <v>99</v>
      </c>
      <c r="M52" s="51">
        <v>0.3</v>
      </c>
      <c r="N52" s="51">
        <v>0.21</v>
      </c>
      <c r="O52" s="125">
        <v>5.0000000000000001E-3</v>
      </c>
      <c r="P52" s="51">
        <v>0.01</v>
      </c>
      <c r="Q52" s="51">
        <v>0.08</v>
      </c>
      <c r="R52" s="51">
        <v>0.14000000000000001</v>
      </c>
      <c r="S52" s="51" t="s">
        <v>252</v>
      </c>
      <c r="T52" s="51">
        <v>0.02</v>
      </c>
      <c r="U52" s="51">
        <v>0.01</v>
      </c>
      <c r="V52" s="51" t="s">
        <v>252</v>
      </c>
      <c r="W52" s="51">
        <v>0.01</v>
      </c>
      <c r="X52" s="51" t="s">
        <v>252</v>
      </c>
      <c r="Y52" s="51">
        <v>0.35</v>
      </c>
      <c r="Z52" s="55">
        <f t="shared" si="0"/>
        <v>0.37329487608832385</v>
      </c>
      <c r="AA52" s="51">
        <v>100.13</v>
      </c>
      <c r="AB52" s="51">
        <v>17.2</v>
      </c>
      <c r="AC52" s="51">
        <v>7.8</v>
      </c>
      <c r="AD52" s="51">
        <v>10</v>
      </c>
      <c r="AE52" s="51" t="s">
        <v>252</v>
      </c>
      <c r="AF52" s="51">
        <v>0.8</v>
      </c>
      <c r="AG52" s="51">
        <v>0.56000000000000005</v>
      </c>
      <c r="AH52" s="51">
        <v>0.12</v>
      </c>
      <c r="AI52" s="51">
        <v>0.3</v>
      </c>
      <c r="AJ52" s="51">
        <v>0.83</v>
      </c>
      <c r="AK52" s="51">
        <v>0.8</v>
      </c>
      <c r="AL52" s="51">
        <v>0.16</v>
      </c>
      <c r="AM52" s="51">
        <v>3.1</v>
      </c>
      <c r="AN52" s="51">
        <v>0.1</v>
      </c>
      <c r="AO52" s="51">
        <v>3.9</v>
      </c>
      <c r="AP52" s="51">
        <v>3.7</v>
      </c>
      <c r="AQ52" s="51" t="s">
        <v>253</v>
      </c>
      <c r="AR52" s="51">
        <v>1</v>
      </c>
      <c r="AS52" s="51">
        <v>2.2999999999999998</v>
      </c>
      <c r="AT52" s="51" t="s">
        <v>253</v>
      </c>
      <c r="AU52" s="51">
        <v>0.86</v>
      </c>
      <c r="AV52" s="51">
        <v>1</v>
      </c>
      <c r="AW52" s="51">
        <v>3.9</v>
      </c>
      <c r="AX52" s="51">
        <v>0.8</v>
      </c>
      <c r="AY52" s="51">
        <v>0.11</v>
      </c>
      <c r="AZ52" s="51">
        <v>2.37</v>
      </c>
      <c r="BA52" s="51">
        <v>0.08</v>
      </c>
      <c r="BB52" s="51">
        <v>0.17</v>
      </c>
      <c r="BC52" s="51" t="s">
        <v>252</v>
      </c>
      <c r="BD52" s="51">
        <v>4.5999999999999996</v>
      </c>
      <c r="BE52" s="51">
        <v>0.68</v>
      </c>
      <c r="BF52" s="51">
        <v>36</v>
      </c>
      <c r="BG52" s="64"/>
      <c r="BH52" s="73">
        <f t="shared" si="2"/>
        <v>107.94999999999999</v>
      </c>
      <c r="BI52" s="73">
        <f t="shared" si="3"/>
        <v>14.770000000000003</v>
      </c>
      <c r="BJ52" s="73">
        <f t="shared" si="4"/>
        <v>2.4555712270803949</v>
      </c>
      <c r="BK52" s="8">
        <f t="shared" si="1"/>
        <v>31</v>
      </c>
      <c r="BL52" s="8">
        <f t="shared" si="5"/>
        <v>40.699999999999996</v>
      </c>
      <c r="BM52" s="8">
        <f t="shared" si="6"/>
        <v>1.6095944092252199</v>
      </c>
      <c r="BN52" s="8">
        <f t="shared" si="7"/>
        <v>2.54</v>
      </c>
      <c r="BO52" s="8">
        <f t="shared" si="8"/>
        <v>0.40483371661993806</v>
      </c>
      <c r="BP52" s="64"/>
      <c r="BQ52">
        <v>-0.92</v>
      </c>
      <c r="BR52">
        <v>-0.38</v>
      </c>
      <c r="BS52">
        <v>-0.59</v>
      </c>
      <c r="BT52">
        <v>0</v>
      </c>
      <c r="BU52">
        <v>-0.5</v>
      </c>
    </row>
    <row r="53" spans="1:73" x14ac:dyDescent="0.25">
      <c r="A53" t="s">
        <v>247</v>
      </c>
      <c r="B53" t="s">
        <v>310</v>
      </c>
      <c r="C53" s="70" t="s">
        <v>249</v>
      </c>
      <c r="D53" s="70" t="s">
        <v>249</v>
      </c>
      <c r="E53" s="70" t="s">
        <v>297</v>
      </c>
      <c r="F53" t="s">
        <v>298</v>
      </c>
      <c r="G53" s="71">
        <v>1790</v>
      </c>
      <c r="H53" s="72">
        <v>61.030858240000001</v>
      </c>
      <c r="I53" s="72">
        <v>-45.420226200000002</v>
      </c>
      <c r="J53" s="247">
        <v>477293.87466351653</v>
      </c>
      <c r="K53" s="247">
        <v>6766297.3241060833</v>
      </c>
      <c r="L53" s="51">
        <v>99.6</v>
      </c>
      <c r="M53" s="51">
        <v>0.22</v>
      </c>
      <c r="N53" s="51">
        <v>0.12</v>
      </c>
      <c r="O53" s="125">
        <v>5.0000000000000001E-3</v>
      </c>
      <c r="P53" s="51">
        <v>0.01</v>
      </c>
      <c r="Q53" s="51">
        <v>0.08</v>
      </c>
      <c r="R53" s="51">
        <v>7.0000000000000007E-2</v>
      </c>
      <c r="S53" s="51" t="s">
        <v>252</v>
      </c>
      <c r="T53" s="51">
        <v>0.02</v>
      </c>
      <c r="U53" s="51" t="s">
        <v>252</v>
      </c>
      <c r="V53" s="51">
        <v>0.01</v>
      </c>
      <c r="W53" s="51" t="s">
        <v>252</v>
      </c>
      <c r="X53" s="51" t="s">
        <v>252</v>
      </c>
      <c r="Y53" s="51">
        <v>0.26</v>
      </c>
      <c r="Z53" s="55">
        <f t="shared" si="0"/>
        <v>0.27315025582750574</v>
      </c>
      <c r="AA53" s="51">
        <v>100.39</v>
      </c>
      <c r="AB53" s="51">
        <v>15.9</v>
      </c>
      <c r="AC53" s="51">
        <v>7.3</v>
      </c>
      <c r="AD53" s="51" t="s">
        <v>252</v>
      </c>
      <c r="AE53" s="51">
        <v>0.01</v>
      </c>
      <c r="AF53" s="51">
        <v>0.61</v>
      </c>
      <c r="AG53" s="51">
        <v>0.33</v>
      </c>
      <c r="AH53" s="51">
        <v>0.13</v>
      </c>
      <c r="AI53" s="51">
        <v>0.1</v>
      </c>
      <c r="AJ53" s="51">
        <v>0.72</v>
      </c>
      <c r="AK53" s="51">
        <v>0.9</v>
      </c>
      <c r="AL53" s="51">
        <v>0.11</v>
      </c>
      <c r="AM53" s="51">
        <v>2.7</v>
      </c>
      <c r="AN53" s="51">
        <v>0.04</v>
      </c>
      <c r="AO53" s="51">
        <v>1.8</v>
      </c>
      <c r="AP53" s="51">
        <v>2.8</v>
      </c>
      <c r="AQ53" s="51" t="s">
        <v>253</v>
      </c>
      <c r="AR53" s="51">
        <v>0.73</v>
      </c>
      <c r="AS53" s="51">
        <v>1.2</v>
      </c>
      <c r="AT53" s="51" t="s">
        <v>253</v>
      </c>
      <c r="AU53" s="51">
        <v>0.59</v>
      </c>
      <c r="AV53" s="51">
        <v>1</v>
      </c>
      <c r="AW53" s="51">
        <v>7.1</v>
      </c>
      <c r="AX53" s="51">
        <v>0.6</v>
      </c>
      <c r="AY53" s="51">
        <v>0.09</v>
      </c>
      <c r="AZ53" s="51">
        <v>0.94</v>
      </c>
      <c r="BA53" s="51">
        <v>0.06</v>
      </c>
      <c r="BB53" s="51">
        <v>0.18</v>
      </c>
      <c r="BC53" s="51" t="s">
        <v>252</v>
      </c>
      <c r="BD53" s="51">
        <v>3.4</v>
      </c>
      <c r="BE53" s="51">
        <v>0.39</v>
      </c>
      <c r="BF53" s="51">
        <v>30</v>
      </c>
      <c r="BG53" s="64"/>
      <c r="BH53" s="73">
        <f t="shared" si="2"/>
        <v>106.07000000000001</v>
      </c>
      <c r="BI53" s="73">
        <f t="shared" si="3"/>
        <v>10.36</v>
      </c>
      <c r="BJ53" s="73">
        <f t="shared" si="4"/>
        <v>2.9761431411530817</v>
      </c>
      <c r="BK53" s="8">
        <f t="shared" si="1"/>
        <v>67.5</v>
      </c>
      <c r="BL53" s="8">
        <f t="shared" si="5"/>
        <v>32.4</v>
      </c>
      <c r="BM53" s="8">
        <f t="shared" si="6"/>
        <v>1.510545010206612</v>
      </c>
      <c r="BN53" s="8">
        <f t="shared" si="7"/>
        <v>1.1199999999999999</v>
      </c>
      <c r="BO53" s="8">
        <f t="shared" si="8"/>
        <v>4.921802267018157E-2</v>
      </c>
      <c r="BP53" s="64"/>
      <c r="BQ53">
        <v>-0.92</v>
      </c>
      <c r="BR53">
        <v>-0.38</v>
      </c>
      <c r="BS53">
        <v>-0.79</v>
      </c>
      <c r="BT53">
        <v>0</v>
      </c>
      <c r="BU53">
        <v>-0.5</v>
      </c>
    </row>
    <row r="54" spans="1:73" x14ac:dyDescent="0.25">
      <c r="A54" t="s">
        <v>247</v>
      </c>
      <c r="B54" t="s">
        <v>311</v>
      </c>
      <c r="C54" s="70" t="s">
        <v>249</v>
      </c>
      <c r="D54" s="70" t="s">
        <v>249</v>
      </c>
      <c r="E54" s="70" t="s">
        <v>297</v>
      </c>
      <c r="F54" t="s">
        <v>298</v>
      </c>
      <c r="G54" s="71">
        <v>1930</v>
      </c>
      <c r="H54" s="72">
        <v>61.024762840000001</v>
      </c>
      <c r="I54" s="72">
        <v>-45.418791859999999</v>
      </c>
      <c r="J54" s="247">
        <v>477367.03424685844</v>
      </c>
      <c r="K54" s="247">
        <v>6765617.9011304285</v>
      </c>
      <c r="L54" s="51">
        <v>98.9</v>
      </c>
      <c r="M54" s="51">
        <v>0.59</v>
      </c>
      <c r="N54" s="51">
        <v>0.21</v>
      </c>
      <c r="O54" s="125">
        <v>0.03</v>
      </c>
      <c r="P54" s="51">
        <v>0.03</v>
      </c>
      <c r="Q54" s="51">
        <v>0.19</v>
      </c>
      <c r="R54" s="51">
        <v>0.33</v>
      </c>
      <c r="S54" s="51" t="s">
        <v>252</v>
      </c>
      <c r="T54" s="51">
        <v>0.01</v>
      </c>
      <c r="U54" s="51">
        <v>0.01</v>
      </c>
      <c r="V54" s="51" t="s">
        <v>252</v>
      </c>
      <c r="W54" s="51">
        <v>0.01</v>
      </c>
      <c r="X54" s="51" t="s">
        <v>252</v>
      </c>
      <c r="Y54" s="51">
        <v>0.19</v>
      </c>
      <c r="Z54" s="55">
        <f t="shared" si="0"/>
        <v>0.21329487608832393</v>
      </c>
      <c r="AA54" s="51">
        <v>100.5</v>
      </c>
      <c r="AB54" s="51">
        <v>13.1</v>
      </c>
      <c r="AC54" s="51">
        <v>6.9</v>
      </c>
      <c r="AD54" s="51" t="s">
        <v>252</v>
      </c>
      <c r="AE54" s="51" t="s">
        <v>252</v>
      </c>
      <c r="AF54" s="51">
        <v>0.33</v>
      </c>
      <c r="AG54" s="51">
        <v>0.27</v>
      </c>
      <c r="AH54" s="51">
        <v>7.0000000000000007E-2</v>
      </c>
      <c r="AI54" s="51">
        <v>0.9</v>
      </c>
      <c r="AJ54" s="51">
        <v>0.31</v>
      </c>
      <c r="AK54" s="51">
        <v>1</v>
      </c>
      <c r="AL54" s="51">
        <v>7.0000000000000007E-2</v>
      </c>
      <c r="AM54" s="51">
        <v>1.9</v>
      </c>
      <c r="AN54" s="51">
        <v>0.04</v>
      </c>
      <c r="AO54" s="51">
        <v>3.3</v>
      </c>
      <c r="AP54" s="51">
        <v>2</v>
      </c>
      <c r="AQ54" s="51" t="s">
        <v>253</v>
      </c>
      <c r="AR54" s="51">
        <v>0.49</v>
      </c>
      <c r="AS54" s="51">
        <v>4.5999999999999996</v>
      </c>
      <c r="AT54" s="51" t="s">
        <v>253</v>
      </c>
      <c r="AU54" s="51">
        <v>0.38</v>
      </c>
      <c r="AV54" s="51">
        <v>1</v>
      </c>
      <c r="AW54" s="51">
        <v>7.9</v>
      </c>
      <c r="AX54" s="51">
        <v>0.6</v>
      </c>
      <c r="AY54" s="51">
        <v>0.06</v>
      </c>
      <c r="AZ54" s="51">
        <v>1.1399999999999999</v>
      </c>
      <c r="BA54" s="51">
        <v>0.04</v>
      </c>
      <c r="BB54" s="51">
        <v>0.18</v>
      </c>
      <c r="BC54" s="51" t="s">
        <v>252</v>
      </c>
      <c r="BD54" s="51">
        <v>1.8</v>
      </c>
      <c r="BE54" s="51">
        <v>0.28000000000000003</v>
      </c>
      <c r="BF54" s="51">
        <v>38</v>
      </c>
      <c r="BG54" s="64"/>
      <c r="BH54" s="73">
        <f t="shared" si="2"/>
        <v>108.53999999999999</v>
      </c>
      <c r="BI54" s="73">
        <f t="shared" si="3"/>
        <v>11.370000000000001</v>
      </c>
      <c r="BJ54" s="73">
        <f t="shared" si="4"/>
        <v>4.1695501730103812</v>
      </c>
      <c r="BK54" s="8">
        <f t="shared" si="1"/>
        <v>47.5</v>
      </c>
      <c r="BL54" s="8">
        <f t="shared" si="5"/>
        <v>41.9</v>
      </c>
      <c r="BM54" s="8">
        <f t="shared" si="6"/>
        <v>1.6222140229662954</v>
      </c>
      <c r="BN54" s="8">
        <f t="shared" si="7"/>
        <v>1.3199999999999998</v>
      </c>
      <c r="BO54" s="8">
        <f t="shared" si="8"/>
        <v>0.12057393120584982</v>
      </c>
      <c r="BP54" s="64"/>
      <c r="BQ54">
        <v>-0.5</v>
      </c>
      <c r="BR54">
        <v>0.46</v>
      </c>
      <c r="BS54">
        <v>-0.03</v>
      </c>
      <c r="BT54">
        <v>-0.5</v>
      </c>
      <c r="BU54">
        <v>0.5</v>
      </c>
    </row>
    <row r="55" spans="1:73" x14ac:dyDescent="0.25">
      <c r="A55" t="s">
        <v>247</v>
      </c>
      <c r="B55" t="s">
        <v>312</v>
      </c>
      <c r="C55" s="70" t="s">
        <v>318</v>
      </c>
      <c r="D55" s="70" t="s">
        <v>249</v>
      </c>
      <c r="E55" s="70" t="s">
        <v>297</v>
      </c>
      <c r="F55" t="s">
        <v>298</v>
      </c>
      <c r="G55" s="71">
        <v>2340</v>
      </c>
      <c r="H55" s="72">
        <v>61.029170000000001</v>
      </c>
      <c r="I55" s="72">
        <v>-45.42944</v>
      </c>
      <c r="J55" s="247">
        <v>476794.79628573207</v>
      </c>
      <c r="K55" s="247">
        <v>6766112.5118181705</v>
      </c>
      <c r="L55" s="51">
        <v>98.82</v>
      </c>
      <c r="M55" s="51">
        <v>0.46</v>
      </c>
      <c r="N55" s="51">
        <v>0.1</v>
      </c>
      <c r="O55" s="125">
        <v>5.0000000000000001E-3</v>
      </c>
      <c r="P55" s="51" t="s">
        <v>252</v>
      </c>
      <c r="Q55" s="51">
        <v>0.08</v>
      </c>
      <c r="R55" s="51">
        <v>0.28000000000000003</v>
      </c>
      <c r="S55" s="51" t="s">
        <v>252</v>
      </c>
      <c r="T55" s="51">
        <v>0.02</v>
      </c>
      <c r="U55" s="51" t="s">
        <v>252</v>
      </c>
      <c r="V55" s="51">
        <v>0.01</v>
      </c>
      <c r="W55" s="51" t="s">
        <v>253</v>
      </c>
      <c r="X55" s="51" t="s">
        <v>253</v>
      </c>
      <c r="Y55" s="51">
        <v>0.1</v>
      </c>
      <c r="Z55" s="55">
        <f t="shared" si="0"/>
        <v>0.11114649878304737</v>
      </c>
      <c r="AA55" s="55">
        <f t="shared" ref="AA55:AA64" si="10">SUM(L55:X55, Z55)</f>
        <v>99.88614649878302</v>
      </c>
      <c r="AB55" s="51">
        <v>22.8</v>
      </c>
      <c r="AC55" s="51">
        <v>6.6</v>
      </c>
      <c r="AD55" s="51" t="s">
        <v>252</v>
      </c>
      <c r="AE55" s="51">
        <v>0.01</v>
      </c>
      <c r="AF55" s="51">
        <v>0.76</v>
      </c>
      <c r="AG55" s="51">
        <v>0.47</v>
      </c>
      <c r="AH55" s="51">
        <v>0.16</v>
      </c>
      <c r="AI55" s="51">
        <v>0.5</v>
      </c>
      <c r="AJ55" s="51">
        <v>0.89</v>
      </c>
      <c r="AK55" s="51">
        <v>1</v>
      </c>
      <c r="AL55" s="51">
        <v>0.15</v>
      </c>
      <c r="AM55" s="51">
        <v>4</v>
      </c>
      <c r="AN55" s="51">
        <v>0.06</v>
      </c>
      <c r="AO55" s="51">
        <v>1.9</v>
      </c>
      <c r="AP55" s="51">
        <v>4.3</v>
      </c>
      <c r="AQ55" s="51" t="s">
        <v>253</v>
      </c>
      <c r="AR55" s="51">
        <v>0.91</v>
      </c>
      <c r="AS55" s="51">
        <v>3.5</v>
      </c>
      <c r="AT55" s="51" t="s">
        <v>253</v>
      </c>
      <c r="AU55" s="51">
        <v>0.76</v>
      </c>
      <c r="AV55" s="51">
        <v>1</v>
      </c>
      <c r="AW55" s="51">
        <v>5.3</v>
      </c>
      <c r="AX55" s="51">
        <v>0.6</v>
      </c>
      <c r="AY55" s="51">
        <v>0.11</v>
      </c>
      <c r="AZ55" s="51">
        <v>0.81</v>
      </c>
      <c r="BA55" s="51">
        <v>7.0000000000000007E-2</v>
      </c>
      <c r="BB55" s="51">
        <v>0.23</v>
      </c>
      <c r="BC55" s="51" t="s">
        <v>252</v>
      </c>
      <c r="BD55" s="51">
        <v>4</v>
      </c>
      <c r="BE55" s="51">
        <v>0.48</v>
      </c>
      <c r="BF55" s="51">
        <v>40</v>
      </c>
      <c r="BG55" s="64"/>
      <c r="BH55" s="73">
        <f t="shared" si="2"/>
        <v>109.66614649878302</v>
      </c>
      <c r="BI55" s="73">
        <f t="shared" si="3"/>
        <v>14.68</v>
      </c>
      <c r="BJ55" s="73">
        <f t="shared" si="4"/>
        <v>2.8885245901639345</v>
      </c>
      <c r="BK55" s="8">
        <f t="shared" si="1"/>
        <v>66.666666666666671</v>
      </c>
      <c r="BL55" s="8">
        <f t="shared" si="5"/>
        <v>42.5</v>
      </c>
      <c r="BM55" s="8">
        <f t="shared" si="6"/>
        <v>1.6283889300503116</v>
      </c>
      <c r="BN55" s="8">
        <f t="shared" si="7"/>
        <v>1.04</v>
      </c>
      <c r="BO55" s="8">
        <f t="shared" si="8"/>
        <v>1.703333929878037E-2</v>
      </c>
      <c r="BP55" s="64"/>
      <c r="BQ55">
        <v>-0.92</v>
      </c>
      <c r="BR55">
        <v>-0.38</v>
      </c>
      <c r="BS55">
        <v>-0.18</v>
      </c>
      <c r="BT55">
        <v>0</v>
      </c>
      <c r="BU55">
        <v>-0.75</v>
      </c>
    </row>
    <row r="56" spans="1:73" x14ac:dyDescent="0.25">
      <c r="A56" t="s">
        <v>16</v>
      </c>
      <c r="B56" t="s">
        <v>313</v>
      </c>
      <c r="C56" s="70" t="s">
        <v>318</v>
      </c>
      <c r="D56" s="70" t="s">
        <v>339</v>
      </c>
      <c r="E56" s="70" t="s">
        <v>314</v>
      </c>
      <c r="F56" t="s">
        <v>315</v>
      </c>
      <c r="G56" s="71">
        <v>-507</v>
      </c>
      <c r="H56" s="72">
        <v>61.038890000000002</v>
      </c>
      <c r="I56" s="72">
        <v>-45.380830000000003</v>
      </c>
      <c r="J56" s="247">
        <v>479427.75860239915</v>
      </c>
      <c r="K56" s="247">
        <v>6767178.9131815089</v>
      </c>
      <c r="L56" s="51">
        <v>61.41</v>
      </c>
      <c r="M56" s="51">
        <v>18.14</v>
      </c>
      <c r="N56" s="51">
        <v>4.8499999999999996</v>
      </c>
      <c r="O56" s="125">
        <v>1.61</v>
      </c>
      <c r="P56" s="51">
        <v>0.31</v>
      </c>
      <c r="Q56" s="51">
        <v>6.49</v>
      </c>
      <c r="R56" s="51">
        <v>5.72</v>
      </c>
      <c r="S56" s="51" t="s">
        <v>252</v>
      </c>
      <c r="T56" s="51">
        <v>0.95</v>
      </c>
      <c r="U56" s="51">
        <v>0.08</v>
      </c>
      <c r="V56" s="51">
        <v>0.06</v>
      </c>
      <c r="W56" s="51" t="s">
        <v>253</v>
      </c>
      <c r="X56" s="51" t="s">
        <v>253</v>
      </c>
      <c r="Y56" s="51">
        <v>0.3</v>
      </c>
      <c r="Z56" s="55">
        <f t="shared" si="0"/>
        <v>0.80395450025324133</v>
      </c>
      <c r="AA56" s="55">
        <f t="shared" si="10"/>
        <v>100.42395450025323</v>
      </c>
      <c r="AB56" s="51">
        <v>415</v>
      </c>
      <c r="AC56" s="51" t="s">
        <v>252</v>
      </c>
      <c r="AD56" s="51" t="s">
        <v>253</v>
      </c>
      <c r="AE56" s="51" t="s">
        <v>253</v>
      </c>
      <c r="AF56" s="51" t="s">
        <v>253</v>
      </c>
      <c r="AG56" s="51" t="s">
        <v>253</v>
      </c>
      <c r="AH56" s="51" t="s">
        <v>253</v>
      </c>
      <c r="AI56" s="51" t="s">
        <v>253</v>
      </c>
      <c r="AJ56" s="51" t="s">
        <v>253</v>
      </c>
      <c r="AK56" s="51" t="s">
        <v>253</v>
      </c>
      <c r="AL56" s="51" t="s">
        <v>253</v>
      </c>
      <c r="AM56" s="51" t="s">
        <v>252</v>
      </c>
      <c r="AN56" s="51" t="s">
        <v>253</v>
      </c>
      <c r="AO56" s="51">
        <v>28</v>
      </c>
      <c r="AP56" s="51" t="s">
        <v>252</v>
      </c>
      <c r="AQ56" s="51" t="s">
        <v>252</v>
      </c>
      <c r="AR56" s="51" t="s">
        <v>253</v>
      </c>
      <c r="AS56" s="51" t="s">
        <v>253</v>
      </c>
      <c r="AT56" s="51">
        <v>7</v>
      </c>
      <c r="AU56" s="51" t="s">
        <v>252</v>
      </c>
      <c r="AV56" s="51" t="s">
        <v>253</v>
      </c>
      <c r="AW56" s="51">
        <v>113</v>
      </c>
      <c r="AX56" s="51" t="s">
        <v>253</v>
      </c>
      <c r="AY56" s="51" t="s">
        <v>253</v>
      </c>
      <c r="AZ56" s="51" t="s">
        <v>252</v>
      </c>
      <c r="BA56" s="51" t="s">
        <v>253</v>
      </c>
      <c r="BB56" s="51" t="s">
        <v>252</v>
      </c>
      <c r="BC56" s="51" t="s">
        <v>253</v>
      </c>
      <c r="BD56" s="51">
        <v>8</v>
      </c>
      <c r="BE56" s="51" t="s">
        <v>253</v>
      </c>
      <c r="BF56" s="51">
        <v>67</v>
      </c>
      <c r="BG56" s="64"/>
      <c r="BH56" s="73">
        <f t="shared" si="2"/>
        <v>100.42395450025323</v>
      </c>
      <c r="BI56" s="73">
        <f t="shared" si="3"/>
        <v>8</v>
      </c>
      <c r="BJ56" s="73">
        <f t="shared" si="4"/>
        <v>0</v>
      </c>
      <c r="BK56" s="8"/>
      <c r="BL56" s="8"/>
      <c r="BM56" s="8"/>
      <c r="BP56" s="64"/>
      <c r="BQ56" s="64"/>
      <c r="BR56" s="64"/>
      <c r="BS56" s="64"/>
    </row>
    <row r="57" spans="1:73" x14ac:dyDescent="0.25">
      <c r="A57" t="s">
        <v>16</v>
      </c>
      <c r="B57" t="s">
        <v>316</v>
      </c>
      <c r="C57" s="70" t="s">
        <v>318</v>
      </c>
      <c r="D57" s="70" t="s">
        <v>339</v>
      </c>
      <c r="E57" s="70" t="s">
        <v>314</v>
      </c>
      <c r="F57" t="s">
        <v>315</v>
      </c>
      <c r="G57" s="71">
        <v>-410</v>
      </c>
      <c r="H57" s="72">
        <v>61.045934000000003</v>
      </c>
      <c r="I57" s="72">
        <v>-45.382683</v>
      </c>
      <c r="J57" s="247">
        <v>479332.24652124749</v>
      </c>
      <c r="K57" s="247">
        <v>6767964.085096566</v>
      </c>
      <c r="L57" s="51">
        <v>60.28</v>
      </c>
      <c r="M57" s="51">
        <v>11.69</v>
      </c>
      <c r="N57" s="51">
        <v>6.89</v>
      </c>
      <c r="O57" s="125">
        <v>7.93</v>
      </c>
      <c r="P57" s="51">
        <v>3.32</v>
      </c>
      <c r="Q57" s="51">
        <v>6.93</v>
      </c>
      <c r="R57" s="51">
        <v>1.41</v>
      </c>
      <c r="S57" s="51" t="s">
        <v>252</v>
      </c>
      <c r="T57" s="51">
        <v>0.23</v>
      </c>
      <c r="U57" s="51">
        <v>0.54</v>
      </c>
      <c r="V57" s="51">
        <v>0.05</v>
      </c>
      <c r="W57" s="51" t="s">
        <v>253</v>
      </c>
      <c r="X57" s="51" t="s">
        <v>253</v>
      </c>
      <c r="Y57" s="51">
        <v>0.4</v>
      </c>
      <c r="Z57" s="55">
        <f t="shared" si="0"/>
        <v>1.2120873663775062</v>
      </c>
      <c r="AA57" s="55">
        <f t="shared" si="10"/>
        <v>100.4820873663775</v>
      </c>
      <c r="AB57" s="51">
        <v>105.9</v>
      </c>
      <c r="AC57" s="51">
        <v>164</v>
      </c>
      <c r="AD57" s="51" t="s">
        <v>253</v>
      </c>
      <c r="AE57" s="51" t="s">
        <v>253</v>
      </c>
      <c r="AF57" s="51" t="s">
        <v>253</v>
      </c>
      <c r="AG57" s="51" t="s">
        <v>253</v>
      </c>
      <c r="AH57" s="51" t="s">
        <v>253</v>
      </c>
      <c r="AI57" s="51" t="s">
        <v>253</v>
      </c>
      <c r="AJ57" s="51" t="s">
        <v>253</v>
      </c>
      <c r="AK57" s="51" t="s">
        <v>253</v>
      </c>
      <c r="AL57" s="51" t="s">
        <v>253</v>
      </c>
      <c r="AM57" s="51">
        <v>67</v>
      </c>
      <c r="AN57" s="51" t="s">
        <v>253</v>
      </c>
      <c r="AO57" s="51">
        <v>43.6</v>
      </c>
      <c r="AP57" s="51">
        <v>70.2</v>
      </c>
      <c r="AQ57" s="51">
        <v>12.9</v>
      </c>
      <c r="AR57" s="51" t="s">
        <v>253</v>
      </c>
      <c r="AS57" s="51" t="s">
        <v>253</v>
      </c>
      <c r="AT57" s="79" t="s">
        <v>252</v>
      </c>
      <c r="AU57" s="79" t="s">
        <v>252</v>
      </c>
      <c r="AV57" s="51" t="s">
        <v>253</v>
      </c>
      <c r="AW57" s="51">
        <v>377.2</v>
      </c>
      <c r="AX57" s="51" t="s">
        <v>253</v>
      </c>
      <c r="AY57" s="51" t="s">
        <v>253</v>
      </c>
      <c r="AZ57" s="51">
        <v>7.5</v>
      </c>
      <c r="BA57" s="51" t="s">
        <v>253</v>
      </c>
      <c r="BB57" s="51">
        <v>3.3</v>
      </c>
      <c r="BC57" s="51" t="s">
        <v>253</v>
      </c>
      <c r="BD57" s="51">
        <v>62.2</v>
      </c>
      <c r="BE57" s="51" t="s">
        <v>253</v>
      </c>
      <c r="BF57" s="51">
        <v>528.9</v>
      </c>
      <c r="BG57" s="64"/>
      <c r="BH57" s="73">
        <f t="shared" si="2"/>
        <v>170.68208736637752</v>
      </c>
      <c r="BI57" s="73">
        <f t="shared" si="3"/>
        <v>136.69999999999999</v>
      </c>
      <c r="BJ57" s="73">
        <f t="shared" si="4"/>
        <v>4.842443729903537</v>
      </c>
      <c r="BK57" s="8"/>
      <c r="BL57" s="8"/>
      <c r="BM57" s="8"/>
      <c r="BN57" s="8">
        <f t="shared" si="7"/>
        <v>10.8</v>
      </c>
      <c r="BP57" s="64"/>
      <c r="BQ57" s="64"/>
      <c r="BR57" s="64"/>
      <c r="BS57" s="64"/>
    </row>
    <row r="58" spans="1:73" x14ac:dyDescent="0.25">
      <c r="A58" t="s">
        <v>16</v>
      </c>
      <c r="B58" t="s">
        <v>317</v>
      </c>
      <c r="C58" s="70" t="s">
        <v>318</v>
      </c>
      <c r="D58" s="70" t="s">
        <v>339</v>
      </c>
      <c r="E58" s="70" t="s">
        <v>314</v>
      </c>
      <c r="F58" t="s">
        <v>315</v>
      </c>
      <c r="G58" s="71">
        <v>-328</v>
      </c>
      <c r="H58" s="72">
        <v>61.044719999999998</v>
      </c>
      <c r="I58" s="72">
        <v>-45.38306</v>
      </c>
      <c r="J58" s="247">
        <v>479311.09480772057</v>
      </c>
      <c r="K58" s="247">
        <v>6767828.9840091718</v>
      </c>
      <c r="L58" s="51">
        <v>55.4</v>
      </c>
      <c r="M58" s="51">
        <v>15.26</v>
      </c>
      <c r="N58" s="51">
        <v>10.76</v>
      </c>
      <c r="O58" s="51">
        <v>4.3600000000000003</v>
      </c>
      <c r="P58" s="51">
        <v>1.05</v>
      </c>
      <c r="Q58" s="51">
        <v>5.7</v>
      </c>
      <c r="R58" s="51">
        <v>4.76</v>
      </c>
      <c r="S58" s="51" t="s">
        <v>252</v>
      </c>
      <c r="T58" s="51">
        <v>1.45</v>
      </c>
      <c r="U58" s="51">
        <v>0.23</v>
      </c>
      <c r="V58" s="51">
        <v>0.55000000000000004</v>
      </c>
      <c r="W58" s="51" t="s">
        <v>253</v>
      </c>
      <c r="X58" s="51" t="s">
        <v>253</v>
      </c>
      <c r="Y58" s="51">
        <v>0.2</v>
      </c>
      <c r="Z58" s="55">
        <f t="shared" si="0"/>
        <v>1.3298961137133536</v>
      </c>
      <c r="AA58" s="55">
        <f t="shared" si="10"/>
        <v>100.84989611371337</v>
      </c>
      <c r="AB58" s="51">
        <v>655</v>
      </c>
      <c r="AC58" s="51" t="s">
        <v>252</v>
      </c>
      <c r="AD58" s="51" t="s">
        <v>253</v>
      </c>
      <c r="AE58" s="51" t="s">
        <v>253</v>
      </c>
      <c r="AF58" s="51" t="s">
        <v>253</v>
      </c>
      <c r="AG58" s="51" t="s">
        <v>253</v>
      </c>
      <c r="AH58" s="51" t="s">
        <v>253</v>
      </c>
      <c r="AI58" s="51" t="s">
        <v>253</v>
      </c>
      <c r="AJ58" s="51" t="s">
        <v>253</v>
      </c>
      <c r="AK58" s="51" t="s">
        <v>253</v>
      </c>
      <c r="AL58" s="51" t="s">
        <v>253</v>
      </c>
      <c r="AM58" s="51" t="s">
        <v>252</v>
      </c>
      <c r="AN58" s="51" t="s">
        <v>253</v>
      </c>
      <c r="AO58" s="51">
        <v>113</v>
      </c>
      <c r="AP58" s="51" t="s">
        <v>252</v>
      </c>
      <c r="AQ58" s="51" t="s">
        <v>252</v>
      </c>
      <c r="AR58" s="51" t="s">
        <v>253</v>
      </c>
      <c r="AS58" s="51" t="s">
        <v>253</v>
      </c>
      <c r="AT58" s="51">
        <v>20</v>
      </c>
      <c r="AU58" s="51" t="s">
        <v>252</v>
      </c>
      <c r="AV58" s="51" t="s">
        <v>253</v>
      </c>
      <c r="AW58" s="51">
        <v>200</v>
      </c>
      <c r="AX58" s="51" t="s">
        <v>253</v>
      </c>
      <c r="AY58" s="51" t="s">
        <v>253</v>
      </c>
      <c r="AZ58" s="51" t="s">
        <v>252</v>
      </c>
      <c r="BA58" s="51" t="s">
        <v>253</v>
      </c>
      <c r="BB58" s="51" t="s">
        <v>252</v>
      </c>
      <c r="BC58" s="51" t="s">
        <v>253</v>
      </c>
      <c r="BD58" s="51">
        <v>53</v>
      </c>
      <c r="BE58" s="51" t="s">
        <v>253</v>
      </c>
      <c r="BF58" s="51">
        <v>512</v>
      </c>
      <c r="BG58" s="64"/>
      <c r="BH58" s="73">
        <f t="shared" si="2"/>
        <v>100.84989611371337</v>
      </c>
      <c r="BI58" s="73">
        <f t="shared" si="3"/>
        <v>53</v>
      </c>
      <c r="BJ58" s="73">
        <f t="shared" si="4"/>
        <v>0</v>
      </c>
      <c r="BK58" s="8"/>
      <c r="BL58" s="8"/>
      <c r="BM58" s="8"/>
      <c r="BP58" s="64"/>
      <c r="BQ58" s="64"/>
      <c r="BR58" s="64"/>
      <c r="BS58" s="64"/>
    </row>
    <row r="59" spans="1:73" x14ac:dyDescent="0.25">
      <c r="A59" t="s">
        <v>16</v>
      </c>
      <c r="B59" t="s">
        <v>319</v>
      </c>
      <c r="C59" s="70" t="s">
        <v>318</v>
      </c>
      <c r="D59" s="70" t="s">
        <v>339</v>
      </c>
      <c r="E59" s="70" t="s">
        <v>314</v>
      </c>
      <c r="F59" t="s">
        <v>315</v>
      </c>
      <c r="G59" s="71">
        <v>-290</v>
      </c>
      <c r="H59" s="72">
        <v>61.034170000000003</v>
      </c>
      <c r="I59" s="72">
        <v>-45.38306</v>
      </c>
      <c r="J59" s="247">
        <v>479304.22079578956</v>
      </c>
      <c r="K59" s="247">
        <v>6766653.8841441739</v>
      </c>
      <c r="L59" s="51">
        <v>57.75</v>
      </c>
      <c r="M59" s="51">
        <v>12.63</v>
      </c>
      <c r="N59" s="51">
        <v>10.49</v>
      </c>
      <c r="O59" s="51">
        <v>4.18</v>
      </c>
      <c r="P59" s="51">
        <v>3.08</v>
      </c>
      <c r="Q59" s="51">
        <v>5.87</v>
      </c>
      <c r="R59" s="51">
        <v>4.0999999999999996</v>
      </c>
      <c r="S59" s="51" t="s">
        <v>252</v>
      </c>
      <c r="T59" s="51">
        <v>0.14000000000000001</v>
      </c>
      <c r="U59" s="51">
        <v>0.39</v>
      </c>
      <c r="V59" s="51">
        <v>0.32</v>
      </c>
      <c r="W59" s="51" t="s">
        <v>253</v>
      </c>
      <c r="X59" s="51" t="s">
        <v>253</v>
      </c>
      <c r="Y59" s="51">
        <v>0.34</v>
      </c>
      <c r="Z59" s="55">
        <f t="shared" si="0"/>
        <v>1.4789322275573442</v>
      </c>
      <c r="AA59" s="55">
        <f t="shared" si="10"/>
        <v>100.42893222755733</v>
      </c>
      <c r="AB59" s="51">
        <v>397.3</v>
      </c>
      <c r="AC59" s="51">
        <v>27.2</v>
      </c>
      <c r="AD59" s="51" t="s">
        <v>253</v>
      </c>
      <c r="AE59" s="51" t="s">
        <v>253</v>
      </c>
      <c r="AF59" s="51" t="s">
        <v>253</v>
      </c>
      <c r="AG59" s="51" t="s">
        <v>253</v>
      </c>
      <c r="AH59" s="51" t="s">
        <v>253</v>
      </c>
      <c r="AI59" s="51" t="s">
        <v>253</v>
      </c>
      <c r="AJ59" s="51" t="s">
        <v>253</v>
      </c>
      <c r="AK59" s="51" t="s">
        <v>253</v>
      </c>
      <c r="AL59" s="51" t="s">
        <v>253</v>
      </c>
      <c r="AM59" s="51">
        <v>14.6</v>
      </c>
      <c r="AN59" s="51" t="s">
        <v>253</v>
      </c>
      <c r="AO59" s="51">
        <v>29.2</v>
      </c>
      <c r="AP59" s="51">
        <v>8.9</v>
      </c>
      <c r="AQ59" s="51">
        <v>4.9000000000000004</v>
      </c>
      <c r="AR59" s="51" t="s">
        <v>253</v>
      </c>
      <c r="AS59" s="51" t="s">
        <v>253</v>
      </c>
      <c r="AT59" s="79" t="s">
        <v>252</v>
      </c>
      <c r="AU59" s="51">
        <v>8.9</v>
      </c>
      <c r="AV59" s="51" t="s">
        <v>253</v>
      </c>
      <c r="AW59" s="51">
        <v>110.8</v>
      </c>
      <c r="AX59" s="51" t="s">
        <v>253</v>
      </c>
      <c r="AY59" s="51" t="s">
        <v>253</v>
      </c>
      <c r="AZ59" s="51">
        <v>1.3</v>
      </c>
      <c r="BA59" s="51" t="s">
        <v>253</v>
      </c>
      <c r="BB59" s="51" t="s">
        <v>252</v>
      </c>
      <c r="BC59" s="51" t="s">
        <v>253</v>
      </c>
      <c r="BD59" s="51">
        <v>9</v>
      </c>
      <c r="BE59" s="51" t="s">
        <v>253</v>
      </c>
      <c r="BF59" s="51">
        <v>64.900000000000006</v>
      </c>
      <c r="BG59" s="64"/>
      <c r="BH59" s="73">
        <f t="shared" si="2"/>
        <v>109.32893222755733</v>
      </c>
      <c r="BI59" s="73">
        <f t="shared" si="3"/>
        <v>24.900000000000002</v>
      </c>
      <c r="BJ59" s="73">
        <f t="shared" si="4"/>
        <v>6.6222222222222218</v>
      </c>
      <c r="BK59" s="8"/>
      <c r="BL59" s="8"/>
      <c r="BM59" s="8"/>
      <c r="BP59" s="64"/>
      <c r="BQ59" s="64"/>
      <c r="BR59" s="64"/>
      <c r="BS59" s="64"/>
    </row>
    <row r="60" spans="1:73" x14ac:dyDescent="0.25">
      <c r="A60" t="s">
        <v>16</v>
      </c>
      <c r="B60" t="s">
        <v>320</v>
      </c>
      <c r="C60" s="70" t="s">
        <v>318</v>
      </c>
      <c r="D60" s="70" t="s">
        <v>339</v>
      </c>
      <c r="E60" s="70" t="s">
        <v>314</v>
      </c>
      <c r="F60" t="s">
        <v>315</v>
      </c>
      <c r="G60" s="71">
        <v>-200</v>
      </c>
      <c r="H60" s="72">
        <v>61.03385698353862</v>
      </c>
      <c r="I60" s="72">
        <v>-45.38615132281366</v>
      </c>
      <c r="J60" s="247">
        <v>479137.00006244727</v>
      </c>
      <c r="K60" s="247">
        <v>6766620.000078233</v>
      </c>
      <c r="L60" s="51">
        <v>51.57</v>
      </c>
      <c r="M60" s="51">
        <v>17.739999999999998</v>
      </c>
      <c r="N60" s="51">
        <v>8.9700000000000006</v>
      </c>
      <c r="O60" s="51">
        <v>5.84</v>
      </c>
      <c r="P60" s="51">
        <v>2.04</v>
      </c>
      <c r="Q60" s="51">
        <v>5.77</v>
      </c>
      <c r="R60" s="51">
        <v>3.57</v>
      </c>
      <c r="S60" s="51" t="s">
        <v>252</v>
      </c>
      <c r="T60" s="51">
        <v>1.97</v>
      </c>
      <c r="U60" s="51">
        <v>0.18</v>
      </c>
      <c r="V60" s="51">
        <v>0.99</v>
      </c>
      <c r="W60" s="51" t="s">
        <v>253</v>
      </c>
      <c r="X60" s="51" t="s">
        <v>253</v>
      </c>
      <c r="Y60" s="51">
        <v>0.8</v>
      </c>
      <c r="Z60" s="55">
        <f t="shared" si="0"/>
        <v>1.7392827226267751</v>
      </c>
      <c r="AA60" s="55">
        <f t="shared" si="10"/>
        <v>100.37928272262677</v>
      </c>
      <c r="AB60" s="51">
        <v>2946</v>
      </c>
      <c r="AC60" s="51" t="s">
        <v>252</v>
      </c>
      <c r="AD60" s="51" t="s">
        <v>253</v>
      </c>
      <c r="AE60" s="51" t="s">
        <v>253</v>
      </c>
      <c r="AF60" s="51" t="s">
        <v>253</v>
      </c>
      <c r="AG60" s="51" t="s">
        <v>253</v>
      </c>
      <c r="AH60" s="51" t="s">
        <v>253</v>
      </c>
      <c r="AI60" s="51" t="s">
        <v>253</v>
      </c>
      <c r="AJ60" s="51" t="s">
        <v>253</v>
      </c>
      <c r="AK60" s="51" t="s">
        <v>253</v>
      </c>
      <c r="AL60" s="51" t="s">
        <v>253</v>
      </c>
      <c r="AM60" s="51" t="s">
        <v>252</v>
      </c>
      <c r="AN60" s="51" t="s">
        <v>253</v>
      </c>
      <c r="AO60" s="51">
        <v>54</v>
      </c>
      <c r="AP60" s="51" t="s">
        <v>252</v>
      </c>
      <c r="AQ60" s="51" t="s">
        <v>252</v>
      </c>
      <c r="AR60" s="51" t="s">
        <v>253</v>
      </c>
      <c r="AS60" s="51" t="s">
        <v>253</v>
      </c>
      <c r="AT60" s="51">
        <v>16</v>
      </c>
      <c r="AU60" s="51" t="s">
        <v>252</v>
      </c>
      <c r="AV60" s="51" t="s">
        <v>253</v>
      </c>
      <c r="AW60" s="51">
        <v>1051</v>
      </c>
      <c r="AX60" s="51" t="s">
        <v>253</v>
      </c>
      <c r="AY60" s="51" t="s">
        <v>253</v>
      </c>
      <c r="AZ60" s="51" t="s">
        <v>252</v>
      </c>
      <c r="BA60" s="51" t="s">
        <v>253</v>
      </c>
      <c r="BB60" s="51" t="s">
        <v>252</v>
      </c>
      <c r="BC60" s="51" t="s">
        <v>253</v>
      </c>
      <c r="BD60" s="51">
        <v>33</v>
      </c>
      <c r="BE60" s="51" t="s">
        <v>253</v>
      </c>
      <c r="BF60" s="51">
        <v>238</v>
      </c>
      <c r="BG60" s="64"/>
      <c r="BH60" s="73">
        <f t="shared" si="2"/>
        <v>100.37928272262677</v>
      </c>
      <c r="BI60" s="73">
        <f t="shared" si="3"/>
        <v>33</v>
      </c>
      <c r="BJ60" s="73">
        <f t="shared" si="4"/>
        <v>0</v>
      </c>
      <c r="BK60" s="8"/>
      <c r="BL60" s="8"/>
      <c r="BM60" s="8"/>
      <c r="BP60" s="64"/>
      <c r="BQ60" s="64"/>
      <c r="BR60" s="64"/>
      <c r="BS60" s="64"/>
    </row>
    <row r="61" spans="1:73" x14ac:dyDescent="0.25">
      <c r="A61" t="s">
        <v>16</v>
      </c>
      <c r="B61" t="s">
        <v>321</v>
      </c>
      <c r="C61" s="70" t="s">
        <v>318</v>
      </c>
      <c r="D61" s="70" t="s">
        <v>339</v>
      </c>
      <c r="E61" s="70" t="s">
        <v>314</v>
      </c>
      <c r="F61" t="s">
        <v>315</v>
      </c>
      <c r="G61" s="71">
        <v>-188</v>
      </c>
      <c r="H61" s="72">
        <v>61.04222</v>
      </c>
      <c r="I61" s="72">
        <v>-45.387219999999999</v>
      </c>
      <c r="J61" s="247">
        <v>479084.77014252532</v>
      </c>
      <c r="K61" s="247">
        <v>6767551.8457399299</v>
      </c>
      <c r="L61" s="51">
        <v>66.52</v>
      </c>
      <c r="M61" s="51">
        <v>18.25</v>
      </c>
      <c r="N61" s="51">
        <v>1.93</v>
      </c>
      <c r="O61" s="51">
        <v>0.64</v>
      </c>
      <c r="P61" s="51">
        <v>7.0000000000000007E-2</v>
      </c>
      <c r="Q61" s="51">
        <v>10.45</v>
      </c>
      <c r="R61" s="51">
        <v>1.28</v>
      </c>
      <c r="S61" s="51" t="s">
        <v>252</v>
      </c>
      <c r="T61" s="51">
        <v>0.13</v>
      </c>
      <c r="U61" s="51">
        <v>7.0000000000000007E-2</v>
      </c>
      <c r="V61" s="51">
        <v>0.03</v>
      </c>
      <c r="W61" s="51" t="s">
        <v>253</v>
      </c>
      <c r="X61" s="51" t="s">
        <v>253</v>
      </c>
      <c r="Y61" s="51">
        <v>0.5</v>
      </c>
      <c r="Z61" s="55">
        <f t="shared" si="0"/>
        <v>0.70915054464080962</v>
      </c>
      <c r="AA61" s="55">
        <f t="shared" si="10"/>
        <v>100.0791505446408</v>
      </c>
      <c r="AB61" s="51">
        <v>169</v>
      </c>
      <c r="AC61" s="51" t="s">
        <v>252</v>
      </c>
      <c r="AD61" s="51" t="s">
        <v>253</v>
      </c>
      <c r="AE61" s="51" t="s">
        <v>253</v>
      </c>
      <c r="AF61" s="51" t="s">
        <v>253</v>
      </c>
      <c r="AG61" s="51" t="s">
        <v>253</v>
      </c>
      <c r="AH61" s="51" t="s">
        <v>253</v>
      </c>
      <c r="AI61" s="51" t="s">
        <v>253</v>
      </c>
      <c r="AJ61" s="51" t="s">
        <v>253</v>
      </c>
      <c r="AK61" s="51" t="s">
        <v>253</v>
      </c>
      <c r="AL61" s="51" t="s">
        <v>253</v>
      </c>
      <c r="AM61" s="51" t="s">
        <v>252</v>
      </c>
      <c r="AN61" s="51" t="s">
        <v>253</v>
      </c>
      <c r="AO61" s="51">
        <v>25</v>
      </c>
      <c r="AP61" s="51" t="s">
        <v>252</v>
      </c>
      <c r="AQ61" s="51" t="s">
        <v>252</v>
      </c>
      <c r="AR61" s="51" t="s">
        <v>253</v>
      </c>
      <c r="AS61" s="51" t="s">
        <v>253</v>
      </c>
      <c r="AT61" s="51" t="s">
        <v>252</v>
      </c>
      <c r="AU61" s="51" t="s">
        <v>252</v>
      </c>
      <c r="AV61" s="51" t="s">
        <v>253</v>
      </c>
      <c r="AW61" s="51">
        <v>409</v>
      </c>
      <c r="AX61" s="51" t="s">
        <v>253</v>
      </c>
      <c r="AY61" s="51" t="s">
        <v>253</v>
      </c>
      <c r="AZ61" s="51" t="s">
        <v>252</v>
      </c>
      <c r="BA61" s="51" t="s">
        <v>253</v>
      </c>
      <c r="BB61" s="51" t="s">
        <v>252</v>
      </c>
      <c r="BC61" s="51" t="s">
        <v>253</v>
      </c>
      <c r="BD61" s="51">
        <v>62</v>
      </c>
      <c r="BE61" s="51" t="s">
        <v>253</v>
      </c>
      <c r="BF61" s="51">
        <v>106</v>
      </c>
      <c r="BG61" s="64"/>
      <c r="BH61" s="73">
        <f t="shared" si="2"/>
        <v>100.0791505446408</v>
      </c>
      <c r="BI61" s="73">
        <f t="shared" si="3"/>
        <v>62</v>
      </c>
      <c r="BJ61" s="73">
        <f t="shared" si="4"/>
        <v>0</v>
      </c>
      <c r="BK61" s="8"/>
      <c r="BL61" s="8"/>
      <c r="BM61" s="8"/>
      <c r="BP61" s="64"/>
      <c r="BQ61" s="64"/>
      <c r="BR61" s="64"/>
      <c r="BS61" s="64"/>
    </row>
    <row r="62" spans="1:73" x14ac:dyDescent="0.25">
      <c r="A62" t="s">
        <v>16</v>
      </c>
      <c r="B62" t="s">
        <v>322</v>
      </c>
      <c r="C62" s="70" t="s">
        <v>318</v>
      </c>
      <c r="D62" s="70" t="s">
        <v>339</v>
      </c>
      <c r="E62" s="70" t="s">
        <v>314</v>
      </c>
      <c r="F62" t="s">
        <v>315</v>
      </c>
      <c r="G62" s="71">
        <v>-89</v>
      </c>
      <c r="H62" s="72">
        <v>61.041939999999997</v>
      </c>
      <c r="I62" s="72">
        <v>-45.38917</v>
      </c>
      <c r="J62" s="247">
        <v>478979.25870580768</v>
      </c>
      <c r="K62" s="247">
        <v>6767521.2826600662</v>
      </c>
      <c r="L62" s="51">
        <v>57.93</v>
      </c>
      <c r="M62" s="51">
        <v>12.38</v>
      </c>
      <c r="N62" s="51">
        <v>10.18</v>
      </c>
      <c r="O62" s="51">
        <v>7.38</v>
      </c>
      <c r="P62" s="51">
        <v>0.81</v>
      </c>
      <c r="Q62" s="51">
        <v>6.14</v>
      </c>
      <c r="R62" s="51">
        <v>3.08</v>
      </c>
      <c r="S62" s="51" t="s">
        <v>252</v>
      </c>
      <c r="T62" s="51">
        <v>0.33</v>
      </c>
      <c r="U62" s="51">
        <v>0.64</v>
      </c>
      <c r="V62" s="51">
        <v>0.31</v>
      </c>
      <c r="W62" s="51" t="s">
        <v>253</v>
      </c>
      <c r="X62" s="51" t="s">
        <v>253</v>
      </c>
      <c r="Y62" s="51">
        <v>0.08</v>
      </c>
      <c r="Z62" s="55">
        <f t="shared" si="0"/>
        <v>1.2442596714060177</v>
      </c>
      <c r="AA62" s="55">
        <f t="shared" si="10"/>
        <v>100.42425967140602</v>
      </c>
      <c r="AB62" s="51">
        <v>382.2</v>
      </c>
      <c r="AC62" s="51">
        <v>498.2</v>
      </c>
      <c r="AD62" s="51" t="s">
        <v>253</v>
      </c>
      <c r="AE62" s="51" t="s">
        <v>253</v>
      </c>
      <c r="AF62" s="51" t="s">
        <v>253</v>
      </c>
      <c r="AG62" s="51" t="s">
        <v>253</v>
      </c>
      <c r="AH62" s="51" t="s">
        <v>253</v>
      </c>
      <c r="AI62" s="51" t="s">
        <v>253</v>
      </c>
      <c r="AJ62" s="51" t="s">
        <v>253</v>
      </c>
      <c r="AK62" s="51" t="s">
        <v>253</v>
      </c>
      <c r="AL62" s="51" t="s">
        <v>253</v>
      </c>
      <c r="AM62" s="51">
        <v>196.4</v>
      </c>
      <c r="AN62" s="51" t="s">
        <v>253</v>
      </c>
      <c r="AO62" s="51">
        <v>141.1</v>
      </c>
      <c r="AP62" s="51">
        <v>237.4</v>
      </c>
      <c r="AQ62" s="51" t="s">
        <v>252</v>
      </c>
      <c r="AR62" s="51" t="s">
        <v>253</v>
      </c>
      <c r="AS62" s="51" t="s">
        <v>253</v>
      </c>
      <c r="AT62" s="51" t="s">
        <v>252</v>
      </c>
      <c r="AU62" s="51" t="s">
        <v>252</v>
      </c>
      <c r="AV62" s="51" t="s">
        <v>253</v>
      </c>
      <c r="AW62" s="51">
        <v>1977</v>
      </c>
      <c r="AX62" s="51" t="s">
        <v>253</v>
      </c>
      <c r="AY62" s="51" t="s">
        <v>253</v>
      </c>
      <c r="AZ62" s="51">
        <v>75.5</v>
      </c>
      <c r="BA62" s="51" t="s">
        <v>253</v>
      </c>
      <c r="BB62" s="51">
        <v>4.0999999999999996</v>
      </c>
      <c r="BC62" s="51" t="s">
        <v>253</v>
      </c>
      <c r="BD62" s="51">
        <v>213.7</v>
      </c>
      <c r="BE62" s="51" t="s">
        <v>253</v>
      </c>
      <c r="BF62" s="51">
        <v>1122</v>
      </c>
      <c r="BG62" s="64"/>
      <c r="BH62" s="73">
        <f t="shared" si="2"/>
        <v>337.82425967140603</v>
      </c>
      <c r="BI62" s="73">
        <f t="shared" si="3"/>
        <v>485.6</v>
      </c>
      <c r="BJ62" s="73">
        <f t="shared" si="4"/>
        <v>4.3612540945250355</v>
      </c>
      <c r="BK62" s="8"/>
      <c r="BL62" s="8"/>
      <c r="BM62" s="8"/>
      <c r="BN62" s="8">
        <f t="shared" si="7"/>
        <v>79.599999999999994</v>
      </c>
      <c r="BP62" s="64"/>
      <c r="BQ62" s="64"/>
      <c r="BR62" s="64"/>
      <c r="BS62" s="64"/>
    </row>
    <row r="63" spans="1:73" x14ac:dyDescent="0.25">
      <c r="A63" t="s">
        <v>16</v>
      </c>
      <c r="B63" t="s">
        <v>323</v>
      </c>
      <c r="C63" s="70" t="s">
        <v>318</v>
      </c>
      <c r="D63" s="70" t="s">
        <v>339</v>
      </c>
      <c r="E63" s="70" t="s">
        <v>314</v>
      </c>
      <c r="F63" t="s">
        <v>315</v>
      </c>
      <c r="G63" s="71">
        <v>-58</v>
      </c>
      <c r="H63" s="72">
        <v>61.041939999999997</v>
      </c>
      <c r="I63" s="72">
        <v>-45.391939999999998</v>
      </c>
      <c r="J63" s="247">
        <v>478829.64035652077</v>
      </c>
      <c r="K63" s="247">
        <v>6767522.1750331875</v>
      </c>
      <c r="L63" s="51">
        <v>53.19</v>
      </c>
      <c r="M63" s="51">
        <v>23.69</v>
      </c>
      <c r="N63" s="51">
        <v>3.62</v>
      </c>
      <c r="O63" s="51">
        <v>8</v>
      </c>
      <c r="P63" s="51">
        <v>0.93</v>
      </c>
      <c r="Q63" s="51">
        <v>5.89</v>
      </c>
      <c r="R63" s="51">
        <v>1.67</v>
      </c>
      <c r="S63" s="51" t="s">
        <v>252</v>
      </c>
      <c r="T63" s="51">
        <v>0.79</v>
      </c>
      <c r="U63" s="51">
        <v>0.05</v>
      </c>
      <c r="V63" s="51">
        <v>0.51</v>
      </c>
      <c r="W63" s="51" t="s">
        <v>253</v>
      </c>
      <c r="X63" s="51" t="s">
        <v>253</v>
      </c>
      <c r="Y63" s="51">
        <v>1.1499999999999999</v>
      </c>
      <c r="Z63" s="55">
        <f t="shared" si="0"/>
        <v>1.5239571606545186</v>
      </c>
      <c r="AA63" s="55">
        <f t="shared" si="10"/>
        <v>99.863957160654536</v>
      </c>
      <c r="AB63" s="51">
        <v>1635</v>
      </c>
      <c r="AC63" s="51">
        <v>55.5</v>
      </c>
      <c r="AD63" s="51" t="s">
        <v>253</v>
      </c>
      <c r="AE63" s="51" t="s">
        <v>253</v>
      </c>
      <c r="AF63" s="51" t="s">
        <v>253</v>
      </c>
      <c r="AG63" s="51" t="s">
        <v>253</v>
      </c>
      <c r="AH63" s="51" t="s">
        <v>253</v>
      </c>
      <c r="AI63" s="51" t="s">
        <v>253</v>
      </c>
      <c r="AJ63" s="51" t="s">
        <v>253</v>
      </c>
      <c r="AK63" s="51" t="s">
        <v>253</v>
      </c>
      <c r="AL63" s="51" t="s">
        <v>253</v>
      </c>
      <c r="AM63" s="51">
        <v>37</v>
      </c>
      <c r="AN63" s="51" t="s">
        <v>253</v>
      </c>
      <c r="AO63" s="51">
        <v>17.399999999999999</v>
      </c>
      <c r="AP63" s="51">
        <v>33.4</v>
      </c>
      <c r="AQ63" s="51">
        <v>2.8</v>
      </c>
      <c r="AR63" s="51" t="s">
        <v>253</v>
      </c>
      <c r="AS63" s="51" t="s">
        <v>253</v>
      </c>
      <c r="AT63" s="51" t="s">
        <v>252</v>
      </c>
      <c r="AU63" s="51" t="s">
        <v>252</v>
      </c>
      <c r="AV63" s="51" t="s">
        <v>253</v>
      </c>
      <c r="AW63" s="51">
        <v>2104</v>
      </c>
      <c r="AX63" s="51" t="s">
        <v>253</v>
      </c>
      <c r="AY63" s="51" t="s">
        <v>253</v>
      </c>
      <c r="AZ63" s="51">
        <v>3.9</v>
      </c>
      <c r="BA63" s="51" t="s">
        <v>253</v>
      </c>
      <c r="BB63" s="51" t="s">
        <v>252</v>
      </c>
      <c r="BC63" s="51" t="s">
        <v>253</v>
      </c>
      <c r="BD63" s="51">
        <v>17.899999999999999</v>
      </c>
      <c r="BE63" s="51" t="s">
        <v>253</v>
      </c>
      <c r="BF63" s="51">
        <v>55.9</v>
      </c>
      <c r="BG63" s="64"/>
      <c r="BH63" s="73">
        <f t="shared" si="2"/>
        <v>133.26395716065454</v>
      </c>
      <c r="BI63" s="73">
        <f t="shared" si="3"/>
        <v>58.8</v>
      </c>
      <c r="BJ63" s="73">
        <f t="shared" si="4"/>
        <v>7.0335195530726269</v>
      </c>
      <c r="BK63" s="8"/>
      <c r="BL63" s="8"/>
      <c r="BM63" s="8"/>
      <c r="BP63" s="64"/>
      <c r="BQ63" s="64"/>
      <c r="BR63" s="64"/>
      <c r="BS63" s="64"/>
    </row>
    <row r="64" spans="1:73" x14ac:dyDescent="0.25">
      <c r="A64" t="s">
        <v>16</v>
      </c>
      <c r="B64" t="s">
        <v>324</v>
      </c>
      <c r="C64" s="70" t="s">
        <v>318</v>
      </c>
      <c r="D64" s="70" t="s">
        <v>339</v>
      </c>
      <c r="E64" s="70" t="s">
        <v>314</v>
      </c>
      <c r="F64" t="s">
        <v>315</v>
      </c>
      <c r="G64" s="71">
        <v>-69</v>
      </c>
      <c r="H64" s="72">
        <v>61.03472</v>
      </c>
      <c r="I64" s="72">
        <v>-45.390279999999997</v>
      </c>
      <c r="J64" s="247">
        <v>478914.51041931286</v>
      </c>
      <c r="K64" s="247">
        <v>6766717.4484234899</v>
      </c>
      <c r="L64" s="51">
        <v>62.8</v>
      </c>
      <c r="M64" s="51">
        <v>15.31</v>
      </c>
      <c r="N64" s="51">
        <v>6.78</v>
      </c>
      <c r="O64" s="51">
        <v>1.69</v>
      </c>
      <c r="P64" s="51">
        <v>0.81</v>
      </c>
      <c r="Q64" s="51">
        <v>10.29</v>
      </c>
      <c r="R64" s="51">
        <v>0.17</v>
      </c>
      <c r="S64" s="51" t="s">
        <v>252</v>
      </c>
      <c r="T64" s="51">
        <v>0.83</v>
      </c>
      <c r="U64" s="51">
        <v>0.14000000000000001</v>
      </c>
      <c r="V64" s="51">
        <v>0.35</v>
      </c>
      <c r="W64" s="51" t="s">
        <v>253</v>
      </c>
      <c r="X64" s="51" t="s">
        <v>253</v>
      </c>
      <c r="Y64" s="51">
        <v>0.7</v>
      </c>
      <c r="Z64" s="55">
        <f t="shared" si="0"/>
        <v>1.4108496177725398</v>
      </c>
      <c r="AA64" s="55">
        <f t="shared" si="10"/>
        <v>100.58084961777254</v>
      </c>
      <c r="AB64" s="51">
        <v>134</v>
      </c>
      <c r="AC64" s="51" t="s">
        <v>252</v>
      </c>
      <c r="AD64" s="51" t="s">
        <v>253</v>
      </c>
      <c r="AE64" s="51" t="s">
        <v>253</v>
      </c>
      <c r="AF64" s="51" t="s">
        <v>253</v>
      </c>
      <c r="AG64" s="51" t="s">
        <v>253</v>
      </c>
      <c r="AH64" s="51" t="s">
        <v>253</v>
      </c>
      <c r="AI64" s="51" t="s">
        <v>253</v>
      </c>
      <c r="AJ64" s="51" t="s">
        <v>253</v>
      </c>
      <c r="AK64" s="51" t="s">
        <v>253</v>
      </c>
      <c r="AL64" s="51" t="s">
        <v>253</v>
      </c>
      <c r="AM64" s="51" t="s">
        <v>252</v>
      </c>
      <c r="AN64" s="51" t="s">
        <v>253</v>
      </c>
      <c r="AO64" s="51">
        <v>63</v>
      </c>
      <c r="AP64" s="51" t="s">
        <v>252</v>
      </c>
      <c r="AQ64" s="51" t="s">
        <v>252</v>
      </c>
      <c r="AR64" s="51" t="s">
        <v>253</v>
      </c>
      <c r="AS64" s="51" t="s">
        <v>253</v>
      </c>
      <c r="AT64" s="51">
        <v>8</v>
      </c>
      <c r="AU64" s="51" t="s">
        <v>252</v>
      </c>
      <c r="AV64" s="51" t="s">
        <v>253</v>
      </c>
      <c r="AW64" s="51">
        <v>90</v>
      </c>
      <c r="AX64" s="51" t="s">
        <v>253</v>
      </c>
      <c r="AY64" s="51" t="s">
        <v>253</v>
      </c>
      <c r="AZ64" s="51" t="s">
        <v>252</v>
      </c>
      <c r="BA64" s="51" t="s">
        <v>253</v>
      </c>
      <c r="BB64" s="51" t="s">
        <v>252</v>
      </c>
      <c r="BC64" s="51" t="s">
        <v>253</v>
      </c>
      <c r="BD64" s="51">
        <v>26</v>
      </c>
      <c r="BE64" s="51" t="s">
        <v>253</v>
      </c>
      <c r="BF64" s="51">
        <v>205</v>
      </c>
      <c r="BG64" s="64"/>
      <c r="BH64" s="73">
        <f t="shared" si="2"/>
        <v>100.58084961777254</v>
      </c>
      <c r="BI64" s="73">
        <f t="shared" si="3"/>
        <v>26</v>
      </c>
      <c r="BJ64" s="73">
        <f t="shared" si="4"/>
        <v>0</v>
      </c>
      <c r="BK64" s="8"/>
      <c r="BL64" s="8"/>
      <c r="BM64" s="8"/>
      <c r="BP64" s="64"/>
      <c r="BQ64" s="64"/>
      <c r="BR64" s="64"/>
      <c r="BS64" s="64"/>
    </row>
    <row r="65" spans="1:83" x14ac:dyDescent="0.25">
      <c r="B65" s="80"/>
      <c r="C65" s="70"/>
      <c r="D65" s="70"/>
      <c r="E65" s="83"/>
      <c r="F65" s="80"/>
      <c r="G65" s="81"/>
      <c r="H65" s="82"/>
      <c r="I65" s="82"/>
      <c r="J65" s="82"/>
      <c r="K65" s="82"/>
      <c r="L65" s="79"/>
      <c r="M65" s="79"/>
      <c r="N65" s="79"/>
      <c r="O65" s="79"/>
      <c r="P65" s="79"/>
      <c r="Q65" s="79"/>
      <c r="R65" s="79"/>
      <c r="T65" s="79"/>
      <c r="U65" s="79"/>
      <c r="V65" s="79"/>
      <c r="W65" s="79"/>
      <c r="X65" s="79"/>
      <c r="Y65" s="79"/>
      <c r="Z65" s="55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R65" s="79"/>
      <c r="AS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64"/>
      <c r="BH65" s="64"/>
      <c r="BI65" s="64"/>
      <c r="BJ65" s="64"/>
      <c r="BK65" s="64"/>
      <c r="BL65" s="64"/>
      <c r="BM65" s="64"/>
      <c r="BP65" s="64"/>
      <c r="BQ65" s="64"/>
      <c r="BR65" s="64"/>
    </row>
    <row r="66" spans="1:83" x14ac:dyDescent="0.25">
      <c r="A66" s="115" t="s">
        <v>336</v>
      </c>
      <c r="B66" s="80"/>
      <c r="C66" s="70"/>
      <c r="D66" s="70"/>
      <c r="E66" s="83"/>
      <c r="F66" s="80"/>
      <c r="G66" s="81"/>
      <c r="H66" s="82"/>
      <c r="I66" s="82"/>
      <c r="J66" s="82"/>
      <c r="K66" s="82"/>
      <c r="L66" s="79"/>
      <c r="M66" s="79"/>
      <c r="N66" s="79"/>
      <c r="O66" s="79"/>
      <c r="P66" s="79"/>
      <c r="Q66" s="79"/>
      <c r="R66" s="79"/>
      <c r="T66" s="79"/>
      <c r="U66" s="79"/>
      <c r="V66" s="79"/>
      <c r="W66" s="79"/>
      <c r="X66" s="79"/>
      <c r="Y66" s="79"/>
      <c r="Z66" s="55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R66" s="79"/>
      <c r="AS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64"/>
      <c r="BH66" s="64"/>
      <c r="BI66" s="64"/>
      <c r="BJ66" s="64"/>
      <c r="BK66" s="64"/>
      <c r="BL66" s="64"/>
      <c r="BM66" s="64"/>
      <c r="BP66" s="64"/>
      <c r="BQ66" s="64"/>
      <c r="BR66" s="64"/>
    </row>
    <row r="67" spans="1:83" x14ac:dyDescent="0.25">
      <c r="A67" t="s">
        <v>325</v>
      </c>
      <c r="Z67" s="55"/>
      <c r="AA67" s="55"/>
      <c r="BG67" s="64"/>
      <c r="BH67" s="64"/>
      <c r="BI67" s="64"/>
      <c r="BJ67" s="64"/>
      <c r="BK67" s="64"/>
      <c r="BL67" s="64"/>
      <c r="BM67" s="64"/>
      <c r="BP67" s="64"/>
      <c r="BQ67" s="64"/>
      <c r="BR67" s="64"/>
      <c r="BS67" s="64"/>
    </row>
    <row r="68" spans="1:83" x14ac:dyDescent="0.25">
      <c r="A68" t="s">
        <v>465</v>
      </c>
      <c r="Z68" s="55"/>
      <c r="AA68" s="55"/>
      <c r="BG68" s="64"/>
      <c r="BH68" s="64"/>
      <c r="BI68" s="64"/>
      <c r="BJ68" s="64"/>
      <c r="BK68" s="64"/>
      <c r="BL68" s="64"/>
      <c r="BM68" s="64"/>
      <c r="BP68" s="64"/>
      <c r="BQ68" s="64"/>
      <c r="BR68" s="64"/>
      <c r="BS68" s="64"/>
    </row>
    <row r="69" spans="1:83" s="94" customFormat="1" x14ac:dyDescent="0.25">
      <c r="A69" s="93" t="s">
        <v>335</v>
      </c>
      <c r="E69" s="108"/>
      <c r="G69" s="109"/>
      <c r="H69" s="110"/>
      <c r="I69" s="110"/>
      <c r="J69" s="110"/>
      <c r="K69" s="110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2"/>
      <c r="AA69" s="112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3"/>
      <c r="BH69" s="113"/>
      <c r="BI69" s="113"/>
      <c r="BJ69" s="113"/>
      <c r="BK69" s="113"/>
      <c r="BL69" s="113"/>
      <c r="BM69" s="113"/>
      <c r="BN69" s="114"/>
      <c r="BO69" s="114"/>
      <c r="BP69" s="113"/>
      <c r="BQ69" s="113"/>
      <c r="BR69" s="113"/>
      <c r="BS69" s="113"/>
    </row>
    <row r="70" spans="1:83" s="104" customFormat="1" x14ac:dyDescent="0.25">
      <c r="A70" s="141"/>
      <c r="E70" s="105"/>
      <c r="G70" s="97"/>
      <c r="H70" s="98"/>
      <c r="I70" s="98"/>
      <c r="J70" s="98"/>
      <c r="K70" s="98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7"/>
      <c r="AA70" s="107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  <c r="AU70" s="106"/>
      <c r="AV70" s="106"/>
      <c r="AW70" s="106"/>
      <c r="AX70" s="106"/>
      <c r="AY70" s="106"/>
      <c r="AZ70" s="106"/>
      <c r="BA70" s="106"/>
      <c r="BB70" s="106"/>
      <c r="BC70" s="106"/>
      <c r="BD70" s="106"/>
      <c r="BE70" s="106"/>
      <c r="BF70" s="106"/>
      <c r="BG70" s="101"/>
      <c r="BH70" s="101"/>
      <c r="BI70" s="101"/>
      <c r="BJ70" s="101"/>
      <c r="BK70" s="101"/>
      <c r="BL70" s="101"/>
      <c r="BM70" s="101"/>
      <c r="BN70" s="103"/>
      <c r="BO70" s="103"/>
      <c r="BP70" s="101"/>
      <c r="BQ70" s="101"/>
      <c r="BR70" s="101"/>
      <c r="BS70" s="101"/>
    </row>
    <row r="71" spans="1:83" x14ac:dyDescent="0.25">
      <c r="A71" s="126" t="s">
        <v>461</v>
      </c>
      <c r="C71" s="70"/>
      <c r="D71" s="70"/>
      <c r="BG71" s="64"/>
      <c r="BH71" s="64"/>
      <c r="BI71" s="64"/>
      <c r="BJ71" s="64"/>
      <c r="BK71" s="64"/>
      <c r="BL71" s="64"/>
      <c r="BM71" s="64"/>
      <c r="BP71" s="64"/>
      <c r="BQ71" s="64"/>
      <c r="BR71" s="64"/>
      <c r="BS71" s="64"/>
    </row>
    <row r="72" spans="1:83" x14ac:dyDescent="0.25">
      <c r="A72" s="13" t="s">
        <v>326</v>
      </c>
      <c r="D72" s="151" t="s">
        <v>459</v>
      </c>
      <c r="E72" s="152" t="s">
        <v>463</v>
      </c>
      <c r="F72" s="151" t="s">
        <v>460</v>
      </c>
      <c r="G72" s="153" t="s">
        <v>464</v>
      </c>
      <c r="L72" s="51">
        <v>0.01</v>
      </c>
      <c r="M72" s="51">
        <v>0.01</v>
      </c>
      <c r="N72" s="51">
        <v>0.04</v>
      </c>
      <c r="O72" s="51">
        <v>0.01</v>
      </c>
      <c r="P72" s="51">
        <v>0.01</v>
      </c>
      <c r="Q72" s="51">
        <v>0.01</v>
      </c>
      <c r="R72" s="51">
        <v>0.01</v>
      </c>
      <c r="S72" s="51" t="s">
        <v>327</v>
      </c>
      <c r="T72" s="51">
        <v>0.01</v>
      </c>
      <c r="U72" s="51">
        <v>0.01</v>
      </c>
      <c r="V72" s="51">
        <v>0.01</v>
      </c>
      <c r="W72" s="51" t="s">
        <v>253</v>
      </c>
      <c r="X72" s="51" t="s">
        <v>253</v>
      </c>
      <c r="Y72" s="51">
        <v>-5.0999999999999996</v>
      </c>
      <c r="Z72" s="51" t="s">
        <v>327</v>
      </c>
      <c r="AA72" s="51" t="s">
        <v>327</v>
      </c>
      <c r="AB72" s="51">
        <v>5</v>
      </c>
      <c r="AC72" s="51" t="s">
        <v>253</v>
      </c>
      <c r="AD72" s="51" t="s">
        <v>253</v>
      </c>
      <c r="AE72" s="51" t="s">
        <v>253</v>
      </c>
      <c r="AF72" s="51" t="s">
        <v>253</v>
      </c>
      <c r="AG72" s="51" t="s">
        <v>253</v>
      </c>
      <c r="AH72" s="51" t="s">
        <v>253</v>
      </c>
      <c r="AI72" s="51" t="s">
        <v>253</v>
      </c>
      <c r="AJ72" s="51" t="s">
        <v>253</v>
      </c>
      <c r="AK72" s="51" t="s">
        <v>253</v>
      </c>
      <c r="AL72" s="51" t="s">
        <v>253</v>
      </c>
      <c r="AM72" s="51" t="s">
        <v>253</v>
      </c>
      <c r="AN72" s="51" t="s">
        <v>253</v>
      </c>
      <c r="AO72" s="51">
        <v>5</v>
      </c>
      <c r="AP72" s="51" t="s">
        <v>253</v>
      </c>
      <c r="AQ72" s="51">
        <v>20</v>
      </c>
      <c r="AR72" s="51" t="s">
        <v>253</v>
      </c>
      <c r="AS72" s="51" t="s">
        <v>253</v>
      </c>
      <c r="AT72" s="51">
        <v>1</v>
      </c>
      <c r="AU72" s="51" t="s">
        <v>253</v>
      </c>
      <c r="AV72" s="51" t="s">
        <v>253</v>
      </c>
      <c r="AW72" s="51">
        <v>2</v>
      </c>
      <c r="AX72" s="51" t="s">
        <v>253</v>
      </c>
      <c r="AY72" s="51" t="s">
        <v>253</v>
      </c>
      <c r="AZ72" s="51" t="s">
        <v>253</v>
      </c>
      <c r="BA72" s="51" t="s">
        <v>253</v>
      </c>
      <c r="BB72" s="51" t="s">
        <v>253</v>
      </c>
      <c r="BC72" s="51" t="s">
        <v>253</v>
      </c>
      <c r="BD72" s="51">
        <v>3</v>
      </c>
      <c r="BE72" s="51" t="s">
        <v>253</v>
      </c>
      <c r="BF72" s="51">
        <v>5</v>
      </c>
      <c r="BG72" s="51"/>
      <c r="BH72" s="51"/>
      <c r="BI72" s="51"/>
      <c r="BJ72" s="51"/>
      <c r="BK72" s="51"/>
      <c r="BL72" s="51"/>
      <c r="BM72" s="51"/>
      <c r="BN72" s="55"/>
      <c r="BO72" s="55"/>
      <c r="BP72" s="51"/>
      <c r="BQ72" s="51"/>
      <c r="BR72" s="51"/>
      <c r="BS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</row>
    <row r="73" spans="1:83" x14ac:dyDescent="0.25">
      <c r="A73" s="13" t="s">
        <v>388</v>
      </c>
      <c r="D73" s="168">
        <f>MAX(L73,M73,N73,O73,P73,Q73,R73,T73,U73,V73)</f>
        <v>0.89000000000000057</v>
      </c>
      <c r="E73" s="169">
        <f>AVERAGE(L73,M73,N73,O73,P73,Q73,R73,T73,U73,V73)</f>
        <v>0.12775000000000017</v>
      </c>
      <c r="F73" s="151"/>
      <c r="G73" s="153"/>
      <c r="L73" s="86">
        <f>L110</f>
        <v>0.89000000000000057</v>
      </c>
      <c r="M73" s="86">
        <f t="shared" ref="M73:BF73" si="11">M110</f>
        <v>0.1225000000000005</v>
      </c>
      <c r="N73" s="86">
        <f t="shared" si="11"/>
        <v>5.7500000000000107E-2</v>
      </c>
      <c r="O73" s="86">
        <f t="shared" si="11"/>
        <v>5.4999999999999716E-2</v>
      </c>
      <c r="P73" s="86">
        <f t="shared" si="11"/>
        <v>6.25E-2</v>
      </c>
      <c r="Q73" s="86">
        <f t="shared" si="11"/>
        <v>5.5000000000000604E-2</v>
      </c>
      <c r="R73" s="86">
        <f t="shared" si="11"/>
        <v>1.7500000000000071E-2</v>
      </c>
      <c r="S73" s="86">
        <f t="shared" si="11"/>
        <v>6.2500000000000888E-3</v>
      </c>
      <c r="T73" s="86">
        <f t="shared" si="11"/>
        <v>1.7500000000000071E-2</v>
      </c>
      <c r="U73" s="86">
        <f t="shared" si="11"/>
        <v>0</v>
      </c>
      <c r="V73" s="86">
        <f t="shared" si="11"/>
        <v>0</v>
      </c>
      <c r="W73" s="86"/>
      <c r="X73" s="86"/>
      <c r="Y73" s="86"/>
      <c r="Z73" s="86"/>
      <c r="AA73" s="86"/>
      <c r="AB73" s="86">
        <f t="shared" si="11"/>
        <v>18</v>
      </c>
      <c r="AC73" s="86">
        <f t="shared" si="11"/>
        <v>0</v>
      </c>
      <c r="AD73" s="86">
        <f t="shared" si="11"/>
        <v>0</v>
      </c>
      <c r="AE73" s="86">
        <f t="shared" si="11"/>
        <v>0</v>
      </c>
      <c r="AF73" s="86">
        <f t="shared" si="11"/>
        <v>0</v>
      </c>
      <c r="AG73" s="86">
        <f t="shared" si="11"/>
        <v>0</v>
      </c>
      <c r="AH73" s="86">
        <f t="shared" si="11"/>
        <v>0</v>
      </c>
      <c r="AI73" s="86">
        <f t="shared" si="11"/>
        <v>0</v>
      </c>
      <c r="AJ73" s="86">
        <f t="shared" si="11"/>
        <v>0</v>
      </c>
      <c r="AK73" s="86">
        <f t="shared" si="11"/>
        <v>0</v>
      </c>
      <c r="AL73" s="86">
        <f t="shared" si="11"/>
        <v>0</v>
      </c>
      <c r="AM73" s="86">
        <f t="shared" si="11"/>
        <v>0</v>
      </c>
      <c r="AN73" s="86">
        <f t="shared" si="11"/>
        <v>0</v>
      </c>
      <c r="AO73" s="86">
        <f t="shared" si="11"/>
        <v>6.25</v>
      </c>
      <c r="AP73" s="86">
        <f t="shared" si="11"/>
        <v>0</v>
      </c>
      <c r="AQ73" s="86">
        <f t="shared" si="11"/>
        <v>1.25</v>
      </c>
      <c r="AR73" s="86">
        <f t="shared" si="11"/>
        <v>0</v>
      </c>
      <c r="AS73" s="86">
        <f t="shared" si="11"/>
        <v>0</v>
      </c>
      <c r="AT73" s="86">
        <f t="shared" si="11"/>
        <v>0.75</v>
      </c>
      <c r="AU73" s="86">
        <f t="shared" si="11"/>
        <v>0</v>
      </c>
      <c r="AV73" s="86">
        <f t="shared" si="11"/>
        <v>0</v>
      </c>
      <c r="AW73" s="86">
        <f t="shared" si="11"/>
        <v>1.6000000000000227</v>
      </c>
      <c r="AX73" s="86">
        <f t="shared" si="11"/>
        <v>0</v>
      </c>
      <c r="AY73" s="86">
        <f t="shared" si="11"/>
        <v>0</v>
      </c>
      <c r="AZ73" s="86">
        <f t="shared" si="11"/>
        <v>0</v>
      </c>
      <c r="BA73" s="86">
        <f t="shared" si="11"/>
        <v>0</v>
      </c>
      <c r="BB73" s="86">
        <f t="shared" si="11"/>
        <v>0</v>
      </c>
      <c r="BC73" s="86">
        <f t="shared" si="11"/>
        <v>0</v>
      </c>
      <c r="BD73" s="86">
        <f t="shared" si="11"/>
        <v>0.75</v>
      </c>
      <c r="BE73" s="86">
        <f t="shared" si="11"/>
        <v>0</v>
      </c>
      <c r="BF73" s="86">
        <f t="shared" si="11"/>
        <v>7.25</v>
      </c>
      <c r="BG73" s="51"/>
      <c r="BH73" s="51"/>
      <c r="BI73" s="51"/>
      <c r="BJ73" s="51"/>
      <c r="BK73" s="51"/>
      <c r="BL73" s="51"/>
      <c r="BM73" s="51"/>
      <c r="BN73" s="55"/>
      <c r="BO73" s="55"/>
      <c r="BP73" s="51"/>
      <c r="BQ73" s="51"/>
      <c r="BR73" s="51"/>
      <c r="BS73" s="51"/>
      <c r="BV73" s="51"/>
      <c r="BW73" s="51"/>
      <c r="BX73" s="51"/>
      <c r="BY73" s="51"/>
      <c r="BZ73" s="51"/>
      <c r="CA73" s="51"/>
      <c r="CB73" s="51"/>
      <c r="CC73" s="51"/>
      <c r="CD73" s="51"/>
      <c r="CE73" s="51"/>
    </row>
    <row r="74" spans="1:83" x14ac:dyDescent="0.25">
      <c r="A74" s="13" t="s">
        <v>389</v>
      </c>
      <c r="D74" s="154">
        <f>MAX(L74,M74,N74,O74,P74,Q74,R74,T74,U74,V74)</f>
        <v>2.5362318840579816E-2</v>
      </c>
      <c r="E74" s="155">
        <f>AVERAGE(L74,M74,N74,O74,P74,Q74,R74,T74,U74,V74)</f>
        <v>1.1421621576960144E-2</v>
      </c>
      <c r="F74" s="154"/>
      <c r="G74" s="156"/>
      <c r="L74" s="137">
        <f>L111</f>
        <v>1.4559136266972035E-2</v>
      </c>
      <c r="M74" s="137">
        <f t="shared" ref="M74:V74" si="12">M111</f>
        <v>8.7813620071684941E-3</v>
      </c>
      <c r="N74" s="137">
        <f t="shared" si="12"/>
        <v>7.6974564926372297E-3</v>
      </c>
      <c r="O74" s="137">
        <f t="shared" si="12"/>
        <v>9.1666666666666199E-3</v>
      </c>
      <c r="P74" s="137">
        <f t="shared" si="12"/>
        <v>2.1701388888888888E-2</v>
      </c>
      <c r="Q74" s="137">
        <f t="shared" si="12"/>
        <v>1.3381995133820098E-2</v>
      </c>
      <c r="R74" s="137">
        <f t="shared" si="12"/>
        <v>1.3565891472868272E-2</v>
      </c>
      <c r="S74" s="137">
        <f t="shared" si="12"/>
        <v>1.2500000000000178E-2</v>
      </c>
      <c r="T74" s="137">
        <f t="shared" si="12"/>
        <v>2.5362318840579816E-2</v>
      </c>
      <c r="U74" s="137">
        <f t="shared" si="12"/>
        <v>0</v>
      </c>
      <c r="V74" s="137">
        <f t="shared" si="12"/>
        <v>0</v>
      </c>
      <c r="BG74" s="51"/>
      <c r="BH74" s="51"/>
      <c r="BI74" s="51"/>
      <c r="BJ74" s="51"/>
      <c r="BK74" s="51"/>
      <c r="BL74" s="51"/>
      <c r="BM74" s="51"/>
      <c r="BN74" s="55"/>
      <c r="BO74" s="55"/>
      <c r="BP74" s="51"/>
      <c r="BQ74" s="51"/>
      <c r="BR74" s="51"/>
      <c r="BS74" s="51"/>
      <c r="BV74" s="51"/>
      <c r="BW74" s="51"/>
      <c r="BX74" s="51"/>
      <c r="BY74" s="51"/>
      <c r="BZ74" s="51"/>
      <c r="CA74" s="51"/>
      <c r="CB74" s="51"/>
      <c r="CC74" s="51"/>
      <c r="CD74" s="51"/>
      <c r="CE74" s="51"/>
    </row>
    <row r="75" spans="1:83" x14ac:dyDescent="0.25">
      <c r="A75" s="13" t="s">
        <v>328</v>
      </c>
      <c r="D75" s="157"/>
      <c r="E75" s="158"/>
      <c r="F75" s="157"/>
      <c r="G75" s="156"/>
      <c r="L75" s="55">
        <f>2*STDEV(L106:L109)</f>
        <v>0.16573070526208147</v>
      </c>
      <c r="M75" s="55">
        <f t="shared" ref="M75:V75" si="13">2*STDEV(M106:M109)</f>
        <v>8.0622577482986416E-2</v>
      </c>
      <c r="N75" s="55">
        <f t="shared" si="13"/>
        <v>0.13304134695650124</v>
      </c>
      <c r="O75" s="55">
        <f t="shared" si="13"/>
        <v>1.154700538379227E-2</v>
      </c>
      <c r="P75" s="55">
        <f t="shared" si="13"/>
        <v>1.9148542155126819E-2</v>
      </c>
      <c r="Q75" s="55">
        <f t="shared" si="13"/>
        <v>2.5819888974716251E-2</v>
      </c>
      <c r="R75" s="55">
        <f t="shared" si="13"/>
        <v>1.0000000000000009E-2</v>
      </c>
      <c r="S75" s="51" t="s">
        <v>327</v>
      </c>
      <c r="T75" s="55">
        <f t="shared" si="13"/>
        <v>1.0000000000000009E-2</v>
      </c>
      <c r="U75" s="51">
        <v>0</v>
      </c>
      <c r="V75" s="55">
        <f t="shared" si="13"/>
        <v>1.6329931618554536E-2</v>
      </c>
      <c r="AB75" s="55">
        <f t="shared" ref="AB75" si="14">2*STDEV(AB106:AB109)</f>
        <v>11.195237082497776</v>
      </c>
      <c r="AC75" s="51" t="s">
        <v>253</v>
      </c>
      <c r="AD75" s="51" t="s">
        <v>253</v>
      </c>
      <c r="AE75" s="51" t="s">
        <v>253</v>
      </c>
      <c r="AF75" s="51" t="s">
        <v>253</v>
      </c>
      <c r="AG75" s="51" t="s">
        <v>253</v>
      </c>
      <c r="AH75" s="51" t="s">
        <v>253</v>
      </c>
      <c r="AI75" s="51" t="s">
        <v>253</v>
      </c>
      <c r="AJ75" s="51" t="s">
        <v>253</v>
      </c>
      <c r="AK75" s="51" t="s">
        <v>253</v>
      </c>
      <c r="AL75" s="51" t="s">
        <v>253</v>
      </c>
      <c r="AM75" s="51" t="s">
        <v>253</v>
      </c>
      <c r="AO75" s="55">
        <f t="shared" ref="AO75" si="15">2*STDEV(AO106:AO109)</f>
        <v>7.5498344352707498</v>
      </c>
      <c r="AP75" s="51" t="s">
        <v>253</v>
      </c>
      <c r="AQ75" s="55">
        <f t="shared" ref="AQ75" si="16">2*STDEV(AQ106:AQ109)</f>
        <v>11</v>
      </c>
      <c r="AR75" s="51" t="s">
        <v>253</v>
      </c>
      <c r="AS75" s="51" t="s">
        <v>253</v>
      </c>
      <c r="AT75" s="51" t="s">
        <v>253</v>
      </c>
      <c r="AU75" s="51" t="s">
        <v>253</v>
      </c>
      <c r="AV75" s="51" t="s">
        <v>253</v>
      </c>
      <c r="AW75" s="55">
        <f t="shared" ref="AW75" si="17">2*STDEV(AW106:AW109)</f>
        <v>2.5819888974716112</v>
      </c>
      <c r="AX75" s="51" t="s">
        <v>253</v>
      </c>
      <c r="AY75" s="51" t="s">
        <v>253</v>
      </c>
      <c r="AZ75" s="51" t="s">
        <v>253</v>
      </c>
      <c r="BA75" s="51" t="s">
        <v>253</v>
      </c>
      <c r="BB75" s="51" t="s">
        <v>253</v>
      </c>
      <c r="BC75" s="51" t="s">
        <v>253</v>
      </c>
      <c r="BD75" s="55">
        <f t="shared" ref="BD75" si="18">2*STDEV(BD106:BD109)</f>
        <v>1</v>
      </c>
      <c r="BE75" s="51" t="s">
        <v>253</v>
      </c>
      <c r="BF75" s="55">
        <f t="shared" ref="BF75" si="19">2*STDEV(BF106:BF109)</f>
        <v>7</v>
      </c>
      <c r="BG75" s="51"/>
      <c r="BH75" s="51"/>
      <c r="BI75" s="51"/>
      <c r="BJ75" s="51"/>
      <c r="BK75" s="51"/>
      <c r="BL75" s="51"/>
      <c r="BM75" s="51"/>
      <c r="BN75" s="55"/>
      <c r="BO75" s="55"/>
      <c r="BP75" s="51"/>
      <c r="BQ75" s="51"/>
      <c r="BR75" s="51"/>
      <c r="BS75" s="51"/>
      <c r="BV75" s="51"/>
      <c r="BW75" s="51"/>
      <c r="BX75" s="51"/>
      <c r="BY75" s="51"/>
      <c r="BZ75" s="51"/>
      <c r="CA75" s="51"/>
      <c r="CB75" s="51"/>
      <c r="CC75" s="51"/>
      <c r="CD75" s="51"/>
      <c r="CE75" s="51"/>
    </row>
    <row r="76" spans="1:83" x14ac:dyDescent="0.25">
      <c r="A76" s="13" t="s">
        <v>456</v>
      </c>
      <c r="D76" s="154">
        <f>MAX(L76:V76)</f>
        <v>2.5515518153991463E-2</v>
      </c>
      <c r="E76" s="155">
        <f>AVERAGE(L76,M76,N76,O76,P76,Q76,R76,T76,U76,V76)</f>
        <v>5.6892549600778327E-3</v>
      </c>
      <c r="F76" s="154"/>
      <c r="G76" s="156"/>
      <c r="L76" s="118">
        <f t="shared" ref="L76:V76" si="20">L112</f>
        <v>1.3755868630650852E-3</v>
      </c>
      <c r="M76" s="118">
        <f t="shared" si="20"/>
        <v>2.864543524000228E-3</v>
      </c>
      <c r="N76" s="118">
        <f t="shared" si="20"/>
        <v>8.8370207211226331E-3</v>
      </c>
      <c r="O76" s="118">
        <f t="shared" si="20"/>
        <v>9.7115268156368958E-4</v>
      </c>
      <c r="P76" s="118">
        <f t="shared" si="20"/>
        <v>3.2537879617887543E-3</v>
      </c>
      <c r="Q76" s="118">
        <f t="shared" si="20"/>
        <v>3.1837101078565047E-3</v>
      </c>
      <c r="R76" s="118">
        <f t="shared" si="20"/>
        <v>3.8240917782026798E-3</v>
      </c>
      <c r="S76" s="118">
        <f t="shared" si="20"/>
        <v>8.1244198711131355E-3</v>
      </c>
      <c r="T76" s="118">
        <f t="shared" si="20"/>
        <v>7.0671378091872851E-3</v>
      </c>
      <c r="U76" s="118">
        <f t="shared" si="20"/>
        <v>0</v>
      </c>
      <c r="V76" s="118">
        <f t="shared" si="20"/>
        <v>2.5515518153991463E-2</v>
      </c>
      <c r="W76" s="118"/>
      <c r="X76" s="118"/>
      <c r="Y76" s="118"/>
      <c r="Z76" s="118"/>
      <c r="AA76" s="118"/>
      <c r="AB76" s="118">
        <f>AB112</f>
        <v>1.1960723378736941E-2</v>
      </c>
      <c r="AC76" s="118"/>
      <c r="AD76" s="118"/>
      <c r="AE76" s="118"/>
      <c r="AF76" s="118"/>
      <c r="AG76" s="118"/>
      <c r="AH76" s="118"/>
      <c r="AI76" s="118"/>
      <c r="AJ76" s="118"/>
      <c r="AK76" s="118"/>
      <c r="AL76" s="118"/>
      <c r="AM76" s="118"/>
      <c r="AN76" s="118"/>
      <c r="AO76" s="118">
        <f>AO112</f>
        <v>5.0500564784419728E-2</v>
      </c>
      <c r="AP76" s="118"/>
      <c r="AQ76" s="118">
        <f>AQ112</f>
        <v>1.1671087533156498E-2</v>
      </c>
      <c r="AR76" s="118"/>
      <c r="AS76" s="118"/>
      <c r="AT76" s="118"/>
      <c r="AU76" s="118"/>
      <c r="AV76" s="118"/>
      <c r="AW76" s="118">
        <f>AW112</f>
        <v>4.0918999959930445E-3</v>
      </c>
      <c r="AX76" s="118"/>
      <c r="AY76" s="118"/>
      <c r="AZ76" s="118"/>
      <c r="BA76" s="118"/>
      <c r="BB76" s="118"/>
      <c r="BC76" s="118"/>
      <c r="BD76" s="118">
        <f>BD112</f>
        <v>1.4388489208633094E-2</v>
      </c>
      <c r="BE76" s="118"/>
      <c r="BF76" s="118">
        <f>BF112</f>
        <v>2.9350104821802937E-2</v>
      </c>
      <c r="BG76" s="51"/>
      <c r="BH76" s="51"/>
      <c r="BI76" s="51"/>
      <c r="BJ76" s="51"/>
      <c r="BK76" s="51"/>
      <c r="BL76" s="51"/>
      <c r="BM76" s="51"/>
      <c r="BN76" s="55"/>
      <c r="BO76" s="55"/>
      <c r="BP76" s="51"/>
      <c r="BQ76" s="51"/>
      <c r="BR76" s="51"/>
      <c r="BS76" s="51"/>
      <c r="BV76" s="51"/>
      <c r="BW76" s="51"/>
      <c r="BX76" s="51"/>
      <c r="BY76" s="51"/>
      <c r="BZ76" s="51"/>
      <c r="CA76" s="51"/>
      <c r="CB76" s="51"/>
      <c r="CC76" s="51"/>
      <c r="CD76" s="51"/>
      <c r="CE76" s="51"/>
    </row>
    <row r="77" spans="1:83" s="15" customFormat="1" x14ac:dyDescent="0.25">
      <c r="A77" s="34" t="s">
        <v>329</v>
      </c>
      <c r="D77" s="159"/>
      <c r="E77" s="159"/>
      <c r="F77" s="160"/>
      <c r="G77" s="161"/>
      <c r="H77" s="138"/>
      <c r="I77" s="138"/>
      <c r="J77" s="138"/>
      <c r="K77" s="138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>
        <v>6</v>
      </c>
      <c r="AC77" s="139">
        <v>3.9</v>
      </c>
      <c r="AD77" s="139" t="s">
        <v>253</v>
      </c>
      <c r="AE77" s="139" t="s">
        <v>253</v>
      </c>
      <c r="AF77" s="139" t="s">
        <v>253</v>
      </c>
      <c r="AG77" s="139" t="s">
        <v>253</v>
      </c>
      <c r="AH77" s="139" t="s">
        <v>253</v>
      </c>
      <c r="AI77" s="139" t="s">
        <v>253</v>
      </c>
      <c r="AJ77" s="139" t="s">
        <v>253</v>
      </c>
      <c r="AK77" s="139" t="s">
        <v>253</v>
      </c>
      <c r="AL77" s="139" t="s">
        <v>253</v>
      </c>
      <c r="AM77" s="139">
        <v>3.9</v>
      </c>
      <c r="AN77" s="139" t="s">
        <v>253</v>
      </c>
      <c r="AO77" s="139">
        <v>0.1</v>
      </c>
      <c r="AP77" s="139">
        <v>7.6</v>
      </c>
      <c r="AQ77" s="139">
        <v>1.5</v>
      </c>
      <c r="AR77" s="139" t="s">
        <v>253</v>
      </c>
      <c r="AS77" s="139" t="s">
        <v>253</v>
      </c>
      <c r="AT77" s="139">
        <v>1</v>
      </c>
      <c r="AU77" s="139">
        <v>8.1</v>
      </c>
      <c r="AV77" s="139" t="s">
        <v>253</v>
      </c>
      <c r="AW77" s="139">
        <v>3</v>
      </c>
      <c r="AX77" s="139" t="s">
        <v>253</v>
      </c>
      <c r="AY77" s="139" t="s">
        <v>253</v>
      </c>
      <c r="AZ77" s="139">
        <v>0.3</v>
      </c>
      <c r="BA77" s="139" t="s">
        <v>253</v>
      </c>
      <c r="BB77" s="139">
        <v>0.4</v>
      </c>
      <c r="BC77" s="139" t="s">
        <v>253</v>
      </c>
      <c r="BD77" s="139">
        <v>1</v>
      </c>
      <c r="BE77" s="139" t="s">
        <v>253</v>
      </c>
      <c r="BF77" s="139">
        <v>4</v>
      </c>
      <c r="BG77" s="139"/>
      <c r="BH77" s="139"/>
      <c r="BI77" s="139"/>
      <c r="BJ77" s="139"/>
      <c r="BK77" s="139"/>
      <c r="BL77" s="139"/>
      <c r="BM77" s="139"/>
      <c r="BN77" s="140"/>
      <c r="BO77" s="140"/>
      <c r="BP77" s="139"/>
      <c r="BQ77" s="139"/>
      <c r="BR77" s="139"/>
      <c r="BS77" s="139"/>
      <c r="BV77" s="139"/>
      <c r="BW77" s="139"/>
      <c r="BX77" s="139"/>
      <c r="BY77" s="139"/>
      <c r="BZ77" s="139"/>
      <c r="CA77" s="139"/>
      <c r="CB77" s="139"/>
      <c r="CC77" s="139"/>
      <c r="CD77" s="139"/>
      <c r="CE77" s="139"/>
    </row>
    <row r="78" spans="1:83" s="163" customFormat="1" x14ac:dyDescent="0.25">
      <c r="A78" s="13" t="s">
        <v>388</v>
      </c>
      <c r="D78" s="164"/>
      <c r="E78" s="164"/>
      <c r="F78" s="168">
        <f>MAX(AB78:BF78)</f>
        <v>26.5</v>
      </c>
      <c r="G78" s="170">
        <f>AVERAGE(AB78:BF78)</f>
        <v>2.8983870967741927</v>
      </c>
      <c r="H78" s="165"/>
      <c r="I78" s="165"/>
      <c r="J78" s="165"/>
      <c r="K78" s="165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  <c r="X78" s="166"/>
      <c r="Y78" s="166"/>
      <c r="Z78" s="166"/>
      <c r="AA78" s="166"/>
      <c r="AB78" s="166">
        <f>AB125</f>
        <v>26.5</v>
      </c>
      <c r="AC78" s="166">
        <f t="shared" ref="AC78:BF78" si="21">AC125</f>
        <v>12.850000000000023</v>
      </c>
      <c r="AD78" s="166">
        <f t="shared" si="21"/>
        <v>0</v>
      </c>
      <c r="AE78" s="166">
        <f t="shared" si="21"/>
        <v>0</v>
      </c>
      <c r="AF78" s="166">
        <f t="shared" si="21"/>
        <v>0</v>
      </c>
      <c r="AG78" s="166">
        <f t="shared" si="21"/>
        <v>0</v>
      </c>
      <c r="AH78" s="166">
        <f t="shared" si="21"/>
        <v>0</v>
      </c>
      <c r="AI78" s="166">
        <f t="shared" si="21"/>
        <v>0</v>
      </c>
      <c r="AJ78" s="166">
        <f t="shared" si="21"/>
        <v>0</v>
      </c>
      <c r="AK78" s="166">
        <f t="shared" si="21"/>
        <v>0</v>
      </c>
      <c r="AL78" s="166">
        <f t="shared" si="21"/>
        <v>0</v>
      </c>
      <c r="AM78" s="166">
        <f t="shared" si="21"/>
        <v>6.1999999999999886</v>
      </c>
      <c r="AN78" s="166">
        <f t="shared" si="21"/>
        <v>0</v>
      </c>
      <c r="AO78" s="166">
        <f t="shared" si="21"/>
        <v>0</v>
      </c>
      <c r="AP78" s="166">
        <f t="shared" si="21"/>
        <v>15.449999999999989</v>
      </c>
      <c r="AQ78" s="166">
        <f t="shared" si="21"/>
        <v>0.5</v>
      </c>
      <c r="AR78" s="166">
        <f t="shared" si="21"/>
        <v>0</v>
      </c>
      <c r="AS78" s="166">
        <f t="shared" si="21"/>
        <v>0</v>
      </c>
      <c r="AT78" s="166">
        <f t="shared" si="21"/>
        <v>0</v>
      </c>
      <c r="AU78" s="166">
        <f t="shared" si="21"/>
        <v>4.0499999999999972</v>
      </c>
      <c r="AV78" s="166">
        <f t="shared" si="21"/>
        <v>0</v>
      </c>
      <c r="AW78" s="166">
        <f t="shared" si="21"/>
        <v>8</v>
      </c>
      <c r="AX78" s="166">
        <f t="shared" si="21"/>
        <v>0</v>
      </c>
      <c r="AY78" s="166">
        <f t="shared" si="21"/>
        <v>0</v>
      </c>
      <c r="AZ78" s="166">
        <f t="shared" si="21"/>
        <v>0.15000000000000568</v>
      </c>
      <c r="BA78" s="166">
        <f t="shared" si="21"/>
        <v>0</v>
      </c>
      <c r="BB78" s="166">
        <f t="shared" si="21"/>
        <v>0.45000000000000018</v>
      </c>
      <c r="BC78" s="166">
        <f t="shared" si="21"/>
        <v>0</v>
      </c>
      <c r="BD78" s="166">
        <f t="shared" si="21"/>
        <v>0.54999999999999716</v>
      </c>
      <c r="BE78" s="166">
        <f t="shared" si="21"/>
        <v>0</v>
      </c>
      <c r="BF78" s="166">
        <f t="shared" si="21"/>
        <v>15.149999999999977</v>
      </c>
      <c r="BG78" s="166"/>
      <c r="BH78" s="166"/>
      <c r="BI78" s="166"/>
      <c r="BJ78" s="166"/>
      <c r="BK78" s="166"/>
      <c r="BL78" s="166"/>
      <c r="BM78" s="166"/>
      <c r="BN78" s="167"/>
      <c r="BO78" s="167"/>
      <c r="BP78" s="166"/>
      <c r="BQ78" s="166"/>
      <c r="BR78" s="166"/>
      <c r="BS78" s="166"/>
      <c r="BV78" s="166"/>
      <c r="BW78" s="166"/>
      <c r="BX78" s="166"/>
      <c r="BY78" s="166"/>
      <c r="BZ78" s="166"/>
      <c r="CA78" s="166"/>
      <c r="CB78" s="166"/>
      <c r="CC78" s="166"/>
      <c r="CD78" s="166"/>
      <c r="CE78" s="166"/>
    </row>
    <row r="79" spans="1:83" x14ac:dyDescent="0.25">
      <c r="A79" s="13" t="s">
        <v>389</v>
      </c>
      <c r="D79" s="154"/>
      <c r="E79" s="158"/>
      <c r="F79" s="154">
        <f>MAX(AB79:BF79)</f>
        <v>0.18750000000000008</v>
      </c>
      <c r="G79" s="162">
        <f>AVERAGE(AB79:BF79)</f>
        <v>1.9731419626392334E-2</v>
      </c>
      <c r="AB79" s="137">
        <f>AB126</f>
        <v>1.9776119402985074E-2</v>
      </c>
      <c r="AC79" s="137">
        <f t="shared" ref="AC79:BF79" si="22">AC126</f>
        <v>3.1341463414634202E-2</v>
      </c>
      <c r="AD79" s="137">
        <f t="shared" si="22"/>
        <v>0</v>
      </c>
      <c r="AE79" s="137">
        <f t="shared" si="22"/>
        <v>0</v>
      </c>
      <c r="AF79" s="137">
        <f t="shared" si="22"/>
        <v>0</v>
      </c>
      <c r="AG79" s="137">
        <f t="shared" si="22"/>
        <v>0</v>
      </c>
      <c r="AH79" s="137">
        <f t="shared" si="22"/>
        <v>0</v>
      </c>
      <c r="AI79" s="137">
        <f t="shared" si="22"/>
        <v>0</v>
      </c>
      <c r="AJ79" s="137">
        <f t="shared" si="22"/>
        <v>0</v>
      </c>
      <c r="AK79" s="137">
        <f t="shared" si="22"/>
        <v>0</v>
      </c>
      <c r="AL79" s="137">
        <f t="shared" si="22"/>
        <v>0</v>
      </c>
      <c r="AM79" s="137">
        <f t="shared" si="22"/>
        <v>3.4444444444444382E-2</v>
      </c>
      <c r="AN79" s="137">
        <f t="shared" si="22"/>
        <v>0</v>
      </c>
      <c r="AO79" s="137">
        <f t="shared" si="22"/>
        <v>0</v>
      </c>
      <c r="AP79" s="137">
        <f t="shared" si="22"/>
        <v>7.7249999999999944E-2</v>
      </c>
      <c r="AQ79" s="137">
        <f t="shared" si="22"/>
        <v>2.9411764705882353E-2</v>
      </c>
      <c r="AR79" s="137">
        <f t="shared" si="22"/>
        <v>0</v>
      </c>
      <c r="AS79" s="137">
        <f t="shared" si="22"/>
        <v>0</v>
      </c>
      <c r="AT79" s="137">
        <f t="shared" si="22"/>
        <v>0</v>
      </c>
      <c r="AU79" s="137">
        <f t="shared" si="22"/>
        <v>0.14999999999999988</v>
      </c>
      <c r="AV79" s="137">
        <f t="shared" si="22"/>
        <v>0</v>
      </c>
      <c r="AW79" s="137">
        <f t="shared" si="22"/>
        <v>3.3333333333333333E-2</v>
      </c>
      <c r="AX79" s="137">
        <f t="shared" si="22"/>
        <v>0</v>
      </c>
      <c r="AY79" s="137">
        <f t="shared" si="22"/>
        <v>0</v>
      </c>
      <c r="AZ79" s="137">
        <f t="shared" si="22"/>
        <v>1.4285714285714828E-3</v>
      </c>
      <c r="BA79" s="137">
        <f t="shared" si="22"/>
        <v>0</v>
      </c>
      <c r="BB79" s="137">
        <f t="shared" si="22"/>
        <v>0.18750000000000008</v>
      </c>
      <c r="BC79" s="137">
        <f t="shared" si="22"/>
        <v>0</v>
      </c>
      <c r="BD79" s="137">
        <f t="shared" si="22"/>
        <v>1.9642857142857042E-2</v>
      </c>
      <c r="BE79" s="137">
        <f t="shared" si="22"/>
        <v>0</v>
      </c>
      <c r="BF79" s="137">
        <f t="shared" si="22"/>
        <v>2.7545454545454505E-2</v>
      </c>
      <c r="BG79" s="51"/>
      <c r="BH79" s="51"/>
      <c r="BI79" s="51"/>
      <c r="BJ79" s="51"/>
      <c r="BK79" s="51"/>
      <c r="BL79" s="51"/>
      <c r="BM79" s="51"/>
      <c r="BN79" s="55"/>
      <c r="BO79" s="55"/>
      <c r="BP79" s="51"/>
      <c r="BQ79" s="51"/>
      <c r="BR79" s="51"/>
      <c r="BS79" s="51"/>
      <c r="BV79" s="51"/>
      <c r="BW79" s="51"/>
      <c r="BX79" s="51"/>
      <c r="BY79" s="51"/>
      <c r="BZ79" s="51"/>
      <c r="CA79" s="51"/>
      <c r="CB79" s="51"/>
      <c r="CC79" s="51"/>
      <c r="CD79" s="51"/>
      <c r="CE79" s="51"/>
    </row>
    <row r="80" spans="1:83" x14ac:dyDescent="0.25">
      <c r="A80" s="13" t="s">
        <v>328</v>
      </c>
      <c r="D80" s="157"/>
      <c r="E80" s="158"/>
      <c r="F80" s="158"/>
      <c r="G80" s="156"/>
      <c r="AB80" s="55">
        <f>2*STDEV(AB123:AB124)</f>
        <v>159.80613254815975</v>
      </c>
      <c r="AC80" s="55">
        <f>2*STDEV(AC123:AC124)</f>
        <v>86.974134085945352</v>
      </c>
      <c r="AD80" s="51" t="s">
        <v>253</v>
      </c>
      <c r="AE80" s="51" t="s">
        <v>253</v>
      </c>
      <c r="AF80" s="51" t="s">
        <v>253</v>
      </c>
      <c r="AG80" s="51" t="s">
        <v>253</v>
      </c>
      <c r="AH80" s="51" t="s">
        <v>253</v>
      </c>
      <c r="AI80" s="51" t="s">
        <v>253</v>
      </c>
      <c r="AJ80" s="51" t="s">
        <v>253</v>
      </c>
      <c r="AK80" s="51" t="s">
        <v>253</v>
      </c>
      <c r="AL80" s="51" t="s">
        <v>253</v>
      </c>
      <c r="AM80" s="55">
        <f>2*STDEV(AM123:AM124)</f>
        <v>19.516147160748687</v>
      </c>
      <c r="AN80" s="51" t="s">
        <v>253</v>
      </c>
      <c r="AO80" s="55">
        <f>2*STDEV(AO123:AO124)</f>
        <v>1.9798989873223309</v>
      </c>
      <c r="AP80" s="51" t="s">
        <v>253</v>
      </c>
      <c r="AQ80" s="55">
        <f>2*STDEV(AQ123:AQ124)</f>
        <v>10.465180361560902</v>
      </c>
      <c r="AR80" s="51" t="s">
        <v>253</v>
      </c>
      <c r="AS80" s="51" t="s">
        <v>253</v>
      </c>
      <c r="AT80" s="51" t="s">
        <v>253</v>
      </c>
      <c r="AU80" s="55">
        <f>2*STDEV(AU123:AU124)</f>
        <v>2.4041630560342604</v>
      </c>
      <c r="AV80" s="51" t="s">
        <v>253</v>
      </c>
      <c r="AW80" s="55">
        <f>2*STDEV(AW123:AW124)</f>
        <v>3.1112698372207932</v>
      </c>
      <c r="AX80" s="51" t="s">
        <v>253</v>
      </c>
      <c r="AY80" s="51" t="s">
        <v>253</v>
      </c>
      <c r="AZ80" s="55">
        <f>2*STDEV(AZ123:AZ124)</f>
        <v>10.323759005323589</v>
      </c>
      <c r="BA80" s="51" t="s">
        <v>253</v>
      </c>
      <c r="BB80" s="55">
        <f>2*STDEV(BB123:BB124)</f>
        <v>2.9698484809834986</v>
      </c>
      <c r="BC80" s="51" t="s">
        <v>253</v>
      </c>
      <c r="BD80" s="55">
        <f>2*STDEV(BD123:BD124)</f>
        <v>3.2526911934581193</v>
      </c>
      <c r="BE80" s="51" t="s">
        <v>253</v>
      </c>
      <c r="BF80" s="55">
        <f>2*STDEV(BF123:BF124)</f>
        <v>36.345288552988606</v>
      </c>
      <c r="BG80" s="51"/>
      <c r="BH80" s="51"/>
      <c r="BI80" s="51"/>
      <c r="BJ80" s="51"/>
      <c r="BK80" s="51"/>
      <c r="BL80" s="51"/>
      <c r="BM80" s="51"/>
      <c r="BN80" s="55"/>
      <c r="BO80" s="55"/>
      <c r="BP80" s="51"/>
      <c r="BQ80" s="51"/>
      <c r="BR80" s="51"/>
      <c r="BS80" s="51"/>
      <c r="BV80" s="51"/>
      <c r="BW80" s="51"/>
      <c r="BX80" s="51"/>
      <c r="BY80" s="51"/>
      <c r="BZ80" s="51"/>
      <c r="CA80" s="51"/>
      <c r="CB80" s="51"/>
      <c r="CC80" s="51"/>
      <c r="CD80" s="51"/>
      <c r="CE80" s="51"/>
    </row>
    <row r="81" spans="1:83" x14ac:dyDescent="0.25">
      <c r="A81" s="13" t="s">
        <v>458</v>
      </c>
      <c r="D81" s="157"/>
      <c r="E81" s="158"/>
      <c r="F81" s="154">
        <f>MAX(AB81:BF81)</f>
        <v>0.52102604929535057</v>
      </c>
      <c r="G81" s="162">
        <f>AVERAGE(AB81:BF81)</f>
        <v>4.1448583564033657E-2</v>
      </c>
      <c r="AB81" s="118">
        <f>AB127</f>
        <v>6.0832178358644746E-2</v>
      </c>
      <c r="AC81" s="118">
        <f t="shared" ref="AC81:BF81" si="23">AC127</f>
        <v>0.10284277413497143</v>
      </c>
      <c r="AD81" s="118">
        <f t="shared" si="23"/>
        <v>0</v>
      </c>
      <c r="AE81" s="118">
        <f t="shared" si="23"/>
        <v>0</v>
      </c>
      <c r="AF81" s="118">
        <f t="shared" si="23"/>
        <v>0</v>
      </c>
      <c r="AG81" s="118">
        <f t="shared" si="23"/>
        <v>0</v>
      </c>
      <c r="AH81" s="118">
        <f t="shared" si="23"/>
        <v>0</v>
      </c>
      <c r="AI81" s="118">
        <f t="shared" si="23"/>
        <v>0</v>
      </c>
      <c r="AJ81" s="118">
        <f t="shared" si="23"/>
        <v>0</v>
      </c>
      <c r="AK81" s="118">
        <f t="shared" si="23"/>
        <v>0</v>
      </c>
      <c r="AL81" s="118">
        <f t="shared" si="23"/>
        <v>0</v>
      </c>
      <c r="AM81" s="118">
        <f t="shared" si="23"/>
        <v>5.6145417608598064E-2</v>
      </c>
      <c r="AN81" s="118">
        <f t="shared" si="23"/>
        <v>0</v>
      </c>
      <c r="AO81" s="118">
        <f t="shared" si="23"/>
        <v>3.6664796061524646E-2</v>
      </c>
      <c r="AP81" s="118">
        <f t="shared" si="23"/>
        <v>8.8124930735792306E-3</v>
      </c>
      <c r="AQ81" s="118">
        <f t="shared" si="23"/>
        <v>0.29900515318745435</v>
      </c>
      <c r="AR81" s="118">
        <f t="shared" si="23"/>
        <v>0</v>
      </c>
      <c r="AS81" s="118">
        <f t="shared" si="23"/>
        <v>0</v>
      </c>
      <c r="AT81" s="118">
        <f t="shared" si="23"/>
        <v>0</v>
      </c>
      <c r="AU81" s="118">
        <f t="shared" si="23"/>
        <v>5.237828008789238E-2</v>
      </c>
      <c r="AV81" s="118">
        <f t="shared" si="23"/>
        <v>0</v>
      </c>
      <c r="AW81" s="118">
        <f t="shared" si="23"/>
        <v>6.705322925044813E-3</v>
      </c>
      <c r="AX81" s="118">
        <f t="shared" si="23"/>
        <v>0</v>
      </c>
      <c r="AY81" s="118">
        <f t="shared" si="23"/>
        <v>0</v>
      </c>
      <c r="AZ81" s="118">
        <f t="shared" si="23"/>
        <v>4.9090627700064615E-2</v>
      </c>
      <c r="BA81" s="118">
        <f t="shared" si="23"/>
        <v>0</v>
      </c>
      <c r="BB81" s="118">
        <f t="shared" si="23"/>
        <v>0.52102604929535057</v>
      </c>
      <c r="BC81" s="118">
        <f t="shared" si="23"/>
        <v>0</v>
      </c>
      <c r="BD81" s="118">
        <f t="shared" si="23"/>
        <v>5.9247562722370112E-2</v>
      </c>
      <c r="BE81" s="118">
        <f t="shared" si="23"/>
        <v>0</v>
      </c>
      <c r="BF81" s="118">
        <f t="shared" si="23"/>
        <v>3.2155435329548447E-2</v>
      </c>
      <c r="BG81" s="51"/>
      <c r="BH81" s="51"/>
      <c r="BI81" s="51"/>
      <c r="BJ81" s="51"/>
      <c r="BK81" s="51"/>
      <c r="BL81" s="51"/>
      <c r="BM81" s="51"/>
      <c r="BN81" s="55"/>
      <c r="BO81" s="55"/>
      <c r="BP81" s="51"/>
      <c r="BQ81" s="51"/>
      <c r="BR81" s="51"/>
      <c r="BS81" s="51"/>
      <c r="BV81" s="51"/>
      <c r="BW81" s="51"/>
      <c r="BX81" s="51"/>
      <c r="BY81" s="51"/>
      <c r="BZ81" s="51"/>
      <c r="CA81" s="51"/>
      <c r="CB81" s="51"/>
      <c r="CC81" s="51"/>
      <c r="CD81" s="51"/>
      <c r="CE81" s="51"/>
    </row>
    <row r="82" spans="1:83" s="15" customFormat="1" x14ac:dyDescent="0.25">
      <c r="A82" s="34" t="s">
        <v>330</v>
      </c>
      <c r="D82" s="159"/>
      <c r="E82" s="159"/>
      <c r="F82" s="160"/>
      <c r="G82" s="161"/>
      <c r="H82" s="138"/>
      <c r="I82" s="138"/>
      <c r="J82" s="138"/>
      <c r="K82" s="138"/>
      <c r="L82" s="139">
        <v>0.01</v>
      </c>
      <c r="M82" s="139">
        <v>0.01</v>
      </c>
      <c r="N82" s="139">
        <v>0.01</v>
      </c>
      <c r="O82" s="139">
        <v>0.01</v>
      </c>
      <c r="P82" s="139">
        <v>0.01</v>
      </c>
      <c r="Q82" s="139">
        <v>0.01</v>
      </c>
      <c r="R82" s="139">
        <v>0.01</v>
      </c>
      <c r="S82" s="139">
        <v>2E-3</v>
      </c>
      <c r="T82" s="139">
        <v>0.01</v>
      </c>
      <c r="U82" s="139">
        <v>0.01</v>
      </c>
      <c r="V82" s="139">
        <v>0.01</v>
      </c>
      <c r="W82" s="139">
        <v>0.01</v>
      </c>
      <c r="X82" s="139">
        <v>0.01</v>
      </c>
      <c r="Y82" s="139">
        <v>0.01</v>
      </c>
      <c r="Z82" s="139" t="s">
        <v>327</v>
      </c>
      <c r="AA82" s="139">
        <v>0.01</v>
      </c>
      <c r="AB82" s="139">
        <v>0.5</v>
      </c>
      <c r="AC82" s="139">
        <v>0.1</v>
      </c>
      <c r="AD82" s="139">
        <v>10</v>
      </c>
      <c r="AE82" s="139">
        <v>0.01</v>
      </c>
      <c r="AF82" s="139">
        <v>0.05</v>
      </c>
      <c r="AG82" s="139">
        <v>0.03</v>
      </c>
      <c r="AH82" s="139">
        <v>0.02</v>
      </c>
      <c r="AI82" s="139">
        <v>0.1</v>
      </c>
      <c r="AJ82" s="139">
        <v>0.05</v>
      </c>
      <c r="AK82" s="139">
        <v>0.1</v>
      </c>
      <c r="AL82" s="139">
        <v>0.01</v>
      </c>
      <c r="AM82" s="139">
        <v>0.1</v>
      </c>
      <c r="AN82" s="139">
        <v>0.01</v>
      </c>
      <c r="AO82" s="139">
        <v>0.1</v>
      </c>
      <c r="AP82" s="139">
        <v>0.1</v>
      </c>
      <c r="AQ82" s="139" t="s">
        <v>253</v>
      </c>
      <c r="AR82" s="139">
        <v>0.02</v>
      </c>
      <c r="AS82" s="139">
        <v>0.2</v>
      </c>
      <c r="AT82" s="139" t="s">
        <v>253</v>
      </c>
      <c r="AU82" s="139">
        <v>0.03</v>
      </c>
      <c r="AV82" s="139">
        <v>1</v>
      </c>
      <c r="AW82" s="139">
        <v>0.1</v>
      </c>
      <c r="AX82" s="139">
        <v>0.1</v>
      </c>
      <c r="AY82" s="139">
        <v>0.01</v>
      </c>
      <c r="AZ82" s="139">
        <v>0.05</v>
      </c>
      <c r="BA82" s="139">
        <v>0.01</v>
      </c>
      <c r="BB82" s="139">
        <v>0.05</v>
      </c>
      <c r="BC82" s="139">
        <v>5</v>
      </c>
      <c r="BD82" s="139">
        <v>0.1</v>
      </c>
      <c r="BE82" s="139">
        <v>0.03</v>
      </c>
      <c r="BF82" s="139">
        <v>2</v>
      </c>
      <c r="BG82" s="139"/>
      <c r="BH82" s="139"/>
      <c r="BI82" s="139"/>
      <c r="BJ82" s="139"/>
      <c r="BK82" s="139"/>
      <c r="BL82" s="139"/>
      <c r="BM82" s="139"/>
      <c r="BN82" s="140"/>
      <c r="BO82" s="140"/>
      <c r="BP82" s="139"/>
      <c r="BQ82" s="139"/>
      <c r="BR82" s="139"/>
      <c r="BS82" s="139"/>
      <c r="BV82" s="139"/>
      <c r="BW82" s="139"/>
      <c r="BX82" s="139"/>
      <c r="BY82" s="139"/>
      <c r="BZ82" s="139"/>
      <c r="CA82" s="139"/>
      <c r="CB82" s="139"/>
      <c r="CC82" s="139"/>
      <c r="CD82" s="139"/>
      <c r="CE82" s="139"/>
    </row>
    <row r="83" spans="1:83" s="163" customFormat="1" x14ac:dyDescent="0.25">
      <c r="A83" s="13" t="s">
        <v>388</v>
      </c>
      <c r="D83" s="168">
        <f>MAX(L83,M83,N83,O83,P83,Q83,R83,T83,U83,V83)</f>
        <v>0.60000000000000853</v>
      </c>
      <c r="E83" s="169">
        <f>AVERAGE(L83,M83,N83,O83,P83,Q83,R83,T83,U83,V83)</f>
        <v>9.7500000000000725E-2</v>
      </c>
      <c r="F83" s="168">
        <f>MAX(AB83:BF83)</f>
        <v>70</v>
      </c>
      <c r="G83" s="170">
        <f>AVERAGE(AB83:BF83)</f>
        <v>3.7375806451612905</v>
      </c>
      <c r="H83" s="165"/>
      <c r="I83" s="165"/>
      <c r="J83" s="165"/>
      <c r="K83" s="165"/>
      <c r="L83" s="167">
        <f>L171</f>
        <v>0.60000000000000853</v>
      </c>
      <c r="M83" s="167">
        <f t="shared" ref="M83:X83" si="24">M171</f>
        <v>9.9999999999999645E-2</v>
      </c>
      <c r="N83" s="167">
        <f t="shared" si="24"/>
        <v>0.12999999999999901</v>
      </c>
      <c r="O83" s="167">
        <f t="shared" si="24"/>
        <v>2.4999999999999911E-2</v>
      </c>
      <c r="P83" s="167">
        <f t="shared" si="24"/>
        <v>4.9999999999998934E-3</v>
      </c>
      <c r="Q83" s="167">
        <f t="shared" si="24"/>
        <v>2.4999999999999994E-2</v>
      </c>
      <c r="R83" s="167">
        <f t="shared" si="24"/>
        <v>7.5000000000000178E-2</v>
      </c>
      <c r="S83" s="167">
        <f t="shared" si="24"/>
        <v>5.0000000000000044E-4</v>
      </c>
      <c r="T83" s="167">
        <f t="shared" si="24"/>
        <v>4.9999999999999489E-3</v>
      </c>
      <c r="U83" s="167">
        <f t="shared" si="24"/>
        <v>1.0000000000000009E-2</v>
      </c>
      <c r="V83" s="167">
        <f t="shared" si="24"/>
        <v>0</v>
      </c>
      <c r="W83" s="167" t="e">
        <f t="shared" si="24"/>
        <v>#DIV/0!</v>
      </c>
      <c r="X83" s="167">
        <f t="shared" si="24"/>
        <v>0</v>
      </c>
      <c r="Y83" s="166"/>
      <c r="Z83" s="166"/>
      <c r="AA83" s="166"/>
      <c r="AB83" s="166">
        <f>AB163</f>
        <v>18.5</v>
      </c>
      <c r="AC83" s="166">
        <f t="shared" ref="AC83:BF83" si="25">AC163</f>
        <v>2.25</v>
      </c>
      <c r="AD83" s="166">
        <f t="shared" si="25"/>
        <v>0</v>
      </c>
      <c r="AE83" s="166">
        <f t="shared" si="25"/>
        <v>2.0000000000000018E-2</v>
      </c>
      <c r="AF83" s="166">
        <f t="shared" si="25"/>
        <v>1.5500000000000007</v>
      </c>
      <c r="AG83" s="166">
        <f t="shared" si="25"/>
        <v>0.92500000000000071</v>
      </c>
      <c r="AH83" s="166">
        <f t="shared" si="25"/>
        <v>3.0000000000000249E-2</v>
      </c>
      <c r="AI83" s="166">
        <f t="shared" si="25"/>
        <v>0</v>
      </c>
      <c r="AJ83" s="166">
        <f t="shared" si="25"/>
        <v>0.47500000000000142</v>
      </c>
      <c r="AK83" s="166">
        <f t="shared" si="25"/>
        <v>0.79999999999999893</v>
      </c>
      <c r="AL83" s="166">
        <f t="shared" si="25"/>
        <v>9.4999999999999751E-2</v>
      </c>
      <c r="AM83" s="166">
        <f t="shared" si="25"/>
        <v>2.4000000000000057</v>
      </c>
      <c r="AN83" s="166">
        <f t="shared" si="25"/>
        <v>7.5000000000000178E-2</v>
      </c>
      <c r="AO83" s="166">
        <f t="shared" si="25"/>
        <v>0.35000000000000142</v>
      </c>
      <c r="AP83" s="166">
        <f t="shared" si="25"/>
        <v>4.2999999999999972</v>
      </c>
      <c r="AQ83" s="166">
        <f t="shared" si="25"/>
        <v>0.375</v>
      </c>
      <c r="AR83" s="166">
        <f t="shared" si="25"/>
        <v>1.3499999999999943</v>
      </c>
      <c r="AS83" s="166">
        <f t="shared" si="25"/>
        <v>0.82499999999999929</v>
      </c>
      <c r="AT83" s="166">
        <f t="shared" si="25"/>
        <v>0</v>
      </c>
      <c r="AU83" s="166">
        <f t="shared" si="25"/>
        <v>1</v>
      </c>
      <c r="AV83" s="166">
        <f t="shared" si="25"/>
        <v>70</v>
      </c>
      <c r="AW83" s="166">
        <f t="shared" si="25"/>
        <v>0.20000000000000007</v>
      </c>
      <c r="AX83" s="166">
        <f t="shared" si="25"/>
        <v>2.0000000000000018E-2</v>
      </c>
      <c r="AY83" s="166">
        <f t="shared" si="25"/>
        <v>0.16999999999999993</v>
      </c>
      <c r="AZ83" s="166">
        <f t="shared" si="25"/>
        <v>4.9999999999998934E-3</v>
      </c>
      <c r="BA83" s="166">
        <f t="shared" si="25"/>
        <v>0</v>
      </c>
      <c r="BB83" s="166">
        <f t="shared" si="25"/>
        <v>1</v>
      </c>
      <c r="BC83" s="166">
        <f t="shared" si="25"/>
        <v>0</v>
      </c>
      <c r="BD83" s="166">
        <f t="shared" si="25"/>
        <v>7</v>
      </c>
      <c r="BE83" s="166">
        <f t="shared" si="25"/>
        <v>1.1499999999999986</v>
      </c>
      <c r="BF83" s="166">
        <f t="shared" si="25"/>
        <v>1</v>
      </c>
      <c r="BG83" s="166"/>
      <c r="BH83" s="166"/>
      <c r="BI83" s="166"/>
      <c r="BJ83" s="166"/>
      <c r="BK83" s="166"/>
      <c r="BL83" s="166"/>
      <c r="BM83" s="166"/>
      <c r="BN83" s="167"/>
      <c r="BO83" s="167"/>
      <c r="BP83" s="166"/>
      <c r="BQ83" s="166"/>
      <c r="BR83" s="166"/>
      <c r="BS83" s="166"/>
      <c r="BV83" s="166"/>
      <c r="BW83" s="166"/>
      <c r="BX83" s="166"/>
      <c r="BY83" s="166"/>
      <c r="BZ83" s="166"/>
      <c r="CA83" s="166"/>
      <c r="CB83" s="166"/>
      <c r="CC83" s="166"/>
      <c r="CD83" s="166"/>
      <c r="CE83" s="166"/>
    </row>
    <row r="84" spans="1:83" x14ac:dyDescent="0.25">
      <c r="A84" s="13" t="s">
        <v>462</v>
      </c>
      <c r="D84" s="154">
        <f>MAX(L84,M84,N84,O84,P84,Q84,R84,T84,U84,V84)</f>
        <v>0.14285714285714296</v>
      </c>
      <c r="E84" s="155">
        <f>AVERAGE(L84,M84,N84,O84,P84,Q84,R84,T84,U84,V84)</f>
        <v>3.6407361328758062E-2</v>
      </c>
      <c r="F84" s="154">
        <f>MAX(AB84:BF84)</f>
        <v>0.22222222222222229</v>
      </c>
      <c r="G84" s="162">
        <f>AVERAGE(AB84:BF84)</f>
        <v>4.7884595635630363E-2</v>
      </c>
      <c r="L84" s="137">
        <f>L172</f>
        <v>9.1185410334347801E-3</v>
      </c>
      <c r="M84" s="137">
        <f t="shared" ref="M84:X84" si="26">M172</f>
        <v>8.0645161290322284E-3</v>
      </c>
      <c r="N84" s="137">
        <f t="shared" si="26"/>
        <v>1.5931372549019485E-2</v>
      </c>
      <c r="O84" s="137">
        <f t="shared" si="26"/>
        <v>1.2626262626262581E-2</v>
      </c>
      <c r="P84" s="137">
        <f t="shared" si="26"/>
        <v>2.2222222222221749E-3</v>
      </c>
      <c r="Q84" s="137">
        <f t="shared" si="26"/>
        <v>0.13888888888888887</v>
      </c>
      <c r="R84" s="137">
        <f t="shared" si="26"/>
        <v>1.7123287671232917E-2</v>
      </c>
      <c r="S84" s="137">
        <f t="shared" si="26"/>
        <v>0.12500000000000011</v>
      </c>
      <c r="T84" s="137">
        <f t="shared" si="26"/>
        <v>1.7241379310344654E-2</v>
      </c>
      <c r="U84" s="137">
        <f t="shared" si="26"/>
        <v>0.14285714285714296</v>
      </c>
      <c r="V84" s="137">
        <f t="shared" si="26"/>
        <v>0</v>
      </c>
      <c r="W84" s="137" t="e">
        <f t="shared" si="26"/>
        <v>#DIV/0!</v>
      </c>
      <c r="X84" s="137">
        <f t="shared" si="26"/>
        <v>0</v>
      </c>
      <c r="AB84" s="137">
        <f>AB164</f>
        <v>5.4411764705882354E-2</v>
      </c>
      <c r="AC84" s="137">
        <f t="shared" ref="AC84:BF84" si="27">AC164</f>
        <v>1.8442622950819672E-2</v>
      </c>
      <c r="AD84" s="137">
        <f t="shared" si="27"/>
        <v>0</v>
      </c>
      <c r="AE84" s="137">
        <f t="shared" si="27"/>
        <v>1.3333333333333345E-2</v>
      </c>
      <c r="AF84" s="137">
        <f t="shared" si="27"/>
        <v>8.5164835164835209E-2</v>
      </c>
      <c r="AG84" s="137">
        <f t="shared" si="27"/>
        <v>6.5140845070422587E-2</v>
      </c>
      <c r="AH84" s="137">
        <f t="shared" si="27"/>
        <v>1.5000000000000124E-2</v>
      </c>
      <c r="AI84" s="137">
        <f t="shared" si="27"/>
        <v>0</v>
      </c>
      <c r="AJ84" s="137">
        <f t="shared" si="27"/>
        <v>3.392857142857153E-2</v>
      </c>
      <c r="AK84" s="137">
        <f t="shared" si="27"/>
        <v>7.2072072072071974E-2</v>
      </c>
      <c r="AL84" s="137">
        <f t="shared" si="27"/>
        <v>2.2093023255813898E-2</v>
      </c>
      <c r="AM84" s="137">
        <f t="shared" si="27"/>
        <v>4.1379310344827683E-2</v>
      </c>
      <c r="AN84" s="137">
        <f t="shared" si="27"/>
        <v>3.5714285714285796E-2</v>
      </c>
      <c r="AO84" s="137">
        <f t="shared" si="27"/>
        <v>2.6923076923077032E-2</v>
      </c>
      <c r="AP84" s="137">
        <f t="shared" si="27"/>
        <v>7.5438596491228027E-2</v>
      </c>
      <c r="AQ84" s="137">
        <f t="shared" si="27"/>
        <v>2.5000000000000001E-2</v>
      </c>
      <c r="AR84" s="137">
        <f t="shared" si="27"/>
        <v>2.4545454545454443E-2</v>
      </c>
      <c r="AS84" s="137">
        <f t="shared" si="27"/>
        <v>6.4960629921259797E-2</v>
      </c>
      <c r="AT84" s="137">
        <f t="shared" si="27"/>
        <v>0</v>
      </c>
      <c r="AU84" s="137">
        <f t="shared" si="27"/>
        <v>0.125</v>
      </c>
      <c r="AV84" s="137">
        <f t="shared" si="27"/>
        <v>5.8823529411764705E-2</v>
      </c>
      <c r="AW84" s="137">
        <f t="shared" si="27"/>
        <v>0.22222222222222229</v>
      </c>
      <c r="AX84" s="137">
        <f t="shared" si="27"/>
        <v>7.6923076923076988E-3</v>
      </c>
      <c r="AY84" s="137">
        <f t="shared" si="27"/>
        <v>0.13178294573643404</v>
      </c>
      <c r="AZ84" s="137">
        <f t="shared" si="27"/>
        <v>2.1739130434782145E-3</v>
      </c>
      <c r="BA84" s="137">
        <f t="shared" si="27"/>
        <v>0</v>
      </c>
      <c r="BB84" s="137">
        <f t="shared" si="27"/>
        <v>0.125</v>
      </c>
      <c r="BC84" s="137">
        <f t="shared" si="27"/>
        <v>0</v>
      </c>
      <c r="BD84" s="137">
        <f t="shared" si="27"/>
        <v>5.8823529411764705E-2</v>
      </c>
      <c r="BE84" s="137">
        <f t="shared" si="27"/>
        <v>7.7702702702702603E-2</v>
      </c>
      <c r="BF84" s="137">
        <f t="shared" si="27"/>
        <v>1.652892561983471E-3</v>
      </c>
      <c r="BG84" s="51"/>
      <c r="BH84" s="51"/>
      <c r="BI84" s="51"/>
      <c r="BJ84" s="51"/>
      <c r="BK84" s="51"/>
      <c r="BL84" s="51"/>
      <c r="BM84" s="51"/>
      <c r="BN84" s="55"/>
      <c r="BO84" s="55"/>
      <c r="BP84" s="51"/>
      <c r="BQ84" s="51"/>
      <c r="BR84" s="51"/>
      <c r="BS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</row>
    <row r="85" spans="1:83" x14ac:dyDescent="0.25">
      <c r="A85" s="13" t="s">
        <v>328</v>
      </c>
      <c r="B85" s="13"/>
      <c r="C85" s="13"/>
      <c r="D85" s="151"/>
      <c r="E85" s="158"/>
      <c r="F85" s="152"/>
      <c r="G85" s="153"/>
      <c r="H85" s="84"/>
      <c r="I85" s="84"/>
      <c r="J85" s="84"/>
      <c r="K85" s="84"/>
      <c r="L85" s="117">
        <f>L170</f>
        <v>0.28284271247462306</v>
      </c>
      <c r="M85" s="117">
        <f t="shared" ref="M85:X85" si="28">M170</f>
        <v>0</v>
      </c>
      <c r="N85" s="117">
        <f t="shared" si="28"/>
        <v>5.6568542494925107E-2</v>
      </c>
      <c r="O85" s="117">
        <f t="shared" si="28"/>
        <v>1.4142135623730963E-2</v>
      </c>
      <c r="P85" s="117">
        <f t="shared" si="28"/>
        <v>7.0710678118654502E-2</v>
      </c>
      <c r="Q85" s="117">
        <f t="shared" si="28"/>
        <v>1.4142135623730963E-2</v>
      </c>
      <c r="R85" s="117">
        <f t="shared" si="28"/>
        <v>4.2426406871193201E-2</v>
      </c>
      <c r="S85" s="117">
        <f t="shared" si="28"/>
        <v>1.4142135623730952E-3</v>
      </c>
      <c r="T85" s="117">
        <f t="shared" si="28"/>
        <v>1.4142135623730885E-2</v>
      </c>
      <c r="U85" s="117">
        <f t="shared" si="28"/>
        <v>0</v>
      </c>
      <c r="V85" s="117">
        <f t="shared" si="28"/>
        <v>0</v>
      </c>
      <c r="W85" s="117" t="e">
        <f t="shared" si="28"/>
        <v>#DIV/0!</v>
      </c>
      <c r="X85" s="117">
        <f t="shared" si="28"/>
        <v>0</v>
      </c>
      <c r="Y85" s="19"/>
      <c r="Z85" s="19"/>
      <c r="AB85" s="117">
        <f>AB162</f>
        <v>21.213203435596427</v>
      </c>
      <c r="AC85" s="117">
        <f t="shared" ref="AC85:BF85" si="29">AC162</f>
        <v>6.3639610306789276</v>
      </c>
      <c r="AD85" s="117">
        <f t="shared" si="29"/>
        <v>0</v>
      </c>
      <c r="AE85" s="117">
        <f t="shared" si="29"/>
        <v>0.14142135623730964</v>
      </c>
      <c r="AF85" s="117">
        <f t="shared" si="29"/>
        <v>0.70710678118654757</v>
      </c>
      <c r="AG85" s="117">
        <f t="shared" si="29"/>
        <v>0.35355339059327379</v>
      </c>
      <c r="AH85" s="117">
        <f t="shared" si="29"/>
        <v>0.16970562748477125</v>
      </c>
      <c r="AI85" s="117">
        <f t="shared" si="29"/>
        <v>1.131370849898472</v>
      </c>
      <c r="AJ85" s="117">
        <f t="shared" si="29"/>
        <v>0.49497474683058273</v>
      </c>
      <c r="AK85" s="117">
        <f t="shared" si="29"/>
        <v>0.84852813742385647</v>
      </c>
      <c r="AL85" s="117">
        <f t="shared" si="29"/>
        <v>1.4142135623730649E-2</v>
      </c>
      <c r="AM85" s="117">
        <f t="shared" si="29"/>
        <v>0.84852813742385902</v>
      </c>
      <c r="AN85" s="117">
        <f t="shared" si="29"/>
        <v>4.2426406871193201E-2</v>
      </c>
      <c r="AO85" s="117">
        <f t="shared" si="29"/>
        <v>0.141421356237309</v>
      </c>
      <c r="AP85" s="117">
        <f t="shared" si="29"/>
        <v>4.2426406871192848</v>
      </c>
      <c r="AQ85" s="117">
        <f t="shared" si="29"/>
        <v>0.7778174593052033</v>
      </c>
      <c r="AR85" s="117">
        <f t="shared" si="29"/>
        <v>8.3438600180012585</v>
      </c>
      <c r="AS85" s="117">
        <f t="shared" si="29"/>
        <v>0.21213203435596475</v>
      </c>
      <c r="AT85" s="117">
        <f t="shared" si="29"/>
        <v>0</v>
      </c>
      <c r="AU85" s="117">
        <f t="shared" si="29"/>
        <v>0</v>
      </c>
      <c r="AV85" s="117">
        <f t="shared" si="29"/>
        <v>113.13708498984761</v>
      </c>
      <c r="AW85" s="117">
        <f t="shared" si="29"/>
        <v>0</v>
      </c>
      <c r="AX85" s="117">
        <f t="shared" si="29"/>
        <v>0.1131370849898477</v>
      </c>
      <c r="AY85" s="117">
        <f t="shared" si="29"/>
        <v>2.8284271247461613E-2</v>
      </c>
      <c r="AZ85" s="117">
        <f t="shared" si="29"/>
        <v>4.2426406871192576E-2</v>
      </c>
      <c r="BA85" s="117">
        <f t="shared" si="29"/>
        <v>0.14142135623730948</v>
      </c>
      <c r="BB85" s="117">
        <f t="shared" si="29"/>
        <v>0</v>
      </c>
      <c r="BC85" s="117">
        <f t="shared" si="29"/>
        <v>0</v>
      </c>
      <c r="BD85" s="117">
        <f t="shared" si="29"/>
        <v>1.4142135623730951</v>
      </c>
      <c r="BE85" s="117">
        <f t="shared" si="29"/>
        <v>0.28284271247462051</v>
      </c>
      <c r="BF85" s="117">
        <f t="shared" si="29"/>
        <v>28.284271247461902</v>
      </c>
      <c r="BG85" s="19"/>
      <c r="BH85" s="19"/>
      <c r="BI85" s="19"/>
      <c r="BJ85" s="19"/>
      <c r="BK85" s="19"/>
      <c r="BL85" s="85"/>
      <c r="BM85" s="85"/>
      <c r="BN85" s="19"/>
      <c r="BO85" s="19"/>
      <c r="BP85" s="19"/>
      <c r="BQ85" s="19"/>
      <c r="BR85" s="19"/>
      <c r="BT85" s="13"/>
      <c r="BU85" s="19"/>
      <c r="BV85" s="19"/>
      <c r="BW85" s="19"/>
      <c r="BX85" s="19"/>
      <c r="BY85" s="19"/>
      <c r="BZ85" s="19"/>
      <c r="CA85" s="19"/>
      <c r="CB85" s="19"/>
      <c r="CC85" s="19"/>
      <c r="CD85" s="19"/>
    </row>
    <row r="86" spans="1:83" x14ac:dyDescent="0.25">
      <c r="A86" s="13" t="s">
        <v>457</v>
      </c>
      <c r="B86" s="13"/>
      <c r="C86" s="13"/>
      <c r="D86" s="154">
        <f>MAX(L86,M86,N86,O86,P86,Q86,R86,T86,U86,V86)</f>
        <v>4.5619792334616008E-2</v>
      </c>
      <c r="E86" s="155">
        <f>AVERAGE(L86,M86,N86,O86,P86,Q86,R86,T86,U86,V86)</f>
        <v>1.0041488949921934E-2</v>
      </c>
      <c r="F86" s="154">
        <f>MAX(AB86:BF86)</f>
        <v>8.8388347648318419E-2</v>
      </c>
      <c r="G86" s="162">
        <f>AVERAGE(AB86:BF86)</f>
        <v>2.0280242067363365E-2</v>
      </c>
      <c r="H86" s="84"/>
      <c r="I86" s="84"/>
      <c r="J86" s="84"/>
      <c r="K86" s="84"/>
      <c r="L86" s="118">
        <f>L173</f>
        <v>2.1690392060937356E-3</v>
      </c>
      <c r="M86" s="118">
        <f t="shared" ref="M86:X86" si="30">M173</f>
        <v>0</v>
      </c>
      <c r="N86" s="118">
        <f t="shared" si="30"/>
        <v>3.5223251864835055E-3</v>
      </c>
      <c r="O86" s="118">
        <f t="shared" si="30"/>
        <v>3.6169144817726246E-3</v>
      </c>
      <c r="P86" s="118">
        <f t="shared" si="30"/>
        <v>1.574848065003441E-2</v>
      </c>
      <c r="Q86" s="118">
        <f t="shared" si="30"/>
        <v>4.5619792334616008E-2</v>
      </c>
      <c r="R86" s="118">
        <f t="shared" si="30"/>
        <v>4.9275733880596055E-3</v>
      </c>
      <c r="S86" s="118">
        <f t="shared" si="30"/>
        <v>0.15713484026367724</v>
      </c>
      <c r="T86" s="118">
        <f t="shared" si="30"/>
        <v>2.4810764252159445E-2</v>
      </c>
      <c r="U86" s="118">
        <f t="shared" si="30"/>
        <v>0</v>
      </c>
      <c r="V86" s="118">
        <f t="shared" si="30"/>
        <v>0</v>
      </c>
      <c r="W86" s="118" t="e">
        <f t="shared" si="30"/>
        <v>#DIV/0!</v>
      </c>
      <c r="X86" s="118">
        <f t="shared" si="30"/>
        <v>0</v>
      </c>
      <c r="Y86" s="19"/>
      <c r="Z86" s="19"/>
      <c r="AB86" s="118">
        <f>AB165</f>
        <v>2.9586057790232115E-2</v>
      </c>
      <c r="AC86" s="118">
        <f t="shared" ref="AC86:BF86" si="31">AC165</f>
        <v>2.6571862341039365E-2</v>
      </c>
      <c r="AD86" s="118">
        <f t="shared" si="31"/>
        <v>0</v>
      </c>
      <c r="AE86" s="118">
        <f t="shared" si="31"/>
        <v>4.7777485215307315E-2</v>
      </c>
      <c r="AF86" s="118">
        <f t="shared" si="31"/>
        <v>1.790143749839361E-2</v>
      </c>
      <c r="AG86" s="118">
        <f t="shared" si="31"/>
        <v>1.1687715391513183E-2</v>
      </c>
      <c r="AH86" s="118">
        <f t="shared" si="31"/>
        <v>4.3072494285474938E-2</v>
      </c>
      <c r="AI86" s="118">
        <f t="shared" si="31"/>
        <v>1.5330228318407481E-2</v>
      </c>
      <c r="AJ86" s="118">
        <f t="shared" si="31"/>
        <v>1.7097573292938952E-2</v>
      </c>
      <c r="AK86" s="118">
        <f t="shared" si="31"/>
        <v>3.5652442748901537E-2</v>
      </c>
      <c r="AL86" s="118">
        <f t="shared" si="31"/>
        <v>1.6815856865315872E-3</v>
      </c>
      <c r="AM86" s="118">
        <f t="shared" si="31"/>
        <v>7.6306487178404592E-3</v>
      </c>
      <c r="AN86" s="118">
        <f t="shared" si="31"/>
        <v>1.0475656017578569E-2</v>
      </c>
      <c r="AO86" s="118">
        <f t="shared" si="31"/>
        <v>5.5897769263758505E-3</v>
      </c>
      <c r="AP86" s="118">
        <f t="shared" si="31"/>
        <v>3.4605552097220924E-2</v>
      </c>
      <c r="AQ86" s="118">
        <f t="shared" si="31"/>
        <v>2.6592049890776182E-2</v>
      </c>
      <c r="AR86" s="118">
        <f t="shared" si="31"/>
        <v>7.4036025004447725E-2</v>
      </c>
      <c r="AS86" s="118">
        <f t="shared" si="31"/>
        <v>7.8422193846937067E-3</v>
      </c>
      <c r="AT86" s="118">
        <f t="shared" si="31"/>
        <v>0</v>
      </c>
      <c r="AU86" s="118">
        <f t="shared" si="31"/>
        <v>0</v>
      </c>
      <c r="AV86" s="118">
        <f t="shared" si="31"/>
        <v>4.4895668646764926E-2</v>
      </c>
      <c r="AW86" s="118">
        <f t="shared" si="31"/>
        <v>0</v>
      </c>
      <c r="AX86" s="118">
        <f t="shared" si="31"/>
        <v>2.1925791664699167E-2</v>
      </c>
      <c r="AY86" s="118">
        <f t="shared" si="31"/>
        <v>1.2626906806902505E-2</v>
      </c>
      <c r="AZ86" s="118">
        <f t="shared" si="31"/>
        <v>9.2031251347489337E-3</v>
      </c>
      <c r="BA86" s="118">
        <f t="shared" si="31"/>
        <v>8.8388347648318419E-2</v>
      </c>
      <c r="BB86" s="118">
        <f t="shared" si="31"/>
        <v>0</v>
      </c>
      <c r="BC86" s="118">
        <f t="shared" si="31"/>
        <v>0</v>
      </c>
      <c r="BD86" s="118">
        <f t="shared" si="31"/>
        <v>6.3134534034513176E-3</v>
      </c>
      <c r="BE86" s="118">
        <f t="shared" si="31"/>
        <v>8.8665427108031505E-3</v>
      </c>
      <c r="BF86" s="118">
        <f t="shared" si="31"/>
        <v>2.333685746490256E-2</v>
      </c>
      <c r="BG86" s="19"/>
      <c r="BH86" s="19"/>
      <c r="BI86" s="19"/>
      <c r="BJ86" s="19"/>
      <c r="BK86" s="85"/>
      <c r="BL86" s="19"/>
      <c r="BM86" s="19"/>
      <c r="BN86" s="19"/>
      <c r="BO86" s="19"/>
      <c r="BP86" s="19"/>
      <c r="BQ86" s="19"/>
      <c r="BS86" s="13"/>
      <c r="BT86" s="19"/>
      <c r="BU86" s="19"/>
      <c r="BV86" s="19"/>
      <c r="BW86" s="19"/>
      <c r="BX86" s="19"/>
      <c r="BY86" s="19"/>
      <c r="BZ86" s="19"/>
      <c r="CA86" s="19"/>
      <c r="CB86" s="19"/>
      <c r="CC86" s="19"/>
    </row>
    <row r="87" spans="1:83" ht="15.75" thickBot="1" x14ac:dyDescent="0.3">
      <c r="Z87" s="55"/>
      <c r="AA87" s="55"/>
      <c r="BG87" s="64"/>
      <c r="BH87" s="64"/>
      <c r="BI87" s="64"/>
      <c r="BJ87" s="64"/>
      <c r="BK87" s="64"/>
      <c r="BL87" s="64"/>
      <c r="BM87" s="64"/>
      <c r="BP87" s="64"/>
      <c r="BQ87" s="64"/>
      <c r="BR87" s="64"/>
      <c r="BS87" s="64"/>
    </row>
    <row r="88" spans="1:83" s="171" customFormat="1" x14ac:dyDescent="0.25">
      <c r="A88" s="171" t="s">
        <v>76</v>
      </c>
      <c r="E88" s="143"/>
      <c r="G88" s="144"/>
      <c r="H88" s="145"/>
      <c r="I88" s="145"/>
      <c r="J88" s="145"/>
      <c r="K88" s="145"/>
      <c r="L88" s="172">
        <f t="shared" ref="L88:R88" si="32">AVERAGE(L26:L39)</f>
        <v>92.64</v>
      </c>
      <c r="M88" s="172">
        <f t="shared" si="32"/>
        <v>2.645</v>
      </c>
      <c r="N88" s="172">
        <f t="shared" si="32"/>
        <v>0.92142857142857137</v>
      </c>
      <c r="O88" s="172">
        <f t="shared" si="32"/>
        <v>0.43857142857142861</v>
      </c>
      <c r="P88" s="172">
        <f t="shared" si="32"/>
        <v>0.30769230769230765</v>
      </c>
      <c r="Q88" s="172">
        <f t="shared" si="32"/>
        <v>0.63928571428571423</v>
      </c>
      <c r="R88" s="172">
        <f t="shared" si="32"/>
        <v>1.8771428571428572</v>
      </c>
      <c r="S88" s="172" t="s">
        <v>327</v>
      </c>
      <c r="T88" s="172">
        <f t="shared" ref="T88:BN88" si="33">AVERAGE(T26:T39)</f>
        <v>9.4285714285714306E-2</v>
      </c>
      <c r="U88" s="172">
        <f t="shared" si="33"/>
        <v>9.3846153846153843E-2</v>
      </c>
      <c r="V88" s="172">
        <f t="shared" si="33"/>
        <v>3.5714285714285712E-2</v>
      </c>
      <c r="W88" s="172">
        <f t="shared" si="33"/>
        <v>3.5000000000000003E-2</v>
      </c>
      <c r="X88" s="172">
        <f t="shared" si="33"/>
        <v>3.5000000000000003E-2</v>
      </c>
      <c r="Y88" s="172">
        <f t="shared" si="33"/>
        <v>0.31285714285714283</v>
      </c>
      <c r="Z88" s="172">
        <f t="shared" si="33"/>
        <v>0.42490807971862538</v>
      </c>
      <c r="AA88" s="172">
        <f t="shared" si="33"/>
        <v>100.06949594726993</v>
      </c>
      <c r="AB88" s="172">
        <f t="shared" si="33"/>
        <v>271.12857142857143</v>
      </c>
      <c r="AC88" s="172">
        <f t="shared" si="33"/>
        <v>83.928571428571445</v>
      </c>
      <c r="AD88" s="172">
        <f t="shared" si="33"/>
        <v>10</v>
      </c>
      <c r="AE88" s="172">
        <f t="shared" si="33"/>
        <v>0.12416666666666666</v>
      </c>
      <c r="AF88" s="172">
        <f t="shared" si="33"/>
        <v>4.3869230769230763</v>
      </c>
      <c r="AG88" s="172">
        <f t="shared" si="33"/>
        <v>2.3099999999999996</v>
      </c>
      <c r="AH88" s="172">
        <f t="shared" si="33"/>
        <v>1.1369230769230769</v>
      </c>
      <c r="AI88" s="172">
        <f t="shared" si="33"/>
        <v>3.4153846153846148</v>
      </c>
      <c r="AJ88" s="172">
        <f t="shared" si="33"/>
        <v>5.5269230769230768</v>
      </c>
      <c r="AK88" s="172">
        <f t="shared" si="33"/>
        <v>2.9230769230769225</v>
      </c>
      <c r="AL88" s="172">
        <f t="shared" si="33"/>
        <v>0.76615384615384619</v>
      </c>
      <c r="AM88" s="172">
        <f t="shared" si="33"/>
        <v>45.042857142857137</v>
      </c>
      <c r="AN88" s="172">
        <f t="shared" si="33"/>
        <v>0.27307692307692305</v>
      </c>
      <c r="AO88" s="172">
        <f t="shared" si="33"/>
        <v>38.014285714285712</v>
      </c>
      <c r="AP88" s="172">
        <f t="shared" si="33"/>
        <v>39.164285714285718</v>
      </c>
      <c r="AQ88" s="172">
        <f t="shared" si="33"/>
        <v>3.6</v>
      </c>
      <c r="AR88" s="172">
        <f t="shared" si="33"/>
        <v>10.422307692307694</v>
      </c>
      <c r="AS88" s="172">
        <f t="shared" si="33"/>
        <v>29.699999999999996</v>
      </c>
      <c r="AT88" s="172" t="e">
        <f t="shared" si="33"/>
        <v>#DIV/0!</v>
      </c>
      <c r="AU88" s="172">
        <f t="shared" si="33"/>
        <v>6.9007692307692299</v>
      </c>
      <c r="AV88" s="172">
        <f t="shared" si="33"/>
        <v>1.3076923076923077</v>
      </c>
      <c r="AW88" s="172">
        <f t="shared" si="33"/>
        <v>103.59285714285714</v>
      </c>
      <c r="AX88" s="172">
        <f t="shared" si="33"/>
        <v>1.5384615384615381</v>
      </c>
      <c r="AY88" s="172">
        <f t="shared" si="33"/>
        <v>0.72846153846153849</v>
      </c>
      <c r="AZ88" s="172">
        <f t="shared" si="33"/>
        <v>4.29</v>
      </c>
      <c r="BA88" s="172">
        <f t="shared" si="33"/>
        <v>0.30461538461538457</v>
      </c>
      <c r="BB88" s="172">
        <f t="shared" si="33"/>
        <v>1.5064285714285715</v>
      </c>
      <c r="BC88" s="172">
        <f t="shared" si="33"/>
        <v>8.625</v>
      </c>
      <c r="BD88" s="172">
        <f t="shared" si="33"/>
        <v>20.671428571428571</v>
      </c>
      <c r="BE88" s="172">
        <f t="shared" si="33"/>
        <v>2.1069230769230769</v>
      </c>
      <c r="BF88" s="172">
        <f t="shared" si="33"/>
        <v>112.95</v>
      </c>
      <c r="BG88" s="173"/>
      <c r="BH88" s="173">
        <f>AVERAGE(BH26:BH39)</f>
        <v>174.90949594726996</v>
      </c>
      <c r="BI88" s="173">
        <f t="shared" si="33"/>
        <v>110.52785714285713</v>
      </c>
      <c r="BJ88" s="173">
        <f t="shared" si="33"/>
        <v>6.2605136270606554</v>
      </c>
      <c r="BK88" s="173">
        <f t="shared" si="33"/>
        <v>197.65862817567205</v>
      </c>
      <c r="BL88" s="173">
        <f t="shared" si="33"/>
        <v>162.26923076923077</v>
      </c>
      <c r="BM88" s="173"/>
      <c r="BN88" s="173">
        <f t="shared" si="33"/>
        <v>5.7584615384615381</v>
      </c>
      <c r="BO88" s="173"/>
      <c r="BP88" s="66" t="s">
        <v>475</v>
      </c>
      <c r="BQ88" s="174">
        <f>AVERAGE(BQ29:BQ39)</f>
        <v>7.955454545454546</v>
      </c>
      <c r="BR88" s="174">
        <f t="shared" ref="BR88:BU88" si="34">AVERAGE(BR29:BR39)</f>
        <v>4.6709090909090909</v>
      </c>
      <c r="BS88" s="174">
        <f t="shared" si="34"/>
        <v>5.6963636363636363</v>
      </c>
      <c r="BT88" s="174">
        <f t="shared" si="34"/>
        <v>4.4545454545454541</v>
      </c>
      <c r="BU88" s="174">
        <f t="shared" si="34"/>
        <v>16.431818181818183</v>
      </c>
    </row>
    <row r="89" spans="1:83" s="87" customFormat="1" x14ac:dyDescent="0.25">
      <c r="A89" s="87" t="s">
        <v>75</v>
      </c>
      <c r="E89" s="70"/>
      <c r="G89" s="71"/>
      <c r="H89" s="72"/>
      <c r="I89" s="72"/>
      <c r="J89" s="72"/>
      <c r="K89" s="72"/>
      <c r="L89" s="117">
        <f t="shared" ref="L89:R89" si="35">AVERAGE(L56:L64)</f>
        <v>58.538888888888891</v>
      </c>
      <c r="M89" s="117">
        <f t="shared" si="35"/>
        <v>16.121111111111112</v>
      </c>
      <c r="N89" s="117">
        <f t="shared" si="35"/>
        <v>7.1633333333333331</v>
      </c>
      <c r="O89" s="117">
        <f t="shared" si="35"/>
        <v>4.6255555555555548</v>
      </c>
      <c r="P89" s="117">
        <f t="shared" si="35"/>
        <v>1.3800000000000001</v>
      </c>
      <c r="Q89" s="117">
        <f t="shared" si="35"/>
        <v>7.0588888888888892</v>
      </c>
      <c r="R89" s="117">
        <f t="shared" si="35"/>
        <v>2.8622222222222229</v>
      </c>
      <c r="S89" s="117" t="s">
        <v>327</v>
      </c>
      <c r="T89" s="117">
        <f t="shared" ref="T89:BF89" si="36">AVERAGE(T56:T64)</f>
        <v>0.75777777777777777</v>
      </c>
      <c r="U89" s="117">
        <f t="shared" si="36"/>
        <v>0.25777777777777777</v>
      </c>
      <c r="V89" s="117">
        <f t="shared" si="36"/>
        <v>0.35222222222222227</v>
      </c>
      <c r="W89" s="117" t="e">
        <f t="shared" si="36"/>
        <v>#DIV/0!</v>
      </c>
      <c r="X89" s="117" t="e">
        <f t="shared" si="36"/>
        <v>#DIV/0!</v>
      </c>
      <c r="Y89" s="117">
        <f t="shared" si="36"/>
        <v>0.49666666666666665</v>
      </c>
      <c r="Z89" s="117">
        <f t="shared" si="36"/>
        <v>1.2724855472224563</v>
      </c>
      <c r="AA89" s="117">
        <f t="shared" si="36"/>
        <v>100.39026332500023</v>
      </c>
      <c r="AB89" s="117">
        <f t="shared" si="36"/>
        <v>759.93333333333328</v>
      </c>
      <c r="AC89" s="117">
        <f t="shared" si="36"/>
        <v>186.22499999999999</v>
      </c>
      <c r="AD89" s="117" t="e">
        <f t="shared" si="36"/>
        <v>#DIV/0!</v>
      </c>
      <c r="AE89" s="117" t="e">
        <f t="shared" si="36"/>
        <v>#DIV/0!</v>
      </c>
      <c r="AF89" s="117" t="e">
        <f t="shared" si="36"/>
        <v>#DIV/0!</v>
      </c>
      <c r="AG89" s="117" t="e">
        <f t="shared" si="36"/>
        <v>#DIV/0!</v>
      </c>
      <c r="AH89" s="117" t="e">
        <f t="shared" si="36"/>
        <v>#DIV/0!</v>
      </c>
      <c r="AI89" s="117" t="e">
        <f t="shared" si="36"/>
        <v>#DIV/0!</v>
      </c>
      <c r="AJ89" s="117" t="e">
        <f t="shared" si="36"/>
        <v>#DIV/0!</v>
      </c>
      <c r="AK89" s="117" t="e">
        <f t="shared" si="36"/>
        <v>#DIV/0!</v>
      </c>
      <c r="AL89" s="117" t="e">
        <f t="shared" si="36"/>
        <v>#DIV/0!</v>
      </c>
      <c r="AM89" s="117">
        <f t="shared" si="36"/>
        <v>78.75</v>
      </c>
      <c r="AN89" s="117" t="e">
        <f t="shared" si="36"/>
        <v>#DIV/0!</v>
      </c>
      <c r="AO89" s="117">
        <f t="shared" si="36"/>
        <v>57.144444444444439</v>
      </c>
      <c r="AP89" s="117">
        <f t="shared" si="36"/>
        <v>87.474999999999994</v>
      </c>
      <c r="AQ89" s="117">
        <f t="shared" si="36"/>
        <v>6.8666666666666671</v>
      </c>
      <c r="AR89" s="117" t="e">
        <f t="shared" si="36"/>
        <v>#DIV/0!</v>
      </c>
      <c r="AS89" s="117" t="e">
        <f t="shared" si="36"/>
        <v>#DIV/0!</v>
      </c>
      <c r="AT89" s="117">
        <f t="shared" si="36"/>
        <v>12.75</v>
      </c>
      <c r="AU89" s="117">
        <f t="shared" si="36"/>
        <v>8.9</v>
      </c>
      <c r="AV89" s="117" t="e">
        <f t="shared" si="36"/>
        <v>#DIV/0!</v>
      </c>
      <c r="AW89" s="117">
        <f t="shared" si="36"/>
        <v>714.66666666666663</v>
      </c>
      <c r="AX89" s="117" t="e">
        <f t="shared" si="36"/>
        <v>#DIV/0!</v>
      </c>
      <c r="AY89" s="117" t="e">
        <f t="shared" si="36"/>
        <v>#DIV/0!</v>
      </c>
      <c r="AZ89" s="117">
        <f t="shared" si="36"/>
        <v>22.05</v>
      </c>
      <c r="BA89" s="117" t="e">
        <f t="shared" si="36"/>
        <v>#DIV/0!</v>
      </c>
      <c r="BB89" s="117">
        <f t="shared" si="36"/>
        <v>3.6999999999999997</v>
      </c>
      <c r="BC89" s="117" t="e">
        <f t="shared" si="36"/>
        <v>#DIV/0!</v>
      </c>
      <c r="BD89" s="117">
        <f t="shared" si="36"/>
        <v>53.86666666666666</v>
      </c>
      <c r="BE89" s="117" t="e">
        <f t="shared" si="36"/>
        <v>#DIV/0!</v>
      </c>
      <c r="BF89" s="117">
        <f t="shared" si="36"/>
        <v>322.18888888888893</v>
      </c>
      <c r="BG89" s="129"/>
      <c r="BH89" s="73"/>
      <c r="BI89" s="73"/>
      <c r="BJ89" s="73"/>
      <c r="BK89" s="8"/>
      <c r="BL89" s="8"/>
      <c r="BM89" s="8"/>
      <c r="BN89" s="8"/>
      <c r="BO89" s="8"/>
      <c r="BP89" s="129"/>
      <c r="BQ89" s="129"/>
      <c r="BR89" s="129"/>
      <c r="BS89" s="129"/>
    </row>
    <row r="90" spans="1:83" s="87" customFormat="1" x14ac:dyDescent="0.25">
      <c r="A90" s="87" t="s">
        <v>77</v>
      </c>
      <c r="E90" s="70"/>
      <c r="G90" s="71"/>
      <c r="H90" s="72"/>
      <c r="I90" s="72"/>
      <c r="J90" s="72"/>
      <c r="K90" s="72"/>
      <c r="L90" s="117">
        <f t="shared" ref="L90:R90" si="37">AVERAGE(L41:L55)</f>
        <v>98.530666666666647</v>
      </c>
      <c r="M90" s="117">
        <f t="shared" si="37"/>
        <v>0.58333333333333337</v>
      </c>
      <c r="N90" s="117">
        <f t="shared" si="37"/>
        <v>0.17733333333333337</v>
      </c>
      <c r="O90" s="117">
        <f t="shared" si="37"/>
        <v>2.3333333333333338E-2</v>
      </c>
      <c r="P90" s="117">
        <f t="shared" si="37"/>
        <v>1.5384615384615387E-2</v>
      </c>
      <c r="Q90" s="117">
        <f t="shared" si="37"/>
        <v>0.12800000000000003</v>
      </c>
      <c r="R90" s="117">
        <f t="shared" si="37"/>
        <v>0.34333333333333338</v>
      </c>
      <c r="S90" s="117" t="s">
        <v>327</v>
      </c>
      <c r="T90" s="117">
        <f t="shared" ref="T90:BF90" si="38">AVERAGE(T41:T55)</f>
        <v>2.466666666666667E-2</v>
      </c>
      <c r="U90" s="117">
        <f t="shared" si="38"/>
        <v>0.01</v>
      </c>
      <c r="V90" s="117">
        <f t="shared" si="38"/>
        <v>3.8333333333333337E-2</v>
      </c>
      <c r="W90" s="117">
        <f t="shared" si="38"/>
        <v>0.01</v>
      </c>
      <c r="X90" s="117">
        <f t="shared" si="38"/>
        <v>0.01</v>
      </c>
      <c r="Y90" s="117">
        <f t="shared" si="38"/>
        <v>0.27466666666666667</v>
      </c>
      <c r="Z90" s="117">
        <f t="shared" si="38"/>
        <v>0.29378656873377085</v>
      </c>
      <c r="AA90" s="117">
        <f t="shared" si="38"/>
        <v>100.12517590625031</v>
      </c>
      <c r="AB90" s="117">
        <f t="shared" si="38"/>
        <v>24.333333333333332</v>
      </c>
      <c r="AC90" s="117">
        <f t="shared" si="38"/>
        <v>6.2866666666666653</v>
      </c>
      <c r="AD90" s="117">
        <f t="shared" si="38"/>
        <v>10</v>
      </c>
      <c r="AE90" s="117">
        <f t="shared" si="38"/>
        <v>2.3636363636363636E-2</v>
      </c>
      <c r="AF90" s="117">
        <f t="shared" si="38"/>
        <v>0.83000000000000007</v>
      </c>
      <c r="AG90" s="117">
        <f t="shared" si="38"/>
        <v>0.54666666666666663</v>
      </c>
      <c r="AH90" s="117">
        <f t="shared" si="38"/>
        <v>0.16733333333333336</v>
      </c>
      <c r="AI90" s="117">
        <f t="shared" si="38"/>
        <v>0.5714285714285714</v>
      </c>
      <c r="AJ90" s="117">
        <f t="shared" si="38"/>
        <v>0.94666666666666677</v>
      </c>
      <c r="AK90" s="117">
        <f t="shared" si="38"/>
        <v>1.5666666666666667</v>
      </c>
      <c r="AL90" s="117">
        <f t="shared" si="38"/>
        <v>0.16666666666666666</v>
      </c>
      <c r="AM90" s="117">
        <f t="shared" si="38"/>
        <v>3.3266666666666671</v>
      </c>
      <c r="AN90" s="117">
        <f t="shared" si="38"/>
        <v>7.4666666666666673E-2</v>
      </c>
      <c r="AO90" s="117">
        <f t="shared" si="38"/>
        <v>3.3066666666666658</v>
      </c>
      <c r="AP90" s="117">
        <f t="shared" si="38"/>
        <v>3.8</v>
      </c>
      <c r="AQ90" s="117" t="e">
        <f t="shared" si="38"/>
        <v>#DIV/0!</v>
      </c>
      <c r="AR90" s="117">
        <f t="shared" si="38"/>
        <v>0.8713333333333334</v>
      </c>
      <c r="AS90" s="117">
        <f t="shared" si="38"/>
        <v>4.8199999999999985</v>
      </c>
      <c r="AT90" s="117" t="e">
        <f t="shared" si="38"/>
        <v>#DIV/0!</v>
      </c>
      <c r="AU90" s="117">
        <f t="shared" si="38"/>
        <v>0.81266666666666676</v>
      </c>
      <c r="AV90" s="117">
        <f t="shared" si="38"/>
        <v>1</v>
      </c>
      <c r="AW90" s="117">
        <f t="shared" si="38"/>
        <v>7.1066666666666665</v>
      </c>
      <c r="AX90" s="117">
        <f t="shared" si="38"/>
        <v>0.75333333333333341</v>
      </c>
      <c r="AY90" s="117">
        <f t="shared" si="38"/>
        <v>0.13133333333333339</v>
      </c>
      <c r="AZ90" s="117">
        <f t="shared" si="38"/>
        <v>1.5153333333333336</v>
      </c>
      <c r="BA90" s="117">
        <f t="shared" si="38"/>
        <v>7.7333333333333337E-2</v>
      </c>
      <c r="BB90" s="117">
        <f t="shared" si="38"/>
        <v>0.25400000000000006</v>
      </c>
      <c r="BC90" s="117">
        <f t="shared" si="38"/>
        <v>5.5</v>
      </c>
      <c r="BD90" s="117">
        <f t="shared" si="38"/>
        <v>5.0933333333333337</v>
      </c>
      <c r="BE90" s="117">
        <f t="shared" si="38"/>
        <v>0.56733333333333336</v>
      </c>
      <c r="BF90" s="117">
        <f t="shared" si="38"/>
        <v>64.400000000000006</v>
      </c>
      <c r="BG90" s="129"/>
      <c r="BH90" s="73">
        <f>AVERAGE(BH41:BH55)</f>
        <v>111.38384257291696</v>
      </c>
      <c r="BI90" s="73">
        <f t="shared" ref="BI90:BL90" si="39">AVERAGE(BI41:BI55)</f>
        <v>18.656000000000002</v>
      </c>
      <c r="BJ90" s="73">
        <f t="shared" si="39"/>
        <v>2.4853044237653759</v>
      </c>
      <c r="BK90" s="73">
        <f t="shared" si="39"/>
        <v>53.805435305435296</v>
      </c>
      <c r="BL90" s="73">
        <f t="shared" si="39"/>
        <v>68.459999999999994</v>
      </c>
      <c r="BM90" s="73">
        <f t="shared" ref="BM90" si="40">AVERAGE(BM41:BM55)</f>
        <v>1.7402021949098541</v>
      </c>
      <c r="BN90" s="8">
        <f t="shared" ref="BN90" si="41">BB90+AZ90</f>
        <v>1.7693333333333336</v>
      </c>
      <c r="BO90" s="8"/>
      <c r="BP90" s="66" t="s">
        <v>475</v>
      </c>
      <c r="BQ90" s="129">
        <f>AVERAGE(BQ41:BQ55)</f>
        <v>-0.61266666666666658</v>
      </c>
      <c r="BR90" s="129">
        <f t="shared" ref="BR90:BU90" si="42">AVERAGE(BR41:BR55)</f>
        <v>-1.4000000000000012E-2</v>
      </c>
      <c r="BS90" s="129">
        <f t="shared" si="42"/>
        <v>1.0666666666666673E-2</v>
      </c>
      <c r="BT90" s="129">
        <f t="shared" si="42"/>
        <v>0.23333333333333334</v>
      </c>
      <c r="BU90" s="129">
        <f t="shared" si="42"/>
        <v>-0.3</v>
      </c>
    </row>
    <row r="91" spans="1:83" s="87" customFormat="1" x14ac:dyDescent="0.25">
      <c r="A91" s="87" t="s">
        <v>466</v>
      </c>
      <c r="E91" s="70"/>
      <c r="G91" s="71"/>
      <c r="H91" s="72"/>
      <c r="I91" s="72"/>
      <c r="J91" s="72"/>
      <c r="K91" s="72"/>
      <c r="L91" s="117">
        <f>2*STDEV(L56:L64)</f>
        <v>9.5171342558799914</v>
      </c>
      <c r="M91" s="117">
        <f t="shared" ref="M91:W91" si="43">2*STDEV(M56:M64)</f>
        <v>7.6070654292206754</v>
      </c>
      <c r="N91" s="117">
        <f t="shared" si="43"/>
        <v>6.3985623385257409</v>
      </c>
      <c r="O91" s="117">
        <f t="shared" si="43"/>
        <v>5.7110779290000195</v>
      </c>
      <c r="P91" s="117">
        <f t="shared" si="43"/>
        <v>2.3357439928211301</v>
      </c>
      <c r="Q91" s="117">
        <f t="shared" si="43"/>
        <v>3.8348330399698551</v>
      </c>
      <c r="R91" s="117">
        <f t="shared" si="43"/>
        <v>3.6831206575101176</v>
      </c>
      <c r="S91" s="117" t="e">
        <f t="shared" si="43"/>
        <v>#DIV/0!</v>
      </c>
      <c r="T91" s="117">
        <f t="shared" si="43"/>
        <v>1.270660370743409</v>
      </c>
      <c r="U91" s="117">
        <f t="shared" si="43"/>
        <v>0.4324092711515074</v>
      </c>
      <c r="V91" s="117">
        <f t="shared" si="43"/>
        <v>0.61406659067057034</v>
      </c>
      <c r="W91" s="117" t="e">
        <f t="shared" si="43"/>
        <v>#DIV/0!</v>
      </c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17"/>
      <c r="AN91" s="117"/>
      <c r="AO91" s="117"/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66" t="s">
        <v>478</v>
      </c>
      <c r="BH91" s="129">
        <f>2*STDEV(BH41:BH55)</f>
        <v>9.5164607293858179</v>
      </c>
      <c r="BI91" s="129">
        <f t="shared" ref="BI91:BL91" si="44">2*STDEV(BI41:BI55)</f>
        <v>14.485201906970925</v>
      </c>
      <c r="BJ91" s="129">
        <f t="shared" si="44"/>
        <v>2.1029427218434322</v>
      </c>
      <c r="BK91" s="129">
        <f>2*STDEV(BK41:BK55)</f>
        <v>68.335878698217869</v>
      </c>
      <c r="BL91" s="129">
        <f t="shared" si="44"/>
        <v>100.8164612409247</v>
      </c>
      <c r="BM91" s="129">
        <f t="shared" ref="BM91" si="45">2*STDEV(BM41:BM55)</f>
        <v>0.5730078943704312</v>
      </c>
      <c r="BN91" s="8"/>
      <c r="BO91" s="8"/>
      <c r="BP91" s="66" t="s">
        <v>476</v>
      </c>
      <c r="BQ91" s="129">
        <f>2*STDEV(BQ41:BQ55)</f>
        <v>2.0107065803793827</v>
      </c>
      <c r="BR91" s="129">
        <f t="shared" ref="BR91:BU91" si="46">2*STDEV(BR41:BR55)</f>
        <v>0.99158747182773255</v>
      </c>
      <c r="BS91" s="129">
        <f t="shared" si="46"/>
        <v>1.3469217108793277</v>
      </c>
      <c r="BT91" s="129">
        <f t="shared" si="46"/>
        <v>1.505545305418162</v>
      </c>
      <c r="BU91" s="129">
        <f t="shared" si="46"/>
        <v>0.80622577482985502</v>
      </c>
    </row>
    <row r="92" spans="1:83" s="87" customFormat="1" x14ac:dyDescent="0.25">
      <c r="A92" s="87" t="s">
        <v>467</v>
      </c>
      <c r="E92" s="70"/>
      <c r="G92" s="71"/>
      <c r="H92" s="72"/>
      <c r="I92" s="72"/>
      <c r="J92" s="72"/>
      <c r="K92" s="72"/>
      <c r="L92" s="117">
        <f>1.96*(STDEV(L56:L64)/SQRT(9))</f>
        <v>3.1089305235874636</v>
      </c>
      <c r="M92" s="117">
        <f t="shared" ref="M92:Y92" si="47">1.96*(STDEV(M56:M64)/SQRT(9))</f>
        <v>2.484974706878754</v>
      </c>
      <c r="N92" s="117">
        <f t="shared" si="47"/>
        <v>2.0901970305850752</v>
      </c>
      <c r="O92" s="117">
        <f t="shared" si="47"/>
        <v>1.8656187901400063</v>
      </c>
      <c r="P92" s="117">
        <f t="shared" si="47"/>
        <v>0.76300970432156923</v>
      </c>
      <c r="Q92" s="117">
        <f t="shared" si="47"/>
        <v>1.2527121263901528</v>
      </c>
      <c r="R92" s="117">
        <f t="shared" si="47"/>
        <v>1.2031527481199717</v>
      </c>
      <c r="S92" s="117" t="e">
        <f t="shared" si="47"/>
        <v>#DIV/0!</v>
      </c>
      <c r="T92" s="117">
        <f t="shared" si="47"/>
        <v>0.41508238777618028</v>
      </c>
      <c r="U92" s="117">
        <f t="shared" si="47"/>
        <v>0.14125369524282574</v>
      </c>
      <c r="V92" s="117">
        <f t="shared" si="47"/>
        <v>0.20059508628571965</v>
      </c>
      <c r="W92" s="117" t="e">
        <f t="shared" si="47"/>
        <v>#DIV/0!</v>
      </c>
      <c r="X92" s="117" t="e">
        <f t="shared" si="47"/>
        <v>#DIV/0!</v>
      </c>
      <c r="Y92" s="117">
        <f t="shared" si="47"/>
        <v>0.21845184569805973</v>
      </c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66" t="s">
        <v>479</v>
      </c>
      <c r="BH92" s="129">
        <f>2*STDEV(BH29:BH39)</f>
        <v>116.0278559240725</v>
      </c>
      <c r="BI92" s="129">
        <f t="shared" ref="BI92:BL92" si="48">2*STDEV(BI29:BI39)</f>
        <v>189.98244558140337</v>
      </c>
      <c r="BJ92" s="129">
        <f t="shared" si="48"/>
        <v>11.340243732820257</v>
      </c>
      <c r="BK92" s="129">
        <f t="shared" si="48"/>
        <v>634.80973428758</v>
      </c>
      <c r="BL92" s="129">
        <f t="shared" si="48"/>
        <v>280.36199140080004</v>
      </c>
      <c r="BM92" s="129">
        <f t="shared" ref="BM92" si="49">2*STDEV(BM29:BM39)</f>
        <v>0.64314549255877618</v>
      </c>
      <c r="BN92" s="8"/>
      <c r="BO92" s="8"/>
      <c r="BP92" s="66" t="s">
        <v>477</v>
      </c>
      <c r="BQ92" s="129">
        <f>2*STDEV(BQ29:BQ39)</f>
        <v>21.111328453958297</v>
      </c>
      <c r="BR92" s="129">
        <f t="shared" ref="BR92:BU92" si="50">2*STDEV(BR29:BR39)</f>
        <v>7.3521341366732695</v>
      </c>
      <c r="BS92" s="129">
        <f t="shared" si="50"/>
        <v>11.80491176664111</v>
      </c>
      <c r="BT92" s="129">
        <f t="shared" si="50"/>
        <v>5.5218573950174674</v>
      </c>
      <c r="BU92" s="129">
        <f t="shared" si="50"/>
        <v>51.812204599443035</v>
      </c>
    </row>
    <row r="93" spans="1:83" s="87" customFormat="1" x14ac:dyDescent="0.25">
      <c r="E93" s="70"/>
      <c r="G93" s="71"/>
      <c r="H93" s="72"/>
      <c r="I93" s="72"/>
      <c r="J93" s="72"/>
      <c r="K93" s="72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17"/>
      <c r="AA93" s="117"/>
      <c r="AB93" s="128"/>
      <c r="AC93" s="128"/>
      <c r="AD93" s="128"/>
      <c r="AE93" s="128"/>
      <c r="AF93" s="128"/>
      <c r="AG93" s="128"/>
      <c r="AH93" s="128"/>
      <c r="AI93" s="128"/>
      <c r="AJ93" s="128"/>
      <c r="AK93" s="128"/>
      <c r="AL93" s="128"/>
      <c r="AM93" s="128"/>
      <c r="AN93" s="128"/>
      <c r="AO93" s="128"/>
      <c r="AP93" s="128"/>
      <c r="AQ93" s="128"/>
      <c r="AR93" s="128"/>
      <c r="AS93" s="128"/>
      <c r="AT93" s="128"/>
      <c r="AU93" s="128"/>
      <c r="AV93" s="128"/>
      <c r="AW93" s="128"/>
      <c r="AX93" s="128"/>
      <c r="AY93" s="128"/>
      <c r="AZ93" s="128"/>
      <c r="BA93" s="128"/>
      <c r="BB93" s="128"/>
      <c r="BC93" s="128"/>
      <c r="BD93" s="128"/>
      <c r="BE93" s="128"/>
      <c r="BF93" s="128"/>
      <c r="BG93" s="129"/>
      <c r="BH93" s="129"/>
      <c r="BI93" s="129"/>
      <c r="BJ93" s="129"/>
      <c r="BK93" s="129"/>
      <c r="BL93" s="129"/>
      <c r="BM93" s="129"/>
      <c r="BN93" s="130"/>
      <c r="BO93" s="130"/>
      <c r="BP93" s="129"/>
      <c r="BQ93" s="129"/>
      <c r="BR93" s="129"/>
      <c r="BS93" s="129"/>
    </row>
    <row r="94" spans="1:83" s="87" customFormat="1" x14ac:dyDescent="0.25">
      <c r="A94" s="87" t="s">
        <v>366</v>
      </c>
      <c r="E94" s="70"/>
      <c r="G94" s="71"/>
      <c r="H94" s="72"/>
      <c r="I94" s="72"/>
      <c r="J94" s="72"/>
      <c r="K94" s="72"/>
      <c r="L94" s="134">
        <f t="shared" ref="L94:R94" si="51">STDEV(L41:L55)</f>
        <v>0.76274379396891612</v>
      </c>
      <c r="M94" s="134">
        <f t="shared" si="51"/>
        <v>0.32729773834203235</v>
      </c>
      <c r="N94" s="134">
        <f t="shared" si="51"/>
        <v>7.995236677160307E-2</v>
      </c>
      <c r="O94" s="134">
        <f t="shared" si="51"/>
        <v>6.0287011947216355E-2</v>
      </c>
      <c r="P94" s="134">
        <f t="shared" si="51"/>
        <v>7.7625002580618387E-3</v>
      </c>
      <c r="Q94" s="134">
        <f t="shared" si="51"/>
        <v>6.4498061986388369E-2</v>
      </c>
      <c r="R94" s="134">
        <f t="shared" si="51"/>
        <v>0.22883764259113204</v>
      </c>
      <c r="S94" s="134" t="s">
        <v>327</v>
      </c>
      <c r="T94" s="134">
        <f>STDEV(T41:T55)</f>
        <v>1.50554530541816E-2</v>
      </c>
      <c r="U94" s="134">
        <f>STDEV(U41:U55)</f>
        <v>0</v>
      </c>
      <c r="V94" s="134">
        <f>STDEV(V41:V55)</f>
        <v>6.4627135683601719E-2</v>
      </c>
      <c r="W94" s="134">
        <f>STDEV(W41:W55)</f>
        <v>0</v>
      </c>
      <c r="X94" s="134" t="s">
        <v>327</v>
      </c>
      <c r="Y94" s="134">
        <f t="shared" ref="Y94:AP94" si="52">STDEV(Y41:Y55)</f>
        <v>0.12982772467866066</v>
      </c>
      <c r="Z94" s="134">
        <f t="shared" si="52"/>
        <v>0.131360427666907</v>
      </c>
      <c r="AA94" s="134">
        <f t="shared" si="52"/>
        <v>0.45724120739391039</v>
      </c>
      <c r="AB94" s="134">
        <f t="shared" si="52"/>
        <v>12.051891770095484</v>
      </c>
      <c r="AC94" s="134">
        <f t="shared" si="52"/>
        <v>2.519032316093587</v>
      </c>
      <c r="AD94" s="134">
        <f t="shared" si="52"/>
        <v>0</v>
      </c>
      <c r="AE94" s="134">
        <f t="shared" si="52"/>
        <v>1.6895400127092144E-2</v>
      </c>
      <c r="AF94" s="134">
        <f t="shared" si="52"/>
        <v>0.46446589910193758</v>
      </c>
      <c r="AG94" s="134">
        <f t="shared" si="52"/>
        <v>0.27299049346783044</v>
      </c>
      <c r="AH94" s="134">
        <f t="shared" si="52"/>
        <v>9.4223644793094474E-2</v>
      </c>
      <c r="AI94" s="134">
        <f t="shared" si="52"/>
        <v>0.36253078686998647</v>
      </c>
      <c r="AJ94" s="134">
        <f t="shared" si="52"/>
        <v>0.61473184242825574</v>
      </c>
      <c r="AK94" s="134">
        <f t="shared" si="52"/>
        <v>1.0458534906044556</v>
      </c>
      <c r="AL94" s="134">
        <f t="shared" si="52"/>
        <v>8.7477888362608267E-2</v>
      </c>
      <c r="AM94" s="134">
        <f t="shared" si="52"/>
        <v>1.2555401038521024</v>
      </c>
      <c r="AN94" s="134">
        <f t="shared" si="52"/>
        <v>3.4819261226811692E-2</v>
      </c>
      <c r="AO94" s="134">
        <f t="shared" si="52"/>
        <v>1.9192508459093656</v>
      </c>
      <c r="AP94" s="134">
        <f t="shared" si="52"/>
        <v>1.4755144381343264</v>
      </c>
      <c r="AQ94" s="134" t="s">
        <v>327</v>
      </c>
      <c r="AR94" s="134">
        <f>STDEV(AR41:AR55)</f>
        <v>0.31300083675530904</v>
      </c>
      <c r="AS94" s="134">
        <f>STDEV(AS41:AS55)</f>
        <v>3.1857270979883316</v>
      </c>
      <c r="AT94" s="134" t="s">
        <v>327</v>
      </c>
      <c r="AU94" s="134">
        <f t="shared" ref="AU94:BF94" si="53">STDEV(AU41:AU55)</f>
        <v>0.36960339103783474</v>
      </c>
      <c r="AV94" s="134">
        <f t="shared" si="53"/>
        <v>0</v>
      </c>
      <c r="AW94" s="134">
        <f t="shared" si="53"/>
        <v>5.8555793499712339</v>
      </c>
      <c r="AX94" s="134">
        <f t="shared" si="53"/>
        <v>0.4189556176062203</v>
      </c>
      <c r="AY94" s="134">
        <f t="shared" si="53"/>
        <v>7.3859583638401921E-2</v>
      </c>
      <c r="AZ94" s="134">
        <f t="shared" si="53"/>
        <v>1.1854948735604447</v>
      </c>
      <c r="BA94" s="134">
        <f t="shared" si="53"/>
        <v>3.5550098787619763E-2</v>
      </c>
      <c r="BB94" s="134">
        <f t="shared" si="53"/>
        <v>9.9699548644915967E-2</v>
      </c>
      <c r="BC94" s="134">
        <f t="shared" si="53"/>
        <v>0.70710678118654757</v>
      </c>
      <c r="BD94" s="134">
        <f t="shared" si="53"/>
        <v>2.8954315411564817</v>
      </c>
      <c r="BE94" s="134">
        <f t="shared" si="53"/>
        <v>0.22600463543497348</v>
      </c>
      <c r="BF94" s="134">
        <f t="shared" si="53"/>
        <v>48.922387513284754</v>
      </c>
      <c r="BG94" s="129"/>
      <c r="BH94" s="129"/>
      <c r="BI94" s="129"/>
      <c r="BJ94" s="129"/>
      <c r="BK94" s="129"/>
      <c r="BL94" s="129"/>
      <c r="BM94" s="129"/>
      <c r="BN94" s="130"/>
      <c r="BO94" s="130"/>
      <c r="BP94" s="129"/>
      <c r="BQ94" s="129"/>
      <c r="BR94" s="129"/>
      <c r="BS94" s="129"/>
    </row>
    <row r="95" spans="1:83" s="87" customFormat="1" x14ac:dyDescent="0.25">
      <c r="A95" s="87" t="s">
        <v>367</v>
      </c>
      <c r="E95" s="70"/>
      <c r="G95" s="71"/>
      <c r="H95" s="72"/>
      <c r="I95" s="72"/>
      <c r="J95" s="72"/>
      <c r="K95" s="72"/>
      <c r="L95" s="134">
        <f t="shared" ref="L95:R95" si="54">L94*2</f>
        <v>1.5254875879378322</v>
      </c>
      <c r="M95" s="134">
        <f t="shared" si="54"/>
        <v>0.6545954766840647</v>
      </c>
      <c r="N95" s="134">
        <f t="shared" si="54"/>
        <v>0.15990473354320614</v>
      </c>
      <c r="O95" s="134">
        <f t="shared" si="54"/>
        <v>0.12057402389443271</v>
      </c>
      <c r="P95" s="134">
        <f t="shared" si="54"/>
        <v>1.5525000516123677E-2</v>
      </c>
      <c r="Q95" s="134">
        <f t="shared" si="54"/>
        <v>0.12899612397277674</v>
      </c>
      <c r="R95" s="134">
        <f t="shared" si="54"/>
        <v>0.45767528518226408</v>
      </c>
      <c r="S95" s="134" t="s">
        <v>327</v>
      </c>
      <c r="T95" s="134">
        <f>T94*2</f>
        <v>3.01109061083632E-2</v>
      </c>
      <c r="U95" s="134">
        <f>U94*2</f>
        <v>0</v>
      </c>
      <c r="V95" s="134">
        <f>V94*2</f>
        <v>0.12925427136720344</v>
      </c>
      <c r="W95" s="134">
        <f>W94*2</f>
        <v>0</v>
      </c>
      <c r="X95" s="134" t="s">
        <v>327</v>
      </c>
      <c r="Y95" s="134">
        <f t="shared" ref="Y95:AP95" si="55">Y94*2</f>
        <v>0.25965544935732132</v>
      </c>
      <c r="Z95" s="134">
        <f t="shared" si="55"/>
        <v>0.26272085533381401</v>
      </c>
      <c r="AA95" s="134">
        <f t="shared" si="55"/>
        <v>0.91448241478782077</v>
      </c>
      <c r="AB95" s="134">
        <f t="shared" si="55"/>
        <v>24.103783540190967</v>
      </c>
      <c r="AC95" s="134">
        <f t="shared" si="55"/>
        <v>5.038064632187174</v>
      </c>
      <c r="AD95" s="134">
        <f t="shared" si="55"/>
        <v>0</v>
      </c>
      <c r="AE95" s="134">
        <f t="shared" si="55"/>
        <v>3.3790800254184288E-2</v>
      </c>
      <c r="AF95" s="134">
        <f t="shared" si="55"/>
        <v>0.92893179820387517</v>
      </c>
      <c r="AG95" s="134">
        <f t="shared" si="55"/>
        <v>0.54598098693566088</v>
      </c>
      <c r="AH95" s="134">
        <f t="shared" si="55"/>
        <v>0.18844728958618895</v>
      </c>
      <c r="AI95" s="134">
        <f t="shared" si="55"/>
        <v>0.72506157373997293</v>
      </c>
      <c r="AJ95" s="134">
        <f t="shared" si="55"/>
        <v>1.2294636848565115</v>
      </c>
      <c r="AK95" s="134">
        <f t="shared" si="55"/>
        <v>2.0917069812089113</v>
      </c>
      <c r="AL95" s="134">
        <f t="shared" si="55"/>
        <v>0.17495577672521653</v>
      </c>
      <c r="AM95" s="134">
        <f t="shared" si="55"/>
        <v>2.5110802077042047</v>
      </c>
      <c r="AN95" s="134">
        <f t="shared" si="55"/>
        <v>6.9638522453623383E-2</v>
      </c>
      <c r="AO95" s="134">
        <f t="shared" si="55"/>
        <v>3.8385016918187311</v>
      </c>
      <c r="AP95" s="134">
        <f t="shared" si="55"/>
        <v>2.9510288762686527</v>
      </c>
      <c r="AQ95" s="134" t="s">
        <v>327</v>
      </c>
      <c r="AR95" s="134">
        <f>AR94*2</f>
        <v>0.62600167351061808</v>
      </c>
      <c r="AS95" s="134">
        <f>AS94*2</f>
        <v>6.3714541959766633</v>
      </c>
      <c r="AT95" s="134" t="s">
        <v>327</v>
      </c>
      <c r="AU95" s="134">
        <f t="shared" ref="AU95:BF95" si="56">AU94*2</f>
        <v>0.73920678207566948</v>
      </c>
      <c r="AV95" s="134">
        <f t="shared" si="56"/>
        <v>0</v>
      </c>
      <c r="AW95" s="134">
        <f t="shared" si="56"/>
        <v>11.711158699942468</v>
      </c>
      <c r="AX95" s="134">
        <f t="shared" si="56"/>
        <v>0.8379112352124406</v>
      </c>
      <c r="AY95" s="134">
        <f t="shared" si="56"/>
        <v>0.14771916727680384</v>
      </c>
      <c r="AZ95" s="134">
        <f t="shared" si="56"/>
        <v>2.3709897471208894</v>
      </c>
      <c r="BA95" s="134">
        <f t="shared" si="56"/>
        <v>7.1100197575239527E-2</v>
      </c>
      <c r="BB95" s="134">
        <f t="shared" si="56"/>
        <v>0.19939909728983193</v>
      </c>
      <c r="BC95" s="134">
        <f t="shared" si="56"/>
        <v>1.4142135623730951</v>
      </c>
      <c r="BD95" s="134">
        <f t="shared" si="56"/>
        <v>5.7908630823129634</v>
      </c>
      <c r="BE95" s="134">
        <f t="shared" si="56"/>
        <v>0.45200927086994697</v>
      </c>
      <c r="BF95" s="134">
        <f t="shared" si="56"/>
        <v>97.844775026569508</v>
      </c>
      <c r="BG95" s="129"/>
      <c r="BH95" s="129"/>
      <c r="BI95" s="129"/>
      <c r="BJ95" s="129"/>
      <c r="BK95" s="129"/>
      <c r="BL95" s="129"/>
      <c r="BM95" s="129"/>
      <c r="BN95" s="130"/>
      <c r="BO95" s="130"/>
      <c r="BP95" s="129"/>
      <c r="BQ95" s="129"/>
      <c r="BR95" s="129"/>
      <c r="BS95" s="129"/>
    </row>
    <row r="96" spans="1:83" s="87" customFormat="1" x14ac:dyDescent="0.25">
      <c r="A96" s="87" t="s">
        <v>368</v>
      </c>
      <c r="E96" s="70"/>
      <c r="G96" s="71"/>
      <c r="H96" s="72"/>
      <c r="I96" s="72"/>
      <c r="J96" s="72"/>
      <c r="K96" s="72"/>
      <c r="L96" s="134">
        <f>L50+L95</f>
        <v>100.42548758793784</v>
      </c>
      <c r="M96" s="134">
        <f>M50+M95</f>
        <v>0.80459547668406473</v>
      </c>
      <c r="N96" s="134">
        <f>N50+N95</f>
        <v>0.23990473354320613</v>
      </c>
      <c r="O96" s="134">
        <f>O95</f>
        <v>0.12057402389443271</v>
      </c>
      <c r="P96" s="134">
        <f>P50+P95</f>
        <v>2.5525000516123678E-2</v>
      </c>
      <c r="Q96" s="134">
        <f>Q50+Q95</f>
        <v>0.18899612397277674</v>
      </c>
      <c r="R96" s="134">
        <f>R50+R95</f>
        <v>0.48767528518226411</v>
      </c>
      <c r="S96" s="134" t="s">
        <v>327</v>
      </c>
      <c r="T96" s="134">
        <f>T50+T95</f>
        <v>4.0110906108363202E-2</v>
      </c>
      <c r="U96" s="134" t="e">
        <f>U50+U95</f>
        <v>#VALUE!</v>
      </c>
      <c r="V96" s="134">
        <f>V95</f>
        <v>0.12925427136720344</v>
      </c>
      <c r="W96" s="134">
        <f>W50+W95</f>
        <v>0.01</v>
      </c>
      <c r="X96" s="134" t="s">
        <v>327</v>
      </c>
      <c r="Y96" s="134">
        <f t="shared" ref="Y96:AP96" si="57">Y50+Y95</f>
        <v>0.54965544935732136</v>
      </c>
      <c r="Z96" s="134">
        <f t="shared" si="57"/>
        <v>0.56186359707240308</v>
      </c>
      <c r="AA96" s="134">
        <f t="shared" si="57"/>
        <v>100.45448241478783</v>
      </c>
      <c r="AB96" s="134">
        <f t="shared" si="57"/>
        <v>33.103783540190967</v>
      </c>
      <c r="AC96" s="134">
        <f t="shared" si="57"/>
        <v>6.8380646321871739</v>
      </c>
      <c r="AD96" s="134" t="e">
        <f t="shared" si="57"/>
        <v>#VALUE!</v>
      </c>
      <c r="AE96" s="134">
        <f t="shared" si="57"/>
        <v>4.3790800254184289E-2</v>
      </c>
      <c r="AF96" s="134">
        <f t="shared" si="57"/>
        <v>1.3989317982038751</v>
      </c>
      <c r="AG96" s="134">
        <f t="shared" si="57"/>
        <v>0.89598098693566086</v>
      </c>
      <c r="AH96" s="134">
        <f t="shared" si="57"/>
        <v>0.25844728958618896</v>
      </c>
      <c r="AI96" s="134" t="e">
        <f t="shared" si="57"/>
        <v>#VALUE!</v>
      </c>
      <c r="AJ96" s="134">
        <f t="shared" si="57"/>
        <v>1.7094636848565115</v>
      </c>
      <c r="AK96" s="134">
        <f t="shared" si="57"/>
        <v>2.6917069812089114</v>
      </c>
      <c r="AL96" s="134">
        <f t="shared" si="57"/>
        <v>0.27495577672521654</v>
      </c>
      <c r="AM96" s="134">
        <f t="shared" si="57"/>
        <v>3.9110802077042046</v>
      </c>
      <c r="AN96" s="134">
        <f t="shared" si="57"/>
        <v>9.9638522453623382E-2</v>
      </c>
      <c r="AO96" s="134">
        <f t="shared" si="57"/>
        <v>5.2385016918187315</v>
      </c>
      <c r="AP96" s="134">
        <f t="shared" si="57"/>
        <v>4.1510288762686525</v>
      </c>
      <c r="AQ96" s="134" t="s">
        <v>327</v>
      </c>
      <c r="AR96" s="134">
        <f>AR50+AR95</f>
        <v>0.94600167351061804</v>
      </c>
      <c r="AS96" s="134">
        <f>AS50+AS95</f>
        <v>7.0714541959766635</v>
      </c>
      <c r="AT96" s="134" t="s">
        <v>327</v>
      </c>
      <c r="AU96" s="134">
        <f t="shared" ref="AU96:BF96" si="58">AU50+AU95</f>
        <v>1.0792067820756694</v>
      </c>
      <c r="AV96" s="134">
        <f t="shared" si="58"/>
        <v>1</v>
      </c>
      <c r="AW96" s="134">
        <f t="shared" si="58"/>
        <v>14.811158699942467</v>
      </c>
      <c r="AX96" s="134">
        <f t="shared" si="58"/>
        <v>1.6379112352124405</v>
      </c>
      <c r="AY96" s="134">
        <f t="shared" si="58"/>
        <v>0.22771916727680386</v>
      </c>
      <c r="AZ96" s="134">
        <f t="shared" si="58"/>
        <v>2.8009897471208896</v>
      </c>
      <c r="BA96" s="134">
        <f t="shared" si="58"/>
        <v>0.12110019757523953</v>
      </c>
      <c r="BB96" s="134">
        <f t="shared" si="58"/>
        <v>0.33939909728983197</v>
      </c>
      <c r="BC96" s="134" t="e">
        <f t="shared" si="58"/>
        <v>#VALUE!</v>
      </c>
      <c r="BD96" s="134">
        <f t="shared" si="58"/>
        <v>9.1908630823129638</v>
      </c>
      <c r="BE96" s="134">
        <f t="shared" si="58"/>
        <v>0.76200927086994696</v>
      </c>
      <c r="BF96" s="134">
        <f t="shared" si="58"/>
        <v>118.84477502656951</v>
      </c>
      <c r="BG96" s="129"/>
      <c r="BH96" s="129"/>
      <c r="BI96" s="129"/>
      <c r="BJ96" s="129"/>
      <c r="BK96" s="129"/>
      <c r="BL96" s="129"/>
      <c r="BM96" s="129"/>
      <c r="BN96" s="130"/>
      <c r="BO96" s="130"/>
      <c r="BP96" s="129"/>
      <c r="BQ96" s="129"/>
      <c r="BR96" s="129"/>
      <c r="BS96" s="129"/>
    </row>
    <row r="97" spans="1:71" s="87" customFormat="1" x14ac:dyDescent="0.25">
      <c r="A97" s="87" t="s">
        <v>374</v>
      </c>
      <c r="E97" s="70"/>
      <c r="G97" s="71"/>
      <c r="H97" s="72"/>
      <c r="I97" s="72"/>
      <c r="J97" s="72"/>
      <c r="K97" s="72"/>
      <c r="L97" s="134">
        <f>L$90-(1.96*(L$94/SQRT(15)))</f>
        <v>98.144665049168594</v>
      </c>
      <c r="M97" s="134">
        <f t="shared" ref="M97:BF97" si="59">M$90-(1.96*(M$94/SQRT(15)))</f>
        <v>0.41769782452626097</v>
      </c>
      <c r="N97" s="134">
        <f t="shared" si="59"/>
        <v>0.13687185316048534</v>
      </c>
      <c r="O97" s="134">
        <f t="shared" si="59"/>
        <v>-7.1761041865190597E-3</v>
      </c>
      <c r="P97" s="134">
        <f t="shared" si="59"/>
        <v>1.1456248245959895E-2</v>
      </c>
      <c r="Q97" s="134">
        <f t="shared" si="59"/>
        <v>9.535947712837109E-2</v>
      </c>
      <c r="R97" s="134">
        <f t="shared" si="59"/>
        <v>0.22752550784453296</v>
      </c>
      <c r="S97" s="134" t="e">
        <f t="shared" si="59"/>
        <v>#VALUE!</v>
      </c>
      <c r="T97" s="134">
        <f t="shared" si="59"/>
        <v>1.7047556190735488E-2</v>
      </c>
      <c r="U97" s="134">
        <f t="shared" si="59"/>
        <v>0.01</v>
      </c>
      <c r="V97" s="134">
        <f t="shared" si="59"/>
        <v>5.6274901584849393E-3</v>
      </c>
      <c r="W97" s="134">
        <f t="shared" si="59"/>
        <v>0.01</v>
      </c>
      <c r="X97" s="134" t="e">
        <f t="shared" si="59"/>
        <v>#VALUE!</v>
      </c>
      <c r="Y97" s="134">
        <f t="shared" si="59"/>
        <v>0.20896477290062332</v>
      </c>
      <c r="Z97" s="134">
        <f t="shared" si="59"/>
        <v>0.22730902023636784</v>
      </c>
      <c r="AA97" s="134">
        <f t="shared" si="59"/>
        <v>99.893779928942621</v>
      </c>
      <c r="AB97" s="134">
        <f t="shared" si="59"/>
        <v>18.234234587525791</v>
      </c>
      <c r="AC97" s="134">
        <f t="shared" si="59"/>
        <v>5.0118604260516006</v>
      </c>
      <c r="AD97" s="134">
        <f t="shared" si="59"/>
        <v>10</v>
      </c>
      <c r="AE97" s="134">
        <f t="shared" si="59"/>
        <v>1.5086111469251132E-2</v>
      </c>
      <c r="AF97" s="134">
        <f t="shared" si="59"/>
        <v>0.5949478242318671</v>
      </c>
      <c r="AG97" s="134">
        <f t="shared" si="59"/>
        <v>0.40851441570981667</v>
      </c>
      <c r="AH97" s="134">
        <f t="shared" si="59"/>
        <v>0.11964959000525793</v>
      </c>
      <c r="AI97" s="134">
        <f t="shared" si="59"/>
        <v>0.38796267995734079</v>
      </c>
      <c r="AJ97" s="134">
        <f t="shared" si="59"/>
        <v>0.63556943142055</v>
      </c>
      <c r="AK97" s="134">
        <f t="shared" si="59"/>
        <v>1.0373917748466304</v>
      </c>
      <c r="AL97" s="134">
        <f t="shared" si="59"/>
        <v>0.1223967471074696</v>
      </c>
      <c r="AM97" s="134">
        <f t="shared" si="59"/>
        <v>2.6912757074052767</v>
      </c>
      <c r="AN97" s="134">
        <f t="shared" si="59"/>
        <v>5.7045689269131533E-2</v>
      </c>
      <c r="AO97" s="134">
        <f t="shared" si="59"/>
        <v>2.3353917290488737</v>
      </c>
      <c r="AP97" s="134">
        <f t="shared" si="59"/>
        <v>3.0532866681249087</v>
      </c>
      <c r="AQ97" s="134" t="e">
        <f t="shared" si="59"/>
        <v>#DIV/0!</v>
      </c>
      <c r="AR97" s="134">
        <f t="shared" si="59"/>
        <v>0.71293305499463311</v>
      </c>
      <c r="AS97" s="134">
        <f t="shared" si="59"/>
        <v>3.2077996485134541</v>
      </c>
      <c r="AT97" s="134" t="e">
        <f t="shared" si="59"/>
        <v>#DIV/0!</v>
      </c>
      <c r="AU97" s="134">
        <f t="shared" si="59"/>
        <v>0.62562154364966738</v>
      </c>
      <c r="AV97" s="134">
        <f t="shared" si="59"/>
        <v>1</v>
      </c>
      <c r="AW97" s="134">
        <f t="shared" si="59"/>
        <v>4.1433346561682738</v>
      </c>
      <c r="AX97" s="134">
        <f t="shared" si="59"/>
        <v>0.54131253770757937</v>
      </c>
      <c r="AY97" s="134">
        <f t="shared" si="59"/>
        <v>9.3955226847792381E-2</v>
      </c>
      <c r="AZ97" s="134">
        <f t="shared" si="59"/>
        <v>0.91539015143098801</v>
      </c>
      <c r="BA97" s="134">
        <f t="shared" si="59"/>
        <v>5.9342501100097311E-2</v>
      </c>
      <c r="BB97" s="134">
        <f t="shared" si="59"/>
        <v>0.20354506697391572</v>
      </c>
      <c r="BC97" s="134">
        <f t="shared" si="59"/>
        <v>5.1421545957632917</v>
      </c>
      <c r="BD97" s="134">
        <f t="shared" si="59"/>
        <v>3.6280428031729239</v>
      </c>
      <c r="BE97" s="134">
        <f t="shared" si="59"/>
        <v>0.4529592072771701</v>
      </c>
      <c r="BF97" s="134">
        <f t="shared" si="59"/>
        <v>39.641855966167427</v>
      </c>
      <c r="BG97" s="129"/>
      <c r="BH97" s="129"/>
      <c r="BI97" s="129"/>
      <c r="BJ97" s="129"/>
      <c r="BK97" s="129"/>
      <c r="BL97" s="129"/>
      <c r="BM97" s="129"/>
      <c r="BN97" s="130"/>
      <c r="BO97" s="130"/>
      <c r="BP97" s="129"/>
      <c r="BQ97" s="129"/>
      <c r="BR97" s="129"/>
      <c r="BS97" s="129"/>
    </row>
    <row r="98" spans="1:71" s="87" customFormat="1" x14ac:dyDescent="0.25">
      <c r="A98" s="87" t="s">
        <v>373</v>
      </c>
      <c r="E98" s="70"/>
      <c r="G98" s="71"/>
      <c r="H98" s="72"/>
      <c r="I98" s="72"/>
      <c r="J98" s="72"/>
      <c r="K98" s="72"/>
      <c r="L98" s="134">
        <f>L$90+(1.96*(L$94/SQRT(15)))</f>
        <v>98.9166682841647</v>
      </c>
      <c r="M98" s="134">
        <f t="shared" ref="M98:BF98" si="60">M$90+(1.96*(M$94/SQRT(15)))</f>
        <v>0.74896884214040571</v>
      </c>
      <c r="N98" s="134">
        <f t="shared" si="60"/>
        <v>0.21779481350618141</v>
      </c>
      <c r="O98" s="134">
        <f t="shared" si="60"/>
        <v>5.3842770853185735E-2</v>
      </c>
      <c r="P98" s="134">
        <f t="shared" si="60"/>
        <v>1.9312982523270877E-2</v>
      </c>
      <c r="Q98" s="134">
        <f t="shared" si="60"/>
        <v>0.16064052287162897</v>
      </c>
      <c r="R98" s="134">
        <f t="shared" si="60"/>
        <v>0.4591411588221338</v>
      </c>
      <c r="S98" s="134" t="e">
        <f t="shared" si="60"/>
        <v>#VALUE!</v>
      </c>
      <c r="T98" s="134">
        <f t="shared" si="60"/>
        <v>3.2285777142597852E-2</v>
      </c>
      <c r="U98" s="134">
        <f t="shared" si="60"/>
        <v>0.01</v>
      </c>
      <c r="V98" s="134">
        <f t="shared" si="60"/>
        <v>7.1039176508181728E-2</v>
      </c>
      <c r="W98" s="134">
        <f t="shared" si="60"/>
        <v>0.01</v>
      </c>
      <c r="X98" s="134" t="e">
        <f t="shared" si="60"/>
        <v>#VALUE!</v>
      </c>
      <c r="Y98" s="134">
        <f t="shared" si="60"/>
        <v>0.34036856043271002</v>
      </c>
      <c r="Z98" s="134">
        <f t="shared" si="60"/>
        <v>0.36026411723117385</v>
      </c>
      <c r="AA98" s="134">
        <f t="shared" si="60"/>
        <v>100.35657188355799</v>
      </c>
      <c r="AB98" s="134">
        <f t="shared" si="60"/>
        <v>30.432432079140874</v>
      </c>
      <c r="AC98" s="134">
        <f t="shared" si="60"/>
        <v>7.5614729072817299</v>
      </c>
      <c r="AD98" s="134">
        <f t="shared" si="60"/>
        <v>10</v>
      </c>
      <c r="AE98" s="134">
        <f t="shared" si="60"/>
        <v>3.2186615803476142E-2</v>
      </c>
      <c r="AF98" s="134">
        <f t="shared" si="60"/>
        <v>1.065052175768133</v>
      </c>
      <c r="AG98" s="134">
        <f t="shared" si="60"/>
        <v>0.68481891762351665</v>
      </c>
      <c r="AH98" s="134">
        <f t="shared" si="60"/>
        <v>0.21501707666140879</v>
      </c>
      <c r="AI98" s="134">
        <f t="shared" si="60"/>
        <v>0.754894462899802</v>
      </c>
      <c r="AJ98" s="134">
        <f t="shared" si="60"/>
        <v>1.2577639019127835</v>
      </c>
      <c r="AK98" s="134">
        <f t="shared" si="60"/>
        <v>2.0959415584867029</v>
      </c>
      <c r="AL98" s="134">
        <f t="shared" si="60"/>
        <v>0.2109365862258637</v>
      </c>
      <c r="AM98" s="134">
        <f t="shared" si="60"/>
        <v>3.9620576259280575</v>
      </c>
      <c r="AN98" s="134">
        <f t="shared" si="60"/>
        <v>9.2287644064201813E-2</v>
      </c>
      <c r="AO98" s="134">
        <f t="shared" si="60"/>
        <v>4.2779416042844574</v>
      </c>
      <c r="AP98" s="134">
        <f t="shared" si="60"/>
        <v>4.5467133318750905</v>
      </c>
      <c r="AQ98" s="134" t="e">
        <f t="shared" si="60"/>
        <v>#DIV/0!</v>
      </c>
      <c r="AR98" s="134">
        <f t="shared" si="60"/>
        <v>1.0297336116720337</v>
      </c>
      <c r="AS98" s="134">
        <f t="shared" si="60"/>
        <v>6.4322003514865429</v>
      </c>
      <c r="AT98" s="134" t="e">
        <f t="shared" si="60"/>
        <v>#DIV/0!</v>
      </c>
      <c r="AU98" s="134">
        <f t="shared" si="60"/>
        <v>0.99971178968366614</v>
      </c>
      <c r="AV98" s="134">
        <f t="shared" si="60"/>
        <v>1</v>
      </c>
      <c r="AW98" s="134">
        <f t="shared" si="60"/>
        <v>10.06999867716506</v>
      </c>
      <c r="AX98" s="134">
        <f t="shared" si="60"/>
        <v>0.96535412895908745</v>
      </c>
      <c r="AY98" s="134">
        <f t="shared" si="60"/>
        <v>0.16871143981887438</v>
      </c>
      <c r="AZ98" s="134">
        <f t="shared" si="60"/>
        <v>2.1152765152356792</v>
      </c>
      <c r="BA98" s="134">
        <f t="shared" si="60"/>
        <v>9.5324165566569363E-2</v>
      </c>
      <c r="BB98" s="134">
        <f t="shared" si="60"/>
        <v>0.3044549330260844</v>
      </c>
      <c r="BC98" s="134">
        <f t="shared" si="60"/>
        <v>5.8578454042367083</v>
      </c>
      <c r="BD98" s="134">
        <f t="shared" si="60"/>
        <v>6.558623863493743</v>
      </c>
      <c r="BE98" s="134">
        <f t="shared" si="60"/>
        <v>0.68170745938949662</v>
      </c>
      <c r="BF98" s="134">
        <f t="shared" si="60"/>
        <v>89.158144033832585</v>
      </c>
      <c r="BG98" s="129"/>
      <c r="BH98" s="129"/>
      <c r="BI98" s="129"/>
      <c r="BJ98" s="129"/>
      <c r="BK98" s="129"/>
      <c r="BL98" s="129"/>
      <c r="BM98" s="129"/>
      <c r="BN98" s="130"/>
      <c r="BO98" s="130"/>
      <c r="BP98" s="129"/>
      <c r="BQ98" s="129"/>
      <c r="BR98" s="129"/>
      <c r="BS98" s="129"/>
    </row>
    <row r="99" spans="1:71" s="87" customFormat="1" x14ac:dyDescent="0.25">
      <c r="A99" s="87" t="s">
        <v>377</v>
      </c>
      <c r="E99" s="70"/>
      <c r="G99" s="71"/>
      <c r="H99" s="72"/>
      <c r="I99" s="72"/>
      <c r="J99" s="72"/>
      <c r="K99" s="72"/>
      <c r="L99" s="134">
        <f>1.96*(L$94/SQRT(15))</f>
        <v>0.38600161749805062</v>
      </c>
      <c r="M99" s="134">
        <f t="shared" ref="M99:BF99" si="61">1.96*(M$94/SQRT(15))</f>
        <v>0.1656355088070724</v>
      </c>
      <c r="N99" s="134">
        <f t="shared" si="61"/>
        <v>4.0461480172848029E-2</v>
      </c>
      <c r="O99" s="134">
        <f t="shared" si="61"/>
        <v>3.0509437519852398E-2</v>
      </c>
      <c r="P99" s="134">
        <f t="shared" si="61"/>
        <v>3.9283671386554919E-3</v>
      </c>
      <c r="Q99" s="134">
        <f t="shared" si="61"/>
        <v>3.2640522871628948E-2</v>
      </c>
      <c r="R99" s="134">
        <f t="shared" si="61"/>
        <v>0.11580782548880041</v>
      </c>
      <c r="S99" s="134" t="e">
        <f t="shared" si="61"/>
        <v>#VALUE!</v>
      </c>
      <c r="T99" s="134">
        <f t="shared" si="61"/>
        <v>7.6191104759311826E-3</v>
      </c>
      <c r="U99" s="134">
        <f t="shared" si="61"/>
        <v>0</v>
      </c>
      <c r="V99" s="134">
        <f t="shared" si="61"/>
        <v>3.2705843174848398E-2</v>
      </c>
      <c r="W99" s="134">
        <f t="shared" si="61"/>
        <v>0</v>
      </c>
      <c r="X99" s="134" t="e">
        <f t="shared" si="61"/>
        <v>#VALUE!</v>
      </c>
      <c r="Y99" s="134">
        <f t="shared" si="61"/>
        <v>6.5701893766043365E-2</v>
      </c>
      <c r="Z99" s="134">
        <f t="shared" si="61"/>
        <v>6.6477548497403005E-2</v>
      </c>
      <c r="AA99" s="134">
        <f t="shared" si="61"/>
        <v>0.23139597730768782</v>
      </c>
      <c r="AB99" s="134">
        <f t="shared" si="61"/>
        <v>6.0990987458075407</v>
      </c>
      <c r="AC99" s="134">
        <f t="shared" si="61"/>
        <v>1.2748062406150646</v>
      </c>
      <c r="AD99" s="134">
        <f t="shared" si="61"/>
        <v>0</v>
      </c>
      <c r="AE99" s="134">
        <f t="shared" si="61"/>
        <v>8.5502521671125039E-3</v>
      </c>
      <c r="AF99" s="134">
        <f t="shared" si="61"/>
        <v>0.23505217576813298</v>
      </c>
      <c r="AG99" s="134">
        <f t="shared" si="61"/>
        <v>0.13815225095684996</v>
      </c>
      <c r="AH99" s="134">
        <f t="shared" si="61"/>
        <v>4.7683743328075429E-2</v>
      </c>
      <c r="AI99" s="134">
        <f t="shared" si="61"/>
        <v>0.1834658914712306</v>
      </c>
      <c r="AJ99" s="134">
        <f t="shared" si="61"/>
        <v>0.31109723524611671</v>
      </c>
      <c r="AK99" s="134">
        <f t="shared" si="61"/>
        <v>0.52927489182003629</v>
      </c>
      <c r="AL99" s="134">
        <f t="shared" si="61"/>
        <v>4.4269919559197055E-2</v>
      </c>
      <c r="AM99" s="134">
        <f t="shared" si="61"/>
        <v>0.63539095926139044</v>
      </c>
      <c r="AN99" s="134">
        <f t="shared" si="61"/>
        <v>1.7620977397535143E-2</v>
      </c>
      <c r="AO99" s="134">
        <f t="shared" si="61"/>
        <v>0.97127493761779204</v>
      </c>
      <c r="AP99" s="134">
        <f t="shared" si="61"/>
        <v>0.74671333187509104</v>
      </c>
      <c r="AQ99" s="134" t="e">
        <f t="shared" si="61"/>
        <v>#VALUE!</v>
      </c>
      <c r="AR99" s="134">
        <f t="shared" si="61"/>
        <v>0.1584002783387003</v>
      </c>
      <c r="AS99" s="134">
        <f t="shared" si="61"/>
        <v>1.6122003514865444</v>
      </c>
      <c r="AT99" s="134" t="e">
        <f t="shared" si="61"/>
        <v>#VALUE!</v>
      </c>
      <c r="AU99" s="134">
        <f t="shared" si="61"/>
        <v>0.18704512301699935</v>
      </c>
      <c r="AV99" s="134">
        <f t="shared" si="61"/>
        <v>0</v>
      </c>
      <c r="AW99" s="134">
        <f t="shared" si="61"/>
        <v>2.9633320104983927</v>
      </c>
      <c r="AX99" s="134">
        <f t="shared" si="61"/>
        <v>0.21202079562575404</v>
      </c>
      <c r="AY99" s="134">
        <f t="shared" si="61"/>
        <v>3.7378106485541004E-2</v>
      </c>
      <c r="AZ99" s="134">
        <f t="shared" si="61"/>
        <v>0.59994318190234563</v>
      </c>
      <c r="BA99" s="134">
        <f t="shared" si="61"/>
        <v>1.7990832233236029E-2</v>
      </c>
      <c r="BB99" s="134">
        <f t="shared" si="61"/>
        <v>5.045493302608435E-2</v>
      </c>
      <c r="BC99" s="134">
        <f t="shared" si="61"/>
        <v>0.35784540423670858</v>
      </c>
      <c r="BD99" s="134">
        <f t="shared" si="61"/>
        <v>1.4652905301604098</v>
      </c>
      <c r="BE99" s="134">
        <f t="shared" si="61"/>
        <v>0.11437412605616323</v>
      </c>
      <c r="BF99" s="134">
        <f t="shared" si="61"/>
        <v>24.758144033832583</v>
      </c>
      <c r="BG99" s="129"/>
      <c r="BH99" s="129"/>
      <c r="BI99" s="129"/>
      <c r="BJ99" s="129"/>
      <c r="BK99" s="129"/>
      <c r="BL99" s="129"/>
      <c r="BM99" s="129"/>
      <c r="BN99" s="130"/>
      <c r="BO99" s="130"/>
      <c r="BP99" s="129"/>
      <c r="BQ99" s="129"/>
      <c r="BR99" s="129"/>
      <c r="BS99" s="129"/>
    </row>
    <row r="100" spans="1:71" s="87" customFormat="1" x14ac:dyDescent="0.25">
      <c r="A100" s="87" t="s">
        <v>376</v>
      </c>
      <c r="E100" s="70"/>
      <c r="G100" s="71"/>
      <c r="H100" s="72"/>
      <c r="I100" s="72"/>
      <c r="J100" s="72"/>
      <c r="K100" s="72"/>
      <c r="L100" s="134">
        <f>L$90-(2.58*(L$94/SQRT(15)))</f>
        <v>98.022562496694718</v>
      </c>
      <c r="M100" s="134">
        <f t="shared" ref="M100:BF100" si="62">M$90-(2.58*(M$94/SQRT(15)))</f>
        <v>0.36530291867912579</v>
      </c>
      <c r="N100" s="134">
        <f t="shared" si="62"/>
        <v>0.12407281351397219</v>
      </c>
      <c r="O100" s="134">
        <f t="shared" si="62"/>
        <v>-1.6827048708105023E-2</v>
      </c>
      <c r="P100" s="134">
        <f t="shared" si="62"/>
        <v>1.0213601498017852E-2</v>
      </c>
      <c r="Q100" s="134">
        <f t="shared" si="62"/>
        <v>8.5034413771019071E-2</v>
      </c>
      <c r="R100" s="134">
        <f t="shared" si="62"/>
        <v>0.19089242018991243</v>
      </c>
      <c r="S100" s="134" t="e">
        <f t="shared" si="62"/>
        <v>#VALUE!</v>
      </c>
      <c r="T100" s="134">
        <f t="shared" si="62"/>
        <v>1.4637429407532767E-2</v>
      </c>
      <c r="U100" s="134">
        <f t="shared" si="62"/>
        <v>0.01</v>
      </c>
      <c r="V100" s="134">
        <f t="shared" si="62"/>
        <v>-4.7182357437630246E-3</v>
      </c>
      <c r="W100" s="134">
        <f t="shared" si="62"/>
        <v>0.01</v>
      </c>
      <c r="X100" s="134" t="e">
        <f t="shared" si="62"/>
        <v>#VALUE!</v>
      </c>
      <c r="Y100" s="134">
        <f t="shared" si="62"/>
        <v>0.18818152079095651</v>
      </c>
      <c r="Z100" s="134">
        <f t="shared" si="62"/>
        <v>0.20628040795657709</v>
      </c>
      <c r="AA100" s="134">
        <f t="shared" si="62"/>
        <v>99.820583242243245</v>
      </c>
      <c r="AB100" s="134">
        <f t="shared" si="62"/>
        <v>16.304927841403</v>
      </c>
      <c r="AC100" s="134">
        <f t="shared" si="62"/>
        <v>4.6086053907549989</v>
      </c>
      <c r="AD100" s="134">
        <f t="shared" si="62"/>
        <v>10</v>
      </c>
      <c r="AE100" s="134">
        <f t="shared" si="62"/>
        <v>1.2381439865368606E-2</v>
      </c>
      <c r="AF100" s="134">
        <f t="shared" si="62"/>
        <v>0.52059458495827404</v>
      </c>
      <c r="AG100" s="134">
        <f t="shared" si="62"/>
        <v>0.36481319346836411</v>
      </c>
      <c r="AH100" s="134">
        <f t="shared" si="62"/>
        <v>0.10456595691168305</v>
      </c>
      <c r="AI100" s="134">
        <f t="shared" si="62"/>
        <v>0.32992755102256377</v>
      </c>
      <c r="AJ100" s="134">
        <f t="shared" si="62"/>
        <v>0.53716112231208446</v>
      </c>
      <c r="AK100" s="134">
        <f t="shared" si="62"/>
        <v>0.86996808457702701</v>
      </c>
      <c r="AL100" s="134">
        <f t="shared" si="62"/>
        <v>0.10839299704282562</v>
      </c>
      <c r="AM100" s="134">
        <f t="shared" si="62"/>
        <v>2.4902846896797346</v>
      </c>
      <c r="AN100" s="134">
        <f t="shared" si="62"/>
        <v>5.1471706622972457E-2</v>
      </c>
      <c r="AO100" s="134">
        <f t="shared" si="62"/>
        <v>2.0281516977616132</v>
      </c>
      <c r="AP100" s="134">
        <f t="shared" si="62"/>
        <v>2.8170814304909513</v>
      </c>
      <c r="AQ100" s="134" t="e">
        <f t="shared" si="62"/>
        <v>#DIV/0!</v>
      </c>
      <c r="AR100" s="134">
        <f t="shared" si="62"/>
        <v>0.66282684449973805</v>
      </c>
      <c r="AS100" s="134">
        <f t="shared" si="62"/>
        <v>2.6978179046758739</v>
      </c>
      <c r="AT100" s="134" t="e">
        <f t="shared" si="62"/>
        <v>#DIV/0!</v>
      </c>
      <c r="AU100" s="134">
        <f t="shared" si="62"/>
        <v>0.56645420881775943</v>
      </c>
      <c r="AV100" s="134">
        <f t="shared" si="62"/>
        <v>1</v>
      </c>
      <c r="AW100" s="134">
        <f t="shared" si="62"/>
        <v>3.2059541222351084</v>
      </c>
      <c r="AX100" s="134">
        <f t="shared" si="62"/>
        <v>0.47424473500963676</v>
      </c>
      <c r="AY100" s="134">
        <f t="shared" si="62"/>
        <v>8.2131540102366146E-2</v>
      </c>
      <c r="AZ100" s="134">
        <f t="shared" si="62"/>
        <v>0.72561220613534805</v>
      </c>
      <c r="BA100" s="134">
        <f t="shared" si="62"/>
        <v>5.3651523556930814E-2</v>
      </c>
      <c r="BB100" s="134">
        <f t="shared" si="62"/>
        <v>0.18758483305750129</v>
      </c>
      <c r="BC100" s="134">
        <f t="shared" si="62"/>
        <v>5.0289586005455575</v>
      </c>
      <c r="BD100" s="134">
        <f t="shared" si="62"/>
        <v>3.1645325334283045</v>
      </c>
      <c r="BE100" s="134">
        <f t="shared" si="62"/>
        <v>0.41677963679001639</v>
      </c>
      <c r="BF100" s="134">
        <f t="shared" si="62"/>
        <v>31.810198159546907</v>
      </c>
      <c r="BG100" s="129"/>
      <c r="BH100" s="129"/>
      <c r="BI100" s="129"/>
      <c r="BJ100" s="129"/>
      <c r="BK100" s="129"/>
      <c r="BL100" s="129"/>
      <c r="BM100" s="129"/>
      <c r="BN100" s="130"/>
      <c r="BO100" s="130"/>
      <c r="BP100" s="129"/>
      <c r="BQ100" s="129"/>
      <c r="BR100" s="129"/>
      <c r="BS100" s="129"/>
    </row>
    <row r="101" spans="1:71" s="87" customFormat="1" x14ac:dyDescent="0.25">
      <c r="A101" s="87" t="s">
        <v>375</v>
      </c>
      <c r="E101" s="70"/>
      <c r="G101" s="71"/>
      <c r="H101" s="72"/>
      <c r="I101" s="72"/>
      <c r="J101" s="72"/>
      <c r="K101" s="72"/>
      <c r="L101" s="134">
        <f>L$90+(2.58*(L$94/SQRT(15)))</f>
        <v>99.038770836638577</v>
      </c>
      <c r="M101" s="134">
        <f t="shared" ref="M101:BF101" si="63">M$90+(2.58*(M$94/SQRT(15)))</f>
        <v>0.80136374798754095</v>
      </c>
      <c r="N101" s="134">
        <f t="shared" si="63"/>
        <v>0.23059385315269454</v>
      </c>
      <c r="O101" s="134">
        <f t="shared" si="63"/>
        <v>6.3493715374771692E-2</v>
      </c>
      <c r="P101" s="134">
        <f t="shared" si="63"/>
        <v>2.0555629271212923E-2</v>
      </c>
      <c r="Q101" s="134">
        <f t="shared" si="63"/>
        <v>0.170965586228981</v>
      </c>
      <c r="R101" s="134">
        <f t="shared" si="63"/>
        <v>0.49577424647675433</v>
      </c>
      <c r="S101" s="134" t="e">
        <f t="shared" si="63"/>
        <v>#VALUE!</v>
      </c>
      <c r="T101" s="134">
        <f t="shared" si="63"/>
        <v>3.4695903925800575E-2</v>
      </c>
      <c r="U101" s="134">
        <f t="shared" si="63"/>
        <v>0.01</v>
      </c>
      <c r="V101" s="134">
        <f t="shared" si="63"/>
        <v>8.1384902410429699E-2</v>
      </c>
      <c r="W101" s="134">
        <f t="shared" si="63"/>
        <v>0.01</v>
      </c>
      <c r="X101" s="134" t="e">
        <f t="shared" si="63"/>
        <v>#VALUE!</v>
      </c>
      <c r="Y101" s="134">
        <f t="shared" si="63"/>
        <v>0.36115181254237683</v>
      </c>
      <c r="Z101" s="134">
        <f t="shared" si="63"/>
        <v>0.3812927295109646</v>
      </c>
      <c r="AA101" s="134">
        <f t="shared" si="63"/>
        <v>100.42976857025737</v>
      </c>
      <c r="AB101" s="134">
        <f t="shared" si="63"/>
        <v>32.361738825263664</v>
      </c>
      <c r="AC101" s="134">
        <f t="shared" si="63"/>
        <v>7.9647279425783317</v>
      </c>
      <c r="AD101" s="134">
        <f t="shared" si="63"/>
        <v>10</v>
      </c>
      <c r="AE101" s="134">
        <f t="shared" si="63"/>
        <v>3.4891287407358668E-2</v>
      </c>
      <c r="AF101" s="134">
        <f t="shared" si="63"/>
        <v>1.1394054150417261</v>
      </c>
      <c r="AG101" s="134">
        <f t="shared" si="63"/>
        <v>0.72852013986496922</v>
      </c>
      <c r="AH101" s="134">
        <f t="shared" si="63"/>
        <v>0.23010070975498367</v>
      </c>
      <c r="AI101" s="134">
        <f t="shared" si="63"/>
        <v>0.81292959183457902</v>
      </c>
      <c r="AJ101" s="134">
        <f t="shared" si="63"/>
        <v>1.3561722110212491</v>
      </c>
      <c r="AK101" s="134">
        <f t="shared" si="63"/>
        <v>2.2633652487563065</v>
      </c>
      <c r="AL101" s="134">
        <f t="shared" si="63"/>
        <v>0.22494033629050769</v>
      </c>
      <c r="AM101" s="134">
        <f t="shared" si="63"/>
        <v>4.1630486436535996</v>
      </c>
      <c r="AN101" s="134">
        <f t="shared" si="63"/>
        <v>9.7861626710360888E-2</v>
      </c>
      <c r="AO101" s="134">
        <f t="shared" si="63"/>
        <v>4.5851816355717183</v>
      </c>
      <c r="AP101" s="134">
        <f t="shared" si="63"/>
        <v>4.7829185695090484</v>
      </c>
      <c r="AQ101" s="134" t="e">
        <f t="shared" si="63"/>
        <v>#DIV/0!</v>
      </c>
      <c r="AR101" s="134">
        <f t="shared" si="63"/>
        <v>1.0798398221669288</v>
      </c>
      <c r="AS101" s="134">
        <f t="shared" si="63"/>
        <v>6.9421820953241227</v>
      </c>
      <c r="AT101" s="134" t="e">
        <f t="shared" si="63"/>
        <v>#DIV/0!</v>
      </c>
      <c r="AU101" s="134">
        <f t="shared" si="63"/>
        <v>1.058879124515574</v>
      </c>
      <c r="AV101" s="134">
        <f t="shared" si="63"/>
        <v>1</v>
      </c>
      <c r="AW101" s="134">
        <f t="shared" si="63"/>
        <v>11.007379211098225</v>
      </c>
      <c r="AX101" s="134">
        <f t="shared" si="63"/>
        <v>1.03242193165703</v>
      </c>
      <c r="AY101" s="134">
        <f t="shared" si="63"/>
        <v>0.18053512656430062</v>
      </c>
      <c r="AZ101" s="134">
        <f t="shared" si="63"/>
        <v>2.305054460531319</v>
      </c>
      <c r="BA101" s="134">
        <f t="shared" si="63"/>
        <v>0.10101514310973586</v>
      </c>
      <c r="BB101" s="134">
        <f t="shared" si="63"/>
        <v>0.32041516694249883</v>
      </c>
      <c r="BC101" s="134">
        <f t="shared" si="63"/>
        <v>5.9710413994544425</v>
      </c>
      <c r="BD101" s="134">
        <f t="shared" si="63"/>
        <v>7.0221341332383629</v>
      </c>
      <c r="BE101" s="134">
        <f t="shared" si="63"/>
        <v>0.71788702987665032</v>
      </c>
      <c r="BF101" s="134">
        <f t="shared" si="63"/>
        <v>96.989801840453111</v>
      </c>
      <c r="BG101" s="129"/>
      <c r="BH101" s="129"/>
      <c r="BI101" s="129"/>
      <c r="BJ101" s="129"/>
      <c r="BK101" s="129"/>
      <c r="BL101" s="129"/>
      <c r="BM101" s="129"/>
      <c r="BN101" s="130"/>
      <c r="BO101" s="130"/>
      <c r="BP101" s="129"/>
      <c r="BQ101" s="129"/>
      <c r="BR101" s="129"/>
      <c r="BS101" s="129"/>
    </row>
    <row r="102" spans="1:71" s="87" customFormat="1" x14ac:dyDescent="0.25">
      <c r="A102" s="87" t="s">
        <v>378</v>
      </c>
      <c r="E102" s="70"/>
      <c r="G102" s="71"/>
      <c r="H102" s="72"/>
      <c r="I102" s="72"/>
      <c r="J102" s="72"/>
      <c r="K102" s="72"/>
      <c r="L102" s="134">
        <f>2.58*(L$94/SQRT(15))</f>
        <v>0.50810416997192387</v>
      </c>
      <c r="M102" s="134">
        <f t="shared" ref="M102:BF102" si="64">2.58*(M$94/SQRT(15))</f>
        <v>0.21803041465420758</v>
      </c>
      <c r="N102" s="134">
        <f t="shared" si="64"/>
        <v>5.3260519819361182E-2</v>
      </c>
      <c r="O102" s="134">
        <f t="shared" si="64"/>
        <v>4.0160382041438361E-2</v>
      </c>
      <c r="P102" s="134">
        <f t="shared" si="64"/>
        <v>5.1710138865975362E-3</v>
      </c>
      <c r="Q102" s="134">
        <f t="shared" si="64"/>
        <v>4.2965586228980959E-2</v>
      </c>
      <c r="R102" s="134">
        <f t="shared" si="64"/>
        <v>0.15244091314342095</v>
      </c>
      <c r="S102" s="134" t="e">
        <f t="shared" si="64"/>
        <v>#VALUE!</v>
      </c>
      <c r="T102" s="134">
        <f t="shared" si="64"/>
        <v>1.0029237259133903E-2</v>
      </c>
      <c r="U102" s="134">
        <f t="shared" si="64"/>
        <v>0</v>
      </c>
      <c r="V102" s="134">
        <f t="shared" si="64"/>
        <v>4.3051569077096362E-2</v>
      </c>
      <c r="W102" s="134">
        <f t="shared" si="64"/>
        <v>0</v>
      </c>
      <c r="X102" s="134" t="e">
        <f t="shared" si="64"/>
        <v>#VALUE!</v>
      </c>
      <c r="Y102" s="134">
        <f t="shared" si="64"/>
        <v>8.6485145875710157E-2</v>
      </c>
      <c r="Z102" s="134">
        <f t="shared" si="64"/>
        <v>8.7506160777193753E-2</v>
      </c>
      <c r="AA102" s="134">
        <f t="shared" si="64"/>
        <v>0.30459266400705848</v>
      </c>
      <c r="AB102" s="134">
        <f t="shared" si="64"/>
        <v>8.028405491930334</v>
      </c>
      <c r="AC102" s="134">
        <f t="shared" si="64"/>
        <v>1.6780612759116666</v>
      </c>
      <c r="AD102" s="134">
        <f t="shared" si="64"/>
        <v>0</v>
      </c>
      <c r="AE102" s="134">
        <f t="shared" si="64"/>
        <v>1.125492377099503E-2</v>
      </c>
      <c r="AF102" s="134">
        <f t="shared" si="64"/>
        <v>0.30940541504172608</v>
      </c>
      <c r="AG102" s="134">
        <f t="shared" si="64"/>
        <v>0.18185347319830253</v>
      </c>
      <c r="AH102" s="134">
        <f t="shared" si="64"/>
        <v>6.2767376421650312E-2</v>
      </c>
      <c r="AI102" s="134">
        <f t="shared" si="64"/>
        <v>0.24150102040600763</v>
      </c>
      <c r="AJ102" s="134">
        <f t="shared" si="64"/>
        <v>0.40950554435458225</v>
      </c>
      <c r="AK102" s="134">
        <f t="shared" si="64"/>
        <v>0.69669858208963964</v>
      </c>
      <c r="AL102" s="134">
        <f t="shared" si="64"/>
        <v>5.8273669623841028E-2</v>
      </c>
      <c r="AM102" s="134">
        <f t="shared" si="64"/>
        <v>0.8363819769869324</v>
      </c>
      <c r="AN102" s="134">
        <f t="shared" si="64"/>
        <v>2.3194960043694219E-2</v>
      </c>
      <c r="AO102" s="134">
        <f t="shared" si="64"/>
        <v>1.2785149689050528</v>
      </c>
      <c r="AP102" s="134">
        <f t="shared" si="64"/>
        <v>0.98291856950904855</v>
      </c>
      <c r="AQ102" s="134" t="e">
        <f t="shared" si="64"/>
        <v>#VALUE!</v>
      </c>
      <c r="AR102" s="134">
        <f t="shared" si="64"/>
        <v>0.20850648883359529</v>
      </c>
      <c r="AS102" s="134">
        <f t="shared" si="64"/>
        <v>2.1221820953241246</v>
      </c>
      <c r="AT102" s="134" t="e">
        <f t="shared" si="64"/>
        <v>#VALUE!</v>
      </c>
      <c r="AU102" s="134">
        <f t="shared" si="64"/>
        <v>0.24621245784890733</v>
      </c>
      <c r="AV102" s="134">
        <f t="shared" si="64"/>
        <v>0</v>
      </c>
      <c r="AW102" s="134">
        <f t="shared" si="64"/>
        <v>3.900712544431558</v>
      </c>
      <c r="AX102" s="134">
        <f t="shared" si="64"/>
        <v>0.27908859832369665</v>
      </c>
      <c r="AY102" s="134">
        <f t="shared" si="64"/>
        <v>4.9201793230967246E-2</v>
      </c>
      <c r="AZ102" s="134">
        <f t="shared" si="64"/>
        <v>0.7897211271979856</v>
      </c>
      <c r="BA102" s="134">
        <f t="shared" si="64"/>
        <v>2.3681809776402527E-2</v>
      </c>
      <c r="BB102" s="134">
        <f t="shared" si="64"/>
        <v>6.6415166942498785E-2</v>
      </c>
      <c r="BC102" s="134">
        <f t="shared" si="64"/>
        <v>0.4710413994544429</v>
      </c>
      <c r="BD102" s="134">
        <f t="shared" si="64"/>
        <v>1.9288007999050292</v>
      </c>
      <c r="BE102" s="134">
        <f t="shared" si="64"/>
        <v>0.15055369654331693</v>
      </c>
      <c r="BF102" s="134">
        <f t="shared" si="64"/>
        <v>32.589801840453099</v>
      </c>
      <c r="BG102" s="129"/>
      <c r="BH102" s="129"/>
      <c r="BI102" s="129"/>
      <c r="BJ102" s="129"/>
      <c r="BK102" s="129"/>
      <c r="BL102" s="129"/>
      <c r="BM102" s="129"/>
      <c r="BN102" s="130"/>
      <c r="BO102" s="130"/>
      <c r="BP102" s="129"/>
      <c r="BQ102" s="129"/>
      <c r="BR102" s="129"/>
      <c r="BS102" s="129"/>
    </row>
    <row r="103" spans="1:71" ht="15.75" thickBot="1" x14ac:dyDescent="0.3">
      <c r="Z103" s="55"/>
      <c r="AA103" s="55"/>
      <c r="BG103" s="64"/>
      <c r="BH103" s="64"/>
      <c r="BI103" s="64"/>
      <c r="BJ103" s="64"/>
      <c r="BK103" s="64"/>
      <c r="BL103" s="64"/>
      <c r="BM103" s="64"/>
      <c r="BP103" s="64"/>
      <c r="BQ103" s="64"/>
      <c r="BR103" s="64"/>
      <c r="BS103" s="64"/>
    </row>
    <row r="104" spans="1:71" s="142" customFormat="1" x14ac:dyDescent="0.25">
      <c r="A104" s="148" t="s">
        <v>380</v>
      </c>
      <c r="E104" s="143"/>
      <c r="G104" s="144"/>
      <c r="H104" s="145"/>
      <c r="I104" s="145"/>
      <c r="J104" s="145"/>
      <c r="K104" s="145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49"/>
      <c r="Y104" s="149"/>
      <c r="Z104" s="146"/>
      <c r="AA104" s="146"/>
      <c r="AB104" s="149"/>
      <c r="AC104" s="149"/>
      <c r="AD104" s="149"/>
      <c r="AE104" s="149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7"/>
      <c r="BH104" s="147"/>
      <c r="BI104" s="147"/>
      <c r="BJ104" s="147"/>
      <c r="BK104" s="147"/>
      <c r="BL104" s="147"/>
      <c r="BM104" s="147"/>
      <c r="BN104" s="150"/>
      <c r="BO104" s="150"/>
      <c r="BP104" s="147"/>
      <c r="BQ104" s="147"/>
      <c r="BR104" s="147"/>
      <c r="BS104" s="147"/>
    </row>
    <row r="105" spans="1:71" s="13" customFormat="1" x14ac:dyDescent="0.25">
      <c r="A105" s="13" t="s">
        <v>381</v>
      </c>
      <c r="E105" s="78"/>
      <c r="G105" s="69"/>
      <c r="H105" s="84"/>
      <c r="I105" s="84"/>
      <c r="J105" s="84"/>
      <c r="K105" s="84"/>
      <c r="L105" s="131">
        <v>61.13</v>
      </c>
      <c r="M105" s="131">
        <v>13.95</v>
      </c>
      <c r="N105" s="131">
        <v>7.47</v>
      </c>
      <c r="O105" s="131">
        <v>6</v>
      </c>
      <c r="P105" s="131">
        <v>2.88</v>
      </c>
      <c r="Q105" s="131">
        <v>4.1100000000000003</v>
      </c>
      <c r="R105" s="131">
        <v>1.29</v>
      </c>
      <c r="S105" s="131">
        <v>0.5</v>
      </c>
      <c r="T105" s="131">
        <v>0.69</v>
      </c>
      <c r="U105" s="131">
        <v>0.13</v>
      </c>
      <c r="V105" s="131">
        <v>0.32</v>
      </c>
      <c r="W105" s="19"/>
      <c r="X105" s="19"/>
      <c r="Y105" s="19"/>
      <c r="Z105" s="85"/>
      <c r="AA105" s="85"/>
      <c r="AB105" s="131">
        <v>486</v>
      </c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31">
        <v>68.5</v>
      </c>
      <c r="AP105" s="19"/>
      <c r="AQ105" s="131">
        <v>470</v>
      </c>
      <c r="AR105" s="19"/>
      <c r="AS105" s="19"/>
      <c r="AT105" s="19">
        <v>27</v>
      </c>
      <c r="AU105" s="19"/>
      <c r="AV105" s="19"/>
      <c r="AW105" s="131">
        <v>317.10000000000002</v>
      </c>
      <c r="AX105" s="19"/>
      <c r="AY105" s="19"/>
      <c r="AZ105" s="19"/>
      <c r="BA105" s="19"/>
      <c r="BB105" s="19"/>
      <c r="BC105" s="19"/>
      <c r="BD105" s="131">
        <v>35.5</v>
      </c>
      <c r="BE105" s="19"/>
      <c r="BF105" s="131">
        <v>112</v>
      </c>
      <c r="BG105" s="66"/>
      <c r="BH105" s="66"/>
      <c r="BI105" s="66"/>
      <c r="BJ105" s="66"/>
      <c r="BK105" s="66"/>
      <c r="BL105" s="66"/>
      <c r="BM105" s="66"/>
      <c r="BN105" s="10"/>
      <c r="BO105" s="10"/>
      <c r="BP105" s="66"/>
      <c r="BQ105" s="66"/>
      <c r="BR105" s="66"/>
      <c r="BS105" s="66"/>
    </row>
    <row r="106" spans="1:71" x14ac:dyDescent="0.25">
      <c r="A106" t="s">
        <v>382</v>
      </c>
      <c r="L106" s="51">
        <v>60.19</v>
      </c>
      <c r="M106" s="51">
        <v>14.04</v>
      </c>
      <c r="N106" s="51">
        <v>7.57</v>
      </c>
      <c r="O106" s="51">
        <v>5.95</v>
      </c>
      <c r="P106" s="51">
        <v>2.95</v>
      </c>
      <c r="Q106" s="51">
        <v>4.07</v>
      </c>
      <c r="R106" s="51">
        <v>1.31</v>
      </c>
      <c r="S106" s="51">
        <v>0.50600000000000001</v>
      </c>
      <c r="T106" s="51">
        <v>0.71</v>
      </c>
      <c r="U106" s="51">
        <v>0.13</v>
      </c>
      <c r="V106" s="51">
        <v>0.32</v>
      </c>
      <c r="Y106" s="51">
        <v>1.9</v>
      </c>
      <c r="Z106" s="55"/>
      <c r="AA106" s="55"/>
      <c r="AB106" s="51">
        <v>466</v>
      </c>
      <c r="AO106" s="51">
        <v>80</v>
      </c>
      <c r="AQ106" s="51">
        <v>476</v>
      </c>
      <c r="AT106" s="51">
        <v>26</v>
      </c>
      <c r="AW106" s="51">
        <v>316</v>
      </c>
      <c r="BD106" s="51">
        <v>35</v>
      </c>
      <c r="BF106" s="51">
        <v>121</v>
      </c>
      <c r="BG106" s="64"/>
      <c r="BH106" s="64"/>
      <c r="BI106" s="64"/>
      <c r="BJ106" s="64"/>
      <c r="BK106" s="64"/>
      <c r="BL106" s="64"/>
      <c r="BM106" s="64"/>
      <c r="BP106" s="64"/>
      <c r="BQ106" s="64"/>
      <c r="BR106" s="64"/>
      <c r="BS106" s="64"/>
    </row>
    <row r="107" spans="1:71" x14ac:dyDescent="0.25">
      <c r="A107" t="s">
        <v>382</v>
      </c>
      <c r="L107" s="51">
        <v>60.36</v>
      </c>
      <c r="M107" s="51">
        <v>14.05</v>
      </c>
      <c r="N107" s="51">
        <v>7.43</v>
      </c>
      <c r="O107" s="51">
        <v>5.95</v>
      </c>
      <c r="P107" s="51">
        <v>2.95</v>
      </c>
      <c r="Q107" s="51">
        <v>4.0599999999999996</v>
      </c>
      <c r="R107" s="51">
        <v>1.31</v>
      </c>
      <c r="S107" s="51">
        <v>0.501</v>
      </c>
      <c r="T107" s="51">
        <v>0.71</v>
      </c>
      <c r="U107" s="51">
        <v>0.13</v>
      </c>
      <c r="V107" s="51">
        <v>0.31</v>
      </c>
      <c r="Y107" s="51">
        <v>1.9</v>
      </c>
      <c r="Z107" s="55"/>
      <c r="AA107" s="55"/>
      <c r="AB107" s="51">
        <v>461</v>
      </c>
      <c r="AO107" s="51">
        <v>74</v>
      </c>
      <c r="AQ107" s="51">
        <v>466</v>
      </c>
      <c r="AT107" s="51">
        <v>26</v>
      </c>
      <c r="AW107" s="51">
        <v>317</v>
      </c>
      <c r="BD107" s="51">
        <v>34</v>
      </c>
      <c r="BF107" s="51">
        <v>123</v>
      </c>
      <c r="BG107" s="64"/>
      <c r="BH107" s="64"/>
      <c r="BI107" s="64"/>
      <c r="BJ107" s="64"/>
      <c r="BK107" s="64"/>
      <c r="BL107" s="64"/>
      <c r="BM107" s="64"/>
      <c r="BP107" s="64"/>
      <c r="BQ107" s="64"/>
      <c r="BR107" s="64"/>
      <c r="BS107" s="64"/>
    </row>
    <row r="108" spans="1:71" x14ac:dyDescent="0.25">
      <c r="A108" t="s">
        <v>382</v>
      </c>
      <c r="L108" s="51">
        <v>60.23</v>
      </c>
      <c r="M108" s="51">
        <v>14.07</v>
      </c>
      <c r="N108" s="51">
        <v>7.57</v>
      </c>
      <c r="O108" s="51">
        <v>5.94</v>
      </c>
      <c r="P108" s="51">
        <v>2.93</v>
      </c>
      <c r="Q108" s="51">
        <v>4.04</v>
      </c>
      <c r="R108" s="51">
        <v>1.3</v>
      </c>
      <c r="S108" s="51">
        <v>0.50700000000000001</v>
      </c>
      <c r="T108" s="51">
        <v>0.71</v>
      </c>
      <c r="U108" s="51">
        <v>0.13</v>
      </c>
      <c r="V108" s="51">
        <v>0.32</v>
      </c>
      <c r="Y108" s="51">
        <v>1.9</v>
      </c>
      <c r="Z108" s="55"/>
      <c r="AA108" s="55"/>
      <c r="AB108" s="51">
        <v>472</v>
      </c>
      <c r="AO108" s="51">
        <v>71</v>
      </c>
      <c r="AQ108" s="51">
        <v>467</v>
      </c>
      <c r="AT108" s="51">
        <v>26</v>
      </c>
      <c r="AW108" s="51">
        <v>314</v>
      </c>
      <c r="BD108" s="51">
        <v>35</v>
      </c>
      <c r="BF108" s="51">
        <v>118</v>
      </c>
      <c r="BG108" s="64"/>
      <c r="BH108" s="64"/>
      <c r="BI108" s="64"/>
      <c r="BJ108" s="64"/>
      <c r="BK108" s="64"/>
      <c r="BL108" s="64"/>
      <c r="BM108" s="64"/>
      <c r="BP108" s="64"/>
      <c r="BQ108" s="64"/>
      <c r="BR108" s="64"/>
      <c r="BS108" s="64"/>
    </row>
    <row r="109" spans="1:71" x14ac:dyDescent="0.25">
      <c r="A109" t="s">
        <v>382</v>
      </c>
      <c r="L109" s="51">
        <v>60.18</v>
      </c>
      <c r="M109" s="51">
        <v>14.13</v>
      </c>
      <c r="N109" s="51">
        <v>7.54</v>
      </c>
      <c r="O109" s="51">
        <v>5.94</v>
      </c>
      <c r="P109" s="51">
        <v>2.94</v>
      </c>
      <c r="Q109" s="51">
        <v>4.05</v>
      </c>
      <c r="R109" s="51">
        <v>1.31</v>
      </c>
      <c r="S109" s="51">
        <v>0.51100000000000001</v>
      </c>
      <c r="T109" s="51">
        <v>0.7</v>
      </c>
      <c r="U109" s="51">
        <v>0.13</v>
      </c>
      <c r="V109" s="51">
        <v>0.33</v>
      </c>
      <c r="Y109" s="51">
        <v>1.9</v>
      </c>
      <c r="Z109" s="55"/>
      <c r="AA109" s="55"/>
      <c r="AB109" s="51">
        <v>473</v>
      </c>
      <c r="AO109" s="51">
        <v>74</v>
      </c>
      <c r="AQ109" s="51">
        <v>476</v>
      </c>
      <c r="AT109" s="51">
        <v>27</v>
      </c>
      <c r="AW109" s="51">
        <v>315</v>
      </c>
      <c r="BD109" s="51">
        <v>35</v>
      </c>
      <c r="BF109" s="51">
        <v>115</v>
      </c>
      <c r="BG109" s="64"/>
      <c r="BH109" s="64"/>
      <c r="BI109" s="64"/>
      <c r="BJ109" s="64"/>
      <c r="BK109" s="64"/>
      <c r="BL109" s="64"/>
      <c r="BM109" s="64"/>
      <c r="BP109" s="64"/>
      <c r="BQ109" s="64"/>
      <c r="BR109" s="64"/>
      <c r="BS109" s="64"/>
    </row>
    <row r="110" spans="1:71" s="13" customFormat="1" x14ac:dyDescent="0.25">
      <c r="A110" s="13" t="s">
        <v>388</v>
      </c>
      <c r="E110" s="78"/>
      <c r="G110" s="69"/>
      <c r="H110" s="84"/>
      <c r="I110" s="84"/>
      <c r="J110" s="84"/>
      <c r="K110" s="84"/>
      <c r="L110" s="132">
        <f>ABS(L105-(AVERAGE(L106:L109)))</f>
        <v>0.89000000000000057</v>
      </c>
      <c r="M110" s="132">
        <f t="shared" ref="M110:BF110" si="65">ABS(M105-(AVERAGE(M106:M109)))</f>
        <v>0.1225000000000005</v>
      </c>
      <c r="N110" s="132">
        <f t="shared" si="65"/>
        <v>5.7500000000000107E-2</v>
      </c>
      <c r="O110" s="132">
        <f t="shared" si="65"/>
        <v>5.4999999999999716E-2</v>
      </c>
      <c r="P110" s="132">
        <f t="shared" si="65"/>
        <v>6.25E-2</v>
      </c>
      <c r="Q110" s="132">
        <f t="shared" si="65"/>
        <v>5.5000000000000604E-2</v>
      </c>
      <c r="R110" s="132">
        <f t="shared" si="65"/>
        <v>1.7500000000000071E-2</v>
      </c>
      <c r="S110" s="132">
        <f t="shared" si="65"/>
        <v>6.2500000000000888E-3</v>
      </c>
      <c r="T110" s="132">
        <f t="shared" si="65"/>
        <v>1.7500000000000071E-2</v>
      </c>
      <c r="U110" s="132">
        <f t="shared" si="65"/>
        <v>0</v>
      </c>
      <c r="V110" s="132">
        <f t="shared" si="65"/>
        <v>0</v>
      </c>
      <c r="W110" s="132"/>
      <c r="X110" s="19"/>
      <c r="Y110" s="19"/>
      <c r="Z110" s="19"/>
      <c r="AA110" s="19"/>
      <c r="AB110" s="19">
        <f t="shared" si="65"/>
        <v>18</v>
      </c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>
        <f t="shared" si="65"/>
        <v>6.25</v>
      </c>
      <c r="AP110" s="19"/>
      <c r="AQ110" s="19">
        <f t="shared" si="65"/>
        <v>1.25</v>
      </c>
      <c r="AR110" s="19"/>
      <c r="AS110" s="19"/>
      <c r="AT110" s="19">
        <f t="shared" si="65"/>
        <v>0.75</v>
      </c>
      <c r="AU110" s="19"/>
      <c r="AV110" s="19"/>
      <c r="AW110" s="19">
        <f t="shared" si="65"/>
        <v>1.6000000000000227</v>
      </c>
      <c r="AX110" s="19"/>
      <c r="AY110" s="19"/>
      <c r="AZ110" s="19"/>
      <c r="BA110" s="19"/>
      <c r="BB110" s="19"/>
      <c r="BC110" s="19"/>
      <c r="BD110" s="19">
        <f t="shared" si="65"/>
        <v>0.75</v>
      </c>
      <c r="BE110" s="19"/>
      <c r="BF110" s="19">
        <f t="shared" si="65"/>
        <v>7.25</v>
      </c>
      <c r="BG110" s="66"/>
      <c r="BH110" s="66"/>
      <c r="BI110" s="66"/>
      <c r="BJ110" s="66"/>
      <c r="BK110" s="66"/>
      <c r="BL110" s="66"/>
      <c r="BM110" s="66"/>
      <c r="BN110" s="10"/>
      <c r="BO110" s="10"/>
      <c r="BP110" s="66"/>
      <c r="BQ110" s="66"/>
      <c r="BR110" s="66"/>
      <c r="BS110" s="66"/>
    </row>
    <row r="111" spans="1:71" s="13" customFormat="1" x14ac:dyDescent="0.25">
      <c r="A111" s="13" t="s">
        <v>389</v>
      </c>
      <c r="E111" s="78"/>
      <c r="G111" s="69"/>
      <c r="H111" s="84"/>
      <c r="I111" s="84"/>
      <c r="J111" s="84"/>
      <c r="K111" s="84"/>
      <c r="L111" s="135">
        <f>L110/L105</f>
        <v>1.4559136266972035E-2</v>
      </c>
      <c r="M111" s="135">
        <f t="shared" ref="M111:BF111" si="66">M110/M105</f>
        <v>8.7813620071684941E-3</v>
      </c>
      <c r="N111" s="135">
        <f t="shared" si="66"/>
        <v>7.6974564926372297E-3</v>
      </c>
      <c r="O111" s="135">
        <f t="shared" si="66"/>
        <v>9.1666666666666199E-3</v>
      </c>
      <c r="P111" s="135">
        <f t="shared" si="66"/>
        <v>2.1701388888888888E-2</v>
      </c>
      <c r="Q111" s="135">
        <f t="shared" si="66"/>
        <v>1.3381995133820098E-2</v>
      </c>
      <c r="R111" s="135">
        <f t="shared" si="66"/>
        <v>1.3565891472868272E-2</v>
      </c>
      <c r="S111" s="135">
        <f t="shared" si="66"/>
        <v>1.2500000000000178E-2</v>
      </c>
      <c r="T111" s="135">
        <f t="shared" si="66"/>
        <v>2.5362318840579816E-2</v>
      </c>
      <c r="U111" s="135">
        <f t="shared" si="66"/>
        <v>0</v>
      </c>
      <c r="V111" s="135">
        <f t="shared" si="66"/>
        <v>0</v>
      </c>
      <c r="W111" s="135"/>
      <c r="X111" s="135"/>
      <c r="Y111" s="135"/>
      <c r="Z111" s="135"/>
      <c r="AA111" s="135"/>
      <c r="AB111" s="135">
        <f t="shared" si="66"/>
        <v>3.7037037037037035E-2</v>
      </c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>
        <f t="shared" si="66"/>
        <v>9.1240875912408759E-2</v>
      </c>
      <c r="AP111" s="135"/>
      <c r="AQ111" s="135">
        <f t="shared" si="66"/>
        <v>2.6595744680851063E-3</v>
      </c>
      <c r="AR111" s="135"/>
      <c r="AS111" s="135"/>
      <c r="AT111" s="135">
        <f t="shared" si="66"/>
        <v>2.7777777777777776E-2</v>
      </c>
      <c r="AU111" s="135"/>
      <c r="AV111" s="135"/>
      <c r="AW111" s="135">
        <f t="shared" si="66"/>
        <v>5.0457269000316069E-3</v>
      </c>
      <c r="AX111" s="135"/>
      <c r="AY111" s="135"/>
      <c r="AZ111" s="135"/>
      <c r="BA111" s="135"/>
      <c r="BB111" s="135"/>
      <c r="BC111" s="135"/>
      <c r="BD111" s="135">
        <f t="shared" si="66"/>
        <v>2.1126760563380281E-2</v>
      </c>
      <c r="BE111" s="135"/>
      <c r="BF111" s="135">
        <f t="shared" si="66"/>
        <v>6.4732142857142863E-2</v>
      </c>
      <c r="BG111" s="66"/>
      <c r="BH111" s="66"/>
      <c r="BI111" s="66"/>
      <c r="BJ111" s="66"/>
      <c r="BK111" s="66"/>
      <c r="BL111" s="66"/>
      <c r="BM111" s="66"/>
      <c r="BN111" s="10"/>
      <c r="BO111" s="10"/>
      <c r="BP111" s="66"/>
      <c r="BQ111" s="66"/>
      <c r="BR111" s="66"/>
      <c r="BS111" s="66"/>
    </row>
    <row r="112" spans="1:71" s="13" customFormat="1" x14ac:dyDescent="0.25">
      <c r="A112" s="13" t="s">
        <v>390</v>
      </c>
      <c r="E112" s="78"/>
      <c r="G112" s="69"/>
      <c r="H112" s="84"/>
      <c r="I112" s="84"/>
      <c r="J112" s="84"/>
      <c r="K112" s="84"/>
      <c r="L112" s="135">
        <f>STDEV(L106:L109)/AVERAGE(L106:L109)</f>
        <v>1.3755868630650852E-3</v>
      </c>
      <c r="M112" s="135">
        <f t="shared" ref="M112:BF112" si="67">STDEV(M106:M109)/AVERAGE(M106:M109)</f>
        <v>2.864543524000228E-3</v>
      </c>
      <c r="N112" s="135">
        <f t="shared" si="67"/>
        <v>8.8370207211226331E-3</v>
      </c>
      <c r="O112" s="135">
        <f t="shared" si="67"/>
        <v>9.7115268156368958E-4</v>
      </c>
      <c r="P112" s="135">
        <f t="shared" si="67"/>
        <v>3.2537879617887543E-3</v>
      </c>
      <c r="Q112" s="135">
        <f t="shared" si="67"/>
        <v>3.1837101078565047E-3</v>
      </c>
      <c r="R112" s="135">
        <f t="shared" si="67"/>
        <v>3.8240917782026798E-3</v>
      </c>
      <c r="S112" s="135">
        <f t="shared" si="67"/>
        <v>8.1244198711131355E-3</v>
      </c>
      <c r="T112" s="135">
        <f t="shared" si="67"/>
        <v>7.0671378091872851E-3</v>
      </c>
      <c r="U112" s="135">
        <f t="shared" si="67"/>
        <v>0</v>
      </c>
      <c r="V112" s="135">
        <f t="shared" si="67"/>
        <v>2.5515518153991463E-2</v>
      </c>
      <c r="W112" s="135"/>
      <c r="X112" s="135"/>
      <c r="Y112" s="135"/>
      <c r="Z112" s="135"/>
      <c r="AA112" s="135"/>
      <c r="AB112" s="135">
        <f t="shared" si="67"/>
        <v>1.1960723378736941E-2</v>
      </c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>
        <f t="shared" si="67"/>
        <v>5.0500564784419728E-2</v>
      </c>
      <c r="AP112" s="135"/>
      <c r="AQ112" s="135">
        <f t="shared" si="67"/>
        <v>1.1671087533156498E-2</v>
      </c>
      <c r="AR112" s="135"/>
      <c r="AS112" s="135"/>
      <c r="AT112" s="135">
        <f t="shared" ref="AT112" si="68">STDEV(AT106:AT109)/AVERAGE(AT106:AT109)</f>
        <v>1.9047619047619049E-2</v>
      </c>
      <c r="AU112" s="135"/>
      <c r="AV112" s="135"/>
      <c r="AW112" s="135">
        <f t="shared" si="67"/>
        <v>4.0918999959930445E-3</v>
      </c>
      <c r="AX112" s="135"/>
      <c r="AY112" s="135"/>
      <c r="AZ112" s="135"/>
      <c r="BA112" s="135"/>
      <c r="BB112" s="135"/>
      <c r="BC112" s="135"/>
      <c r="BD112" s="135">
        <f t="shared" si="67"/>
        <v>1.4388489208633094E-2</v>
      </c>
      <c r="BE112" s="135"/>
      <c r="BF112" s="135">
        <f t="shared" si="67"/>
        <v>2.9350104821802937E-2</v>
      </c>
      <c r="BG112" s="66"/>
      <c r="BH112" s="66"/>
      <c r="BI112" s="66"/>
      <c r="BJ112" s="66"/>
      <c r="BK112" s="66"/>
      <c r="BL112" s="66"/>
      <c r="BM112" s="66"/>
      <c r="BN112" s="10"/>
      <c r="BO112" s="10"/>
      <c r="BP112" s="66"/>
      <c r="BQ112" s="66"/>
      <c r="BR112" s="66"/>
      <c r="BS112" s="66"/>
    </row>
    <row r="113" spans="1:71" x14ac:dyDescent="0.25">
      <c r="A113" s="13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Q113" s="118"/>
      <c r="AR113" s="118"/>
      <c r="AS113" s="118"/>
      <c r="AT113" s="118"/>
      <c r="AU113" s="118"/>
      <c r="AV113" s="118"/>
      <c r="AW113" s="118"/>
      <c r="AX113" s="118"/>
      <c r="AY113" s="118"/>
      <c r="AZ113" s="118"/>
      <c r="BA113" s="118"/>
      <c r="BB113" s="118"/>
      <c r="BC113" s="118"/>
      <c r="BD113" s="118"/>
      <c r="BE113" s="118"/>
      <c r="BF113" s="118"/>
      <c r="BG113" s="64"/>
      <c r="BH113" s="64"/>
      <c r="BI113" s="64"/>
      <c r="BJ113" s="64"/>
      <c r="BK113" s="64"/>
      <c r="BL113" s="64"/>
      <c r="BM113" s="64"/>
      <c r="BP113" s="64"/>
      <c r="BQ113" s="64"/>
      <c r="BR113" s="64"/>
      <c r="BS113" s="64"/>
    </row>
    <row r="114" spans="1:71" x14ac:dyDescent="0.25">
      <c r="A114" s="126" t="s">
        <v>399</v>
      </c>
    </row>
    <row r="115" spans="1:71" x14ac:dyDescent="0.25">
      <c r="A115" t="s">
        <v>403</v>
      </c>
      <c r="L115" s="51">
        <v>98.53</v>
      </c>
      <c r="M115" s="51">
        <v>0.39</v>
      </c>
      <c r="N115" s="51">
        <v>0.1</v>
      </c>
      <c r="O115" s="51" t="s">
        <v>252</v>
      </c>
      <c r="P115" s="51">
        <v>0.01</v>
      </c>
      <c r="Q115" s="51">
        <v>0.1</v>
      </c>
      <c r="R115" s="51">
        <v>0.19</v>
      </c>
      <c r="S115" s="51" t="s">
        <v>252</v>
      </c>
      <c r="T115" s="51">
        <v>0.02</v>
      </c>
      <c r="U115" s="51" t="s">
        <v>252</v>
      </c>
      <c r="V115" s="51">
        <v>0.01</v>
      </c>
      <c r="Y115" s="51">
        <v>0.5</v>
      </c>
      <c r="AB115" s="51">
        <v>11</v>
      </c>
      <c r="AO115" s="51" t="s">
        <v>252</v>
      </c>
      <c r="AQ115" s="51" t="s">
        <v>406</v>
      </c>
      <c r="AT115" s="51" t="s">
        <v>252</v>
      </c>
      <c r="AW115" s="51">
        <v>6</v>
      </c>
      <c r="BD115" s="51">
        <v>10</v>
      </c>
      <c r="BF115" s="51">
        <v>37</v>
      </c>
    </row>
    <row r="117" spans="1:71" x14ac:dyDescent="0.25">
      <c r="A117" t="s">
        <v>404</v>
      </c>
      <c r="L117" s="51">
        <v>0.03</v>
      </c>
      <c r="M117" s="51" t="s">
        <v>252</v>
      </c>
      <c r="N117" s="51" t="s">
        <v>252</v>
      </c>
      <c r="O117" s="51" t="s">
        <v>252</v>
      </c>
      <c r="P117" s="51" t="s">
        <v>252</v>
      </c>
      <c r="Q117" s="51" t="s">
        <v>252</v>
      </c>
      <c r="R117" s="51" t="s">
        <v>252</v>
      </c>
      <c r="S117" s="51" t="s">
        <v>252</v>
      </c>
      <c r="T117" s="51" t="s">
        <v>252</v>
      </c>
      <c r="U117" s="51" t="s">
        <v>252</v>
      </c>
      <c r="V117" s="51" t="s">
        <v>252</v>
      </c>
      <c r="Y117" s="51" t="s">
        <v>252</v>
      </c>
      <c r="AB117" s="51" t="s">
        <v>252</v>
      </c>
      <c r="AO117" s="51" t="s">
        <v>252</v>
      </c>
      <c r="AQ117" s="51" t="s">
        <v>252</v>
      </c>
      <c r="AT117" s="51" t="s">
        <v>252</v>
      </c>
      <c r="AW117" s="51" t="s">
        <v>252</v>
      </c>
      <c r="BD117" s="51" t="s">
        <v>252</v>
      </c>
      <c r="BF117" s="51" t="s">
        <v>252</v>
      </c>
    </row>
    <row r="118" spans="1:71" x14ac:dyDescent="0.25">
      <c r="A118" t="s">
        <v>405</v>
      </c>
      <c r="L118" s="51">
        <v>0.02</v>
      </c>
      <c r="M118" s="51" t="s">
        <v>252</v>
      </c>
      <c r="N118" s="51" t="s">
        <v>252</v>
      </c>
      <c r="O118" s="51" t="s">
        <v>252</v>
      </c>
      <c r="P118" s="51" t="s">
        <v>252</v>
      </c>
      <c r="Q118" s="51" t="s">
        <v>252</v>
      </c>
      <c r="R118" s="51" t="s">
        <v>252</v>
      </c>
      <c r="S118" s="51" t="s">
        <v>252</v>
      </c>
      <c r="T118" s="51" t="s">
        <v>252</v>
      </c>
      <c r="U118" s="51" t="s">
        <v>252</v>
      </c>
      <c r="V118" s="51" t="s">
        <v>252</v>
      </c>
      <c r="Y118" s="51" t="s">
        <v>252</v>
      </c>
      <c r="AB118" s="51" t="s">
        <v>252</v>
      </c>
      <c r="AO118" s="51" t="s">
        <v>252</v>
      </c>
      <c r="AQ118" s="51" t="s">
        <v>252</v>
      </c>
      <c r="AT118" s="51" t="s">
        <v>252</v>
      </c>
      <c r="AW118" s="51" t="s">
        <v>252</v>
      </c>
      <c r="BD118" s="51" t="s">
        <v>252</v>
      </c>
      <c r="BF118" s="51" t="s">
        <v>252</v>
      </c>
    </row>
    <row r="120" spans="1:71" x14ac:dyDescent="0.25">
      <c r="A120" s="126" t="s">
        <v>385</v>
      </c>
      <c r="Z120" s="55"/>
      <c r="AA120" s="55"/>
      <c r="BG120" s="64"/>
      <c r="BH120" s="64"/>
      <c r="BI120" s="64"/>
      <c r="BJ120" s="64"/>
      <c r="BK120" s="64"/>
      <c r="BL120" s="64"/>
      <c r="BM120" s="64"/>
      <c r="BP120" s="64"/>
      <c r="BQ120" s="64"/>
      <c r="BR120" s="64"/>
      <c r="BS120" s="64"/>
    </row>
    <row r="121" spans="1:71" x14ac:dyDescent="0.25">
      <c r="A121" s="13" t="s">
        <v>386</v>
      </c>
      <c r="Z121" s="55"/>
      <c r="AA121" s="55"/>
      <c r="AB121" s="127">
        <v>1340</v>
      </c>
      <c r="AC121" s="127">
        <v>410</v>
      </c>
      <c r="AM121" s="127">
        <v>180</v>
      </c>
      <c r="AO121" s="127">
        <v>27</v>
      </c>
      <c r="AP121" s="127">
        <v>200</v>
      </c>
      <c r="AQ121" s="127">
        <v>17</v>
      </c>
      <c r="AU121" s="127">
        <v>27</v>
      </c>
      <c r="AW121" s="127">
        <v>240</v>
      </c>
      <c r="AZ121" s="127">
        <v>105</v>
      </c>
      <c r="BB121" s="127">
        <v>2.4</v>
      </c>
      <c r="BD121" s="127">
        <v>28</v>
      </c>
      <c r="BF121" s="127">
        <v>550</v>
      </c>
      <c r="BG121" s="64"/>
      <c r="BH121" s="64"/>
      <c r="BI121" s="64"/>
      <c r="BJ121" s="64"/>
      <c r="BK121" s="64"/>
      <c r="BL121" s="64"/>
      <c r="BM121" s="64"/>
      <c r="BP121" s="64"/>
      <c r="BQ121" s="64"/>
      <c r="BR121" s="64"/>
      <c r="BS121" s="64"/>
    </row>
    <row r="122" spans="1:71" x14ac:dyDescent="0.25">
      <c r="A122" s="13" t="s">
        <v>507</v>
      </c>
      <c r="Z122" s="55"/>
      <c r="AA122" s="55"/>
      <c r="AB122" s="127">
        <v>1340</v>
      </c>
      <c r="AC122" s="127">
        <v>445</v>
      </c>
      <c r="AF122" s="51">
        <v>5.74</v>
      </c>
      <c r="AG122" s="51">
        <v>2.2599999999999998</v>
      </c>
      <c r="AH122" s="51">
        <v>2.27</v>
      </c>
      <c r="AJ122" s="51">
        <v>12.2</v>
      </c>
      <c r="AL122" s="51">
        <v>1</v>
      </c>
      <c r="AM122" s="127">
        <v>186</v>
      </c>
      <c r="AN122" s="51">
        <v>0.223</v>
      </c>
      <c r="AO122" s="127"/>
      <c r="AP122" s="127">
        <v>207</v>
      </c>
      <c r="AQ122" s="127"/>
      <c r="AR122" s="51">
        <v>50.7</v>
      </c>
      <c r="AS122" s="51">
        <v>242</v>
      </c>
      <c r="AU122" s="127">
        <v>26.2</v>
      </c>
      <c r="AW122" s="127">
        <v>238</v>
      </c>
      <c r="AZ122" s="127"/>
      <c r="BA122" s="51">
        <v>0.29799999999999999</v>
      </c>
      <c r="BB122" s="127"/>
      <c r="BD122" s="127"/>
      <c r="BE122" s="51">
        <v>1.64</v>
      </c>
      <c r="BF122" s="127"/>
      <c r="BG122" s="64"/>
      <c r="BH122" s="64"/>
      <c r="BI122" s="64"/>
      <c r="BJ122" s="64"/>
      <c r="BK122" s="64"/>
      <c r="BL122" s="64"/>
      <c r="BM122" s="64"/>
      <c r="BP122" s="64"/>
      <c r="BQ122" s="64"/>
      <c r="BR122" s="64"/>
      <c r="BS122" s="64"/>
    </row>
    <row r="123" spans="1:71" x14ac:dyDescent="0.25">
      <c r="A123" t="s">
        <v>384</v>
      </c>
      <c r="Z123" s="55"/>
      <c r="AA123" s="55"/>
      <c r="AB123">
        <v>1257</v>
      </c>
      <c r="AC123">
        <v>392.1</v>
      </c>
      <c r="AM123">
        <v>166.9</v>
      </c>
      <c r="AO123">
        <v>27.7</v>
      </c>
      <c r="AP123">
        <v>183.4</v>
      </c>
      <c r="AQ123">
        <v>21.2</v>
      </c>
      <c r="AU123">
        <v>23.8</v>
      </c>
      <c r="AW123">
        <v>230.9</v>
      </c>
      <c r="AZ123">
        <v>101.5</v>
      </c>
      <c r="BB123">
        <v>3.9</v>
      </c>
      <c r="BD123">
        <v>28.6</v>
      </c>
      <c r="BF123">
        <v>552.29999999999995</v>
      </c>
      <c r="BG123" s="64"/>
      <c r="BH123" s="64"/>
      <c r="BI123" s="64"/>
      <c r="BJ123" s="64"/>
      <c r="BK123" s="64"/>
      <c r="BL123" s="64"/>
      <c r="BM123" s="64"/>
      <c r="BP123" s="64"/>
      <c r="BQ123" s="64"/>
      <c r="BR123" s="64"/>
      <c r="BS123" s="64"/>
    </row>
    <row r="124" spans="1:71" x14ac:dyDescent="0.25">
      <c r="A124" t="s">
        <v>383</v>
      </c>
      <c r="AA124" s="55"/>
      <c r="AB124">
        <v>1370</v>
      </c>
      <c r="AC124">
        <v>453.6</v>
      </c>
      <c r="AM124">
        <v>180.7</v>
      </c>
      <c r="AO124">
        <v>26.3</v>
      </c>
      <c r="AP124">
        <v>185.7</v>
      </c>
      <c r="AQ124">
        <v>13.8</v>
      </c>
      <c r="AU124">
        <v>22.1</v>
      </c>
      <c r="AW124">
        <v>233.1</v>
      </c>
      <c r="AZ124">
        <v>108.8</v>
      </c>
      <c r="BB124">
        <v>1.8</v>
      </c>
      <c r="BD124">
        <v>26.3</v>
      </c>
      <c r="BF124">
        <v>578</v>
      </c>
      <c r="BG124" s="64"/>
      <c r="BH124" s="64"/>
      <c r="BI124" s="64"/>
      <c r="BJ124" s="64"/>
      <c r="BK124" s="64"/>
      <c r="BL124" s="64"/>
      <c r="BM124" s="64"/>
      <c r="BP124" s="64"/>
      <c r="BQ124" s="64"/>
      <c r="BR124" s="64"/>
      <c r="BS124" s="64"/>
    </row>
    <row r="125" spans="1:71" s="13" customFormat="1" x14ac:dyDescent="0.25">
      <c r="A125" s="13" t="s">
        <v>387</v>
      </c>
      <c r="E125" s="78"/>
      <c r="G125" s="69"/>
      <c r="H125" s="84"/>
      <c r="I125" s="84"/>
      <c r="J125" s="84"/>
      <c r="K125" s="84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85"/>
      <c r="AB125" s="13">
        <f>ABS(AB121-(AVERAGE(AB123:AB124)))</f>
        <v>26.5</v>
      </c>
      <c r="AC125" s="13">
        <f t="shared" ref="AC125:BF125" si="69">ABS(AC121-(AVERAGE(AC123:AC124)))</f>
        <v>12.850000000000023</v>
      </c>
      <c r="AM125" s="13">
        <f t="shared" si="69"/>
        <v>6.1999999999999886</v>
      </c>
      <c r="AO125" s="13">
        <f t="shared" si="69"/>
        <v>0</v>
      </c>
      <c r="AP125" s="13">
        <f t="shared" si="69"/>
        <v>15.449999999999989</v>
      </c>
      <c r="AQ125" s="13">
        <f t="shared" si="69"/>
        <v>0.5</v>
      </c>
      <c r="AU125" s="13">
        <f t="shared" si="69"/>
        <v>4.0499999999999972</v>
      </c>
      <c r="AW125" s="13">
        <f t="shared" si="69"/>
        <v>8</v>
      </c>
      <c r="AZ125" s="13">
        <f t="shared" si="69"/>
        <v>0.15000000000000568</v>
      </c>
      <c r="BB125" s="13">
        <f t="shared" si="69"/>
        <v>0.45000000000000018</v>
      </c>
      <c r="BD125" s="13">
        <f t="shared" si="69"/>
        <v>0.54999999999999716</v>
      </c>
      <c r="BF125" s="13">
        <f t="shared" si="69"/>
        <v>15.149999999999977</v>
      </c>
      <c r="BH125" s="66"/>
      <c r="BI125" s="66"/>
      <c r="BJ125" s="66"/>
      <c r="BK125" s="66"/>
      <c r="BL125" s="66"/>
      <c r="BM125" s="66"/>
      <c r="BN125" s="10"/>
      <c r="BO125" s="10"/>
      <c r="BP125" s="66"/>
      <c r="BQ125" s="66"/>
      <c r="BR125" s="66"/>
      <c r="BS125" s="66"/>
    </row>
    <row r="126" spans="1:71" s="13" customFormat="1" x14ac:dyDescent="0.25">
      <c r="A126" s="13" t="s">
        <v>389</v>
      </c>
      <c r="E126" s="78"/>
      <c r="G126" s="69"/>
      <c r="H126" s="84"/>
      <c r="I126" s="84"/>
      <c r="J126" s="84"/>
      <c r="K126" s="84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85"/>
      <c r="AB126" s="133">
        <f>ABS(AB121-(AVERAGE(AB123:AB124)))/AB121</f>
        <v>1.9776119402985074E-2</v>
      </c>
      <c r="AC126" s="133">
        <f t="shared" ref="AC126:BF126" si="70">ABS(AC121-(AVERAGE(AC123:AC124)))/AC121</f>
        <v>3.1341463414634202E-2</v>
      </c>
      <c r="AD126" s="133"/>
      <c r="AE126" s="133"/>
      <c r="AF126" s="133"/>
      <c r="AG126" s="133"/>
      <c r="AH126" s="133"/>
      <c r="AI126" s="133"/>
      <c r="AJ126" s="133"/>
      <c r="AK126" s="133"/>
      <c r="AL126" s="133"/>
      <c r="AM126" s="133">
        <f t="shared" si="70"/>
        <v>3.4444444444444382E-2</v>
      </c>
      <c r="AN126" s="133"/>
      <c r="AO126" s="133">
        <f t="shared" si="70"/>
        <v>0</v>
      </c>
      <c r="AP126" s="133">
        <f t="shared" si="70"/>
        <v>7.7249999999999944E-2</v>
      </c>
      <c r="AQ126" s="133">
        <f t="shared" si="70"/>
        <v>2.9411764705882353E-2</v>
      </c>
      <c r="AR126" s="133"/>
      <c r="AS126" s="133"/>
      <c r="AT126" s="133"/>
      <c r="AU126" s="133">
        <f t="shared" si="70"/>
        <v>0.14999999999999988</v>
      </c>
      <c r="AV126" s="133"/>
      <c r="AW126" s="133">
        <f t="shared" si="70"/>
        <v>3.3333333333333333E-2</v>
      </c>
      <c r="AX126" s="133"/>
      <c r="AY126" s="133"/>
      <c r="AZ126" s="133">
        <f t="shared" si="70"/>
        <v>1.4285714285714828E-3</v>
      </c>
      <c r="BA126" s="133"/>
      <c r="BB126" s="133">
        <f t="shared" si="70"/>
        <v>0.18750000000000008</v>
      </c>
      <c r="BC126" s="133"/>
      <c r="BD126" s="133">
        <f t="shared" si="70"/>
        <v>1.9642857142857042E-2</v>
      </c>
      <c r="BE126" s="133"/>
      <c r="BF126" s="133">
        <f t="shared" si="70"/>
        <v>2.7545454545454505E-2</v>
      </c>
      <c r="BG126" s="66"/>
      <c r="BH126" s="66"/>
      <c r="BI126" s="66"/>
      <c r="BJ126" s="66"/>
      <c r="BK126" s="66"/>
      <c r="BL126" s="66"/>
      <c r="BM126" s="66"/>
      <c r="BN126" s="10"/>
      <c r="BO126" s="10"/>
      <c r="BP126" s="66"/>
      <c r="BQ126" s="66"/>
      <c r="BR126" s="66"/>
      <c r="BS126" s="66"/>
    </row>
    <row r="127" spans="1:71" s="13" customFormat="1" x14ac:dyDescent="0.25">
      <c r="A127" s="13" t="s">
        <v>390</v>
      </c>
      <c r="E127" s="78"/>
      <c r="G127" s="69"/>
      <c r="H127" s="84"/>
      <c r="I127" s="84"/>
      <c r="J127" s="84"/>
      <c r="K127" s="84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85"/>
      <c r="AB127" s="133">
        <f>STDEV(AB123:AB124)/AVERAGE(AB123:AB124)</f>
        <v>6.0832178358644746E-2</v>
      </c>
      <c r="AC127" s="133">
        <f t="shared" ref="AC127:BF127" si="71">STDEV(AC123:AC124)/AVERAGE(AC123:AC124)</f>
        <v>0.10284277413497143</v>
      </c>
      <c r="AD127" s="133"/>
      <c r="AE127" s="133"/>
      <c r="AF127" s="133"/>
      <c r="AG127" s="133"/>
      <c r="AH127" s="133"/>
      <c r="AI127" s="133"/>
      <c r="AJ127" s="133"/>
      <c r="AK127" s="133"/>
      <c r="AL127" s="133"/>
      <c r="AM127" s="133">
        <f t="shared" si="71"/>
        <v>5.6145417608598064E-2</v>
      </c>
      <c r="AN127" s="133"/>
      <c r="AO127" s="133">
        <f t="shared" si="71"/>
        <v>3.6664796061524646E-2</v>
      </c>
      <c r="AP127" s="133">
        <f t="shared" si="71"/>
        <v>8.8124930735792306E-3</v>
      </c>
      <c r="AQ127" s="133">
        <f t="shared" si="71"/>
        <v>0.29900515318745435</v>
      </c>
      <c r="AR127" s="133"/>
      <c r="AS127" s="133"/>
      <c r="AT127" s="133"/>
      <c r="AU127" s="133">
        <f t="shared" si="71"/>
        <v>5.237828008789238E-2</v>
      </c>
      <c r="AV127" s="133"/>
      <c r="AW127" s="133">
        <f t="shared" si="71"/>
        <v>6.705322925044813E-3</v>
      </c>
      <c r="AX127" s="133"/>
      <c r="AY127" s="133"/>
      <c r="AZ127" s="133">
        <f t="shared" si="71"/>
        <v>4.9090627700064615E-2</v>
      </c>
      <c r="BA127" s="133"/>
      <c r="BB127" s="133">
        <f t="shared" si="71"/>
        <v>0.52102604929535057</v>
      </c>
      <c r="BC127" s="133"/>
      <c r="BD127" s="133">
        <f t="shared" si="71"/>
        <v>5.9247562722370112E-2</v>
      </c>
      <c r="BE127" s="133"/>
      <c r="BF127" s="133">
        <f t="shared" si="71"/>
        <v>3.2155435329548447E-2</v>
      </c>
      <c r="BG127" s="66"/>
      <c r="BH127" s="66"/>
      <c r="BI127" s="66"/>
      <c r="BJ127" s="66"/>
      <c r="BK127" s="66"/>
      <c r="BL127" s="66"/>
      <c r="BM127" s="66"/>
      <c r="BN127" s="10"/>
      <c r="BO127" s="10"/>
      <c r="BP127" s="66"/>
      <c r="BQ127" s="66"/>
      <c r="BR127" s="66"/>
      <c r="BS127" s="66"/>
    </row>
    <row r="128" spans="1:71" s="13" customFormat="1" x14ac:dyDescent="0.25">
      <c r="E128" s="78"/>
      <c r="G128" s="69"/>
      <c r="H128" s="84"/>
      <c r="I128" s="84"/>
      <c r="J128" s="84"/>
      <c r="K128" s="84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85"/>
      <c r="AB128" s="133"/>
      <c r="AC128" s="133"/>
      <c r="AD128" s="133"/>
      <c r="AE128" s="133"/>
      <c r="AF128" s="133"/>
      <c r="AG128" s="133"/>
      <c r="AH128" s="133"/>
      <c r="AI128" s="133"/>
      <c r="AJ128" s="133"/>
      <c r="AK128" s="133"/>
      <c r="AL128" s="133"/>
      <c r="AM128" s="133"/>
      <c r="AN128" s="133"/>
      <c r="AO128" s="133"/>
      <c r="AP128" s="133"/>
      <c r="AQ128" s="133"/>
      <c r="AR128" s="133"/>
      <c r="AS128" s="133"/>
      <c r="AT128" s="133"/>
      <c r="AU128" s="133"/>
      <c r="AV128" s="133"/>
      <c r="AW128" s="133"/>
      <c r="AX128" s="133"/>
      <c r="AY128" s="133"/>
      <c r="AZ128" s="133"/>
      <c r="BA128" s="133"/>
      <c r="BB128" s="133"/>
      <c r="BC128" s="133"/>
      <c r="BD128" s="133"/>
      <c r="BE128" s="133"/>
      <c r="BF128" s="133"/>
      <c r="BG128" s="66"/>
      <c r="BH128" s="66"/>
      <c r="BI128" s="66"/>
      <c r="BJ128" s="66"/>
      <c r="BK128" s="66"/>
      <c r="BL128" s="66"/>
      <c r="BM128" s="66"/>
      <c r="BN128" s="10"/>
      <c r="BO128" s="10"/>
      <c r="BP128" s="66"/>
      <c r="BQ128" s="66"/>
      <c r="BR128" s="66"/>
      <c r="BS128" s="66"/>
    </row>
    <row r="129" spans="1:71" x14ac:dyDescent="0.25">
      <c r="A129" s="126" t="s">
        <v>402</v>
      </c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  <c r="AJ129" s="118"/>
      <c r="AK129" s="118"/>
      <c r="AL129" s="118"/>
      <c r="AM129" s="118"/>
      <c r="AN129" s="118"/>
      <c r="AO129" s="118"/>
      <c r="AP129" s="118"/>
      <c r="AQ129" s="118"/>
      <c r="AR129" s="118"/>
      <c r="AS129" s="118"/>
      <c r="AT129" s="118"/>
      <c r="AU129" s="118"/>
      <c r="AV129" s="118"/>
      <c r="AW129" s="118"/>
      <c r="AX129" s="118"/>
      <c r="AY129" s="118"/>
      <c r="AZ129" s="118"/>
      <c r="BA129" s="118"/>
      <c r="BB129" s="118"/>
      <c r="BC129" s="118"/>
      <c r="BD129" s="118"/>
      <c r="BE129" s="118"/>
      <c r="BF129" s="118"/>
      <c r="BG129" s="64"/>
      <c r="BH129" s="64"/>
      <c r="BI129" s="64"/>
      <c r="BJ129" s="64"/>
      <c r="BK129" s="64"/>
      <c r="BL129" s="64"/>
      <c r="BM129" s="64"/>
      <c r="BP129" s="64"/>
      <c r="BQ129" s="64"/>
      <c r="BR129" s="64"/>
      <c r="BS129" s="64"/>
    </row>
    <row r="130" spans="1:71" x14ac:dyDescent="0.25">
      <c r="A130" t="s">
        <v>391</v>
      </c>
      <c r="L130">
        <v>98.5</v>
      </c>
      <c r="M130">
        <v>0.61</v>
      </c>
      <c r="N130">
        <v>0.16</v>
      </c>
      <c r="O130">
        <v>0.01</v>
      </c>
      <c r="P130">
        <v>0.03</v>
      </c>
      <c r="Q130">
        <v>0.15</v>
      </c>
      <c r="R130">
        <v>0.33</v>
      </c>
      <c r="S130" t="s">
        <v>252</v>
      </c>
      <c r="T130">
        <v>0.04</v>
      </c>
      <c r="U130" t="s">
        <v>252</v>
      </c>
      <c r="V130" t="s">
        <v>252</v>
      </c>
      <c r="W130" t="s">
        <v>252</v>
      </c>
      <c r="X130" t="s">
        <v>252</v>
      </c>
      <c r="Y130"/>
      <c r="Z130" s="118"/>
      <c r="AA130"/>
      <c r="AB130">
        <v>29.4</v>
      </c>
      <c r="AC130">
        <v>4.5999999999999996</v>
      </c>
      <c r="AD130">
        <v>10</v>
      </c>
      <c r="AE130">
        <v>0.02</v>
      </c>
      <c r="AF130">
        <v>0.52</v>
      </c>
      <c r="AG130">
        <v>0.38</v>
      </c>
      <c r="AH130">
        <v>0.1</v>
      </c>
      <c r="AI130">
        <v>0.6</v>
      </c>
      <c r="AJ130">
        <v>0.48</v>
      </c>
      <c r="AK130">
        <v>2.5</v>
      </c>
      <c r="AL130">
        <v>0.11</v>
      </c>
      <c r="AM130">
        <v>3.3</v>
      </c>
      <c r="AN130">
        <v>0.06</v>
      </c>
      <c r="AO130">
        <v>3.2</v>
      </c>
      <c r="AP130">
        <v>2.8</v>
      </c>
      <c r="AQ130">
        <v>0.77</v>
      </c>
      <c r="AR130">
        <v>4.5999999999999996</v>
      </c>
      <c r="AS130">
        <v>0.6</v>
      </c>
      <c r="AU130">
        <v>1</v>
      </c>
      <c r="AV130">
        <v>4.0999999999999996</v>
      </c>
      <c r="AW130">
        <v>0.4</v>
      </c>
      <c r="AX130">
        <v>0.08</v>
      </c>
      <c r="AY130">
        <v>0.9</v>
      </c>
      <c r="AZ130">
        <v>0.05</v>
      </c>
      <c r="BA130">
        <v>0.24</v>
      </c>
      <c r="BB130" t="s">
        <v>252</v>
      </c>
      <c r="BC130">
        <v>998</v>
      </c>
      <c r="BD130">
        <v>3</v>
      </c>
      <c r="BE130">
        <v>0.45</v>
      </c>
      <c r="BF130">
        <v>100</v>
      </c>
      <c r="BG130" s="64"/>
      <c r="BH130" s="64"/>
      <c r="BI130" s="64"/>
      <c r="BJ130" s="64"/>
      <c r="BK130" s="64"/>
      <c r="BL130" s="64"/>
      <c r="BM130" s="64"/>
      <c r="BP130" s="64"/>
      <c r="BQ130" s="64"/>
      <c r="BR130" s="64"/>
      <c r="BS130" s="64"/>
    </row>
    <row r="131" spans="1:71" x14ac:dyDescent="0.25">
      <c r="A131" t="s">
        <v>392</v>
      </c>
      <c r="L131" t="s">
        <v>400</v>
      </c>
      <c r="M131">
        <v>0.2</v>
      </c>
      <c r="N131">
        <v>0.11</v>
      </c>
      <c r="O131" t="s">
        <v>252</v>
      </c>
      <c r="P131">
        <v>0.01</v>
      </c>
      <c r="Q131">
        <v>7.0000000000000007E-2</v>
      </c>
      <c r="R131">
        <v>0.06</v>
      </c>
      <c r="S131" t="s">
        <v>252</v>
      </c>
      <c r="T131">
        <v>0.02</v>
      </c>
      <c r="U131" t="s">
        <v>252</v>
      </c>
      <c r="V131">
        <v>0.01</v>
      </c>
      <c r="W131" t="s">
        <v>252</v>
      </c>
      <c r="X131" t="s">
        <v>252</v>
      </c>
      <c r="Y131"/>
      <c r="Z131" s="118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U131"/>
      <c r="AV131"/>
      <c r="AW131"/>
      <c r="AX131"/>
      <c r="AY131"/>
      <c r="AZ131"/>
      <c r="BA131"/>
      <c r="BB131"/>
      <c r="BC131"/>
      <c r="BD131"/>
      <c r="BE131"/>
      <c r="BF131"/>
      <c r="BG131" s="64"/>
      <c r="BH131" s="64"/>
      <c r="BI131" s="64"/>
      <c r="BJ131" s="64"/>
      <c r="BK131" s="64"/>
      <c r="BL131" s="64"/>
      <c r="BM131" s="64"/>
      <c r="BP131" s="64"/>
      <c r="BQ131" s="64"/>
      <c r="BR131" s="64"/>
      <c r="BS131" s="64"/>
    </row>
    <row r="132" spans="1:71" x14ac:dyDescent="0.25">
      <c r="A132" t="s">
        <v>393</v>
      </c>
      <c r="L132">
        <v>96.2</v>
      </c>
      <c r="M132">
        <v>1.9</v>
      </c>
      <c r="N132">
        <v>0.59</v>
      </c>
      <c r="O132">
        <v>0.02</v>
      </c>
      <c r="P132">
        <v>0.02</v>
      </c>
      <c r="Q132">
        <v>1.1200000000000001</v>
      </c>
      <c r="R132">
        <v>0.37</v>
      </c>
      <c r="S132" t="s">
        <v>252</v>
      </c>
      <c r="T132">
        <v>0.24</v>
      </c>
      <c r="U132">
        <v>7.0000000000000007E-2</v>
      </c>
      <c r="V132" t="s">
        <v>252</v>
      </c>
      <c r="W132">
        <v>0.01</v>
      </c>
      <c r="X132">
        <v>0.01</v>
      </c>
      <c r="Y132">
        <v>0.31</v>
      </c>
      <c r="Z132" s="118"/>
      <c r="AA132">
        <v>100.86</v>
      </c>
      <c r="AB132">
        <v>73.8</v>
      </c>
      <c r="AC132">
        <v>67.8</v>
      </c>
      <c r="AD132">
        <v>10</v>
      </c>
      <c r="AE132">
        <v>0.14000000000000001</v>
      </c>
      <c r="AF132">
        <v>16.05</v>
      </c>
      <c r="AG132">
        <v>13.65</v>
      </c>
      <c r="AH132">
        <v>0.62</v>
      </c>
      <c r="AI132">
        <v>7</v>
      </c>
      <c r="AJ132">
        <v>7.66</v>
      </c>
      <c r="AK132">
        <v>19.600000000000001</v>
      </c>
      <c r="AL132">
        <v>3.69</v>
      </c>
      <c r="AM132">
        <v>20.8</v>
      </c>
      <c r="AN132">
        <v>2.08</v>
      </c>
      <c r="AO132">
        <v>239</v>
      </c>
      <c r="AP132">
        <v>22.1</v>
      </c>
      <c r="AQ132">
        <v>5.92</v>
      </c>
      <c r="AR132">
        <v>30.5</v>
      </c>
      <c r="AS132">
        <v>5.81</v>
      </c>
      <c r="AU132">
        <v>13</v>
      </c>
      <c r="AV132">
        <v>17.600000000000001</v>
      </c>
      <c r="AW132">
        <v>14.9</v>
      </c>
      <c r="AX132">
        <v>1.89</v>
      </c>
      <c r="AY132">
        <v>102.5</v>
      </c>
      <c r="AZ132">
        <v>2.27</v>
      </c>
      <c r="BA132">
        <v>7.7</v>
      </c>
      <c r="BB132">
        <v>5</v>
      </c>
      <c r="BC132">
        <v>812</v>
      </c>
      <c r="BD132">
        <v>90.5</v>
      </c>
      <c r="BE132">
        <v>16.55</v>
      </c>
      <c r="BF132">
        <v>1050</v>
      </c>
      <c r="BG132" s="64"/>
      <c r="BH132" s="64"/>
      <c r="BI132" s="64"/>
      <c r="BJ132" s="64"/>
      <c r="BK132" s="64"/>
      <c r="BL132" s="64"/>
      <c r="BM132" s="64"/>
      <c r="BP132" s="64"/>
      <c r="BQ132" s="64"/>
      <c r="BR132" s="64"/>
      <c r="BS132" s="64"/>
    </row>
    <row r="133" spans="1:71" x14ac:dyDescent="0.25">
      <c r="A133" t="s">
        <v>394</v>
      </c>
      <c r="L133"/>
      <c r="M133"/>
      <c r="N133"/>
      <c r="O133"/>
      <c r="P133"/>
      <c r="Q133"/>
      <c r="R133"/>
      <c r="S133"/>
      <c r="T133"/>
      <c r="U133"/>
      <c r="V133"/>
      <c r="W133"/>
      <c r="X133"/>
      <c r="Y133">
        <v>0.21</v>
      </c>
      <c r="Z133" s="118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U133"/>
      <c r="AV133"/>
      <c r="AW133"/>
      <c r="AX133"/>
      <c r="AY133"/>
      <c r="AZ133"/>
      <c r="BA133"/>
      <c r="BB133"/>
      <c r="BC133"/>
      <c r="BD133"/>
      <c r="BE133"/>
      <c r="BF133"/>
      <c r="BG133" s="64"/>
      <c r="BH133" s="64"/>
      <c r="BI133" s="64"/>
      <c r="BJ133" s="64"/>
      <c r="BK133" s="64"/>
      <c r="BL133" s="64"/>
      <c r="BM133" s="64"/>
      <c r="BP133" s="64"/>
      <c r="BQ133" s="64"/>
      <c r="BR133" s="64"/>
      <c r="BS133" s="64"/>
    </row>
    <row r="134" spans="1:71" x14ac:dyDescent="0.25">
      <c r="A134" t="s">
        <v>395</v>
      </c>
      <c r="L134">
        <v>98.8</v>
      </c>
      <c r="M134">
        <v>0.37</v>
      </c>
      <c r="N134">
        <v>0.09</v>
      </c>
      <c r="O134" t="s">
        <v>252</v>
      </c>
      <c r="P134">
        <v>0.01</v>
      </c>
      <c r="Q134">
        <v>7.0000000000000007E-2</v>
      </c>
      <c r="R134">
        <v>0.24</v>
      </c>
      <c r="S134" t="s">
        <v>252</v>
      </c>
      <c r="T134">
        <v>0.02</v>
      </c>
      <c r="U134" t="s">
        <v>252</v>
      </c>
      <c r="V134" t="s">
        <v>252</v>
      </c>
      <c r="W134" t="s">
        <v>252</v>
      </c>
      <c r="X134" t="s">
        <v>252</v>
      </c>
      <c r="Y134"/>
      <c r="Z134" s="118"/>
      <c r="AA134"/>
      <c r="AB134">
        <v>16.5</v>
      </c>
      <c r="AC134">
        <v>4.2</v>
      </c>
      <c r="AD134" t="s">
        <v>252</v>
      </c>
      <c r="AE134" t="s">
        <v>252</v>
      </c>
      <c r="AF134">
        <v>0.89</v>
      </c>
      <c r="AG134">
        <v>0.59</v>
      </c>
      <c r="AH134">
        <v>0.23</v>
      </c>
      <c r="AI134">
        <v>0.2</v>
      </c>
      <c r="AJ134">
        <v>1.19</v>
      </c>
      <c r="AK134">
        <v>1</v>
      </c>
      <c r="AL134">
        <v>0.18</v>
      </c>
      <c r="AM134">
        <v>3.7</v>
      </c>
      <c r="AN134">
        <v>7.0000000000000007E-2</v>
      </c>
      <c r="AO134">
        <v>1.9</v>
      </c>
      <c r="AP134">
        <v>3.3</v>
      </c>
      <c r="AQ134">
        <v>0.82</v>
      </c>
      <c r="AR134">
        <v>3.2</v>
      </c>
      <c r="AS134">
        <v>0.94</v>
      </c>
      <c r="AU134">
        <v>1</v>
      </c>
      <c r="AV134">
        <v>4.5999999999999996</v>
      </c>
      <c r="AW134">
        <v>0.6</v>
      </c>
      <c r="AX134">
        <v>0.15</v>
      </c>
      <c r="AY134">
        <v>0.68</v>
      </c>
      <c r="AZ134">
        <v>7.0000000000000007E-2</v>
      </c>
      <c r="BA134">
        <v>0.19</v>
      </c>
      <c r="BB134" t="s">
        <v>252</v>
      </c>
      <c r="BC134">
        <v>1300</v>
      </c>
      <c r="BD134">
        <v>5.6</v>
      </c>
      <c r="BE134">
        <v>0.48</v>
      </c>
      <c r="BF134">
        <v>36</v>
      </c>
      <c r="BG134" s="64"/>
      <c r="BH134" s="64"/>
      <c r="BI134" s="64"/>
      <c r="BJ134" s="64"/>
      <c r="BK134" s="64"/>
      <c r="BL134" s="64"/>
      <c r="BM134" s="64"/>
      <c r="BP134" s="64"/>
      <c r="BQ134" s="64"/>
      <c r="BR134" s="64"/>
      <c r="BS134" s="64"/>
    </row>
    <row r="135" spans="1:71" x14ac:dyDescent="0.25">
      <c r="A135" t="s">
        <v>396</v>
      </c>
      <c r="L135">
        <v>99.4</v>
      </c>
      <c r="M135">
        <v>0.27</v>
      </c>
      <c r="N135">
        <v>0.06</v>
      </c>
      <c r="O135" t="s">
        <v>252</v>
      </c>
      <c r="P135">
        <v>0.01</v>
      </c>
      <c r="Q135">
        <v>0.16</v>
      </c>
      <c r="R135">
        <v>0.01</v>
      </c>
      <c r="S135" t="s">
        <v>252</v>
      </c>
      <c r="T135">
        <v>0.03</v>
      </c>
      <c r="U135" t="s">
        <v>252</v>
      </c>
      <c r="V135" t="s">
        <v>252</v>
      </c>
      <c r="W135" t="s">
        <v>252</v>
      </c>
      <c r="X135" t="s">
        <v>252</v>
      </c>
      <c r="Y135"/>
      <c r="Z135" s="118"/>
      <c r="AA135"/>
      <c r="AB135">
        <v>14.1</v>
      </c>
      <c r="AC135">
        <v>14.6</v>
      </c>
      <c r="AD135" t="s">
        <v>252</v>
      </c>
      <c r="AE135">
        <v>0.03</v>
      </c>
      <c r="AF135">
        <v>1.54</v>
      </c>
      <c r="AG135">
        <v>0.84</v>
      </c>
      <c r="AH135">
        <v>0.51</v>
      </c>
      <c r="AI135">
        <v>0.4</v>
      </c>
      <c r="AJ135">
        <v>2.42</v>
      </c>
      <c r="AK135">
        <v>0.9</v>
      </c>
      <c r="AL135">
        <v>0.25</v>
      </c>
      <c r="AM135">
        <v>8.9</v>
      </c>
      <c r="AN135">
        <v>0.09</v>
      </c>
      <c r="AO135">
        <v>2.4</v>
      </c>
      <c r="AP135">
        <v>13.4</v>
      </c>
      <c r="AQ135">
        <v>2.79</v>
      </c>
      <c r="AR135">
        <v>0.6</v>
      </c>
      <c r="AS135">
        <v>2.92</v>
      </c>
      <c r="AU135">
        <v>1</v>
      </c>
      <c r="AV135">
        <v>6.6</v>
      </c>
      <c r="AW135">
        <v>0.6</v>
      </c>
      <c r="AX135">
        <v>0.26</v>
      </c>
      <c r="AY135">
        <v>1.42</v>
      </c>
      <c r="AZ135">
        <v>0.1</v>
      </c>
      <c r="BA135">
        <v>0.23</v>
      </c>
      <c r="BB135" t="s">
        <v>252</v>
      </c>
      <c r="BC135">
        <v>1270</v>
      </c>
      <c r="BD135">
        <v>7.4</v>
      </c>
      <c r="BE135">
        <v>0.85</v>
      </c>
      <c r="BF135">
        <v>33</v>
      </c>
      <c r="BG135" s="64"/>
      <c r="BH135" s="64"/>
      <c r="BI135" s="64"/>
      <c r="BJ135" s="64"/>
      <c r="BK135" s="64"/>
      <c r="BL135" s="64"/>
      <c r="BM135" s="64"/>
      <c r="BP135" s="64"/>
      <c r="BQ135" s="64"/>
      <c r="BR135" s="64"/>
      <c r="BS135" s="64"/>
    </row>
    <row r="136" spans="1:71" x14ac:dyDescent="0.25">
      <c r="A136" t="s">
        <v>397</v>
      </c>
      <c r="L136"/>
      <c r="M136"/>
      <c r="N136"/>
      <c r="O136"/>
      <c r="P136"/>
      <c r="Q136"/>
      <c r="R136"/>
      <c r="S136"/>
      <c r="T136"/>
      <c r="U136"/>
      <c r="V136"/>
      <c r="W136"/>
      <c r="X136"/>
      <c r="Y136">
        <v>0.12</v>
      </c>
      <c r="Z136" s="118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 s="118"/>
      <c r="BG136" s="64"/>
      <c r="BH136" s="64"/>
      <c r="BI136" s="64"/>
      <c r="BJ136" s="64"/>
      <c r="BK136" s="64"/>
      <c r="BL136" s="64"/>
      <c r="BM136" s="64"/>
      <c r="BP136" s="64"/>
      <c r="BQ136" s="64"/>
      <c r="BR136" s="64"/>
      <c r="BS136" s="64"/>
    </row>
    <row r="137" spans="1:71" x14ac:dyDescent="0.25">
      <c r="A137" t="s">
        <v>398</v>
      </c>
      <c r="L137">
        <v>98.2</v>
      </c>
      <c r="M137">
        <v>1.07</v>
      </c>
      <c r="N137">
        <v>0.14000000000000001</v>
      </c>
      <c r="O137">
        <v>0.01</v>
      </c>
      <c r="P137">
        <v>0.01</v>
      </c>
      <c r="Q137">
        <v>7.0000000000000007E-2</v>
      </c>
      <c r="R137">
        <v>0.87</v>
      </c>
      <c r="S137" t="s">
        <v>252</v>
      </c>
      <c r="T137">
        <v>0.03</v>
      </c>
      <c r="U137" t="s">
        <v>252</v>
      </c>
      <c r="V137" t="s">
        <v>252</v>
      </c>
      <c r="W137" t="s">
        <v>252</v>
      </c>
      <c r="X137" t="s">
        <v>252</v>
      </c>
      <c r="Y137"/>
      <c r="Z137" s="118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 s="118"/>
      <c r="BG137" s="64"/>
      <c r="BH137" s="64"/>
      <c r="BI137" s="64"/>
      <c r="BJ137" s="64"/>
      <c r="BK137" s="64"/>
      <c r="BL137" s="64"/>
      <c r="BM137" s="64"/>
      <c r="BP137" s="64"/>
      <c r="BQ137" s="64"/>
      <c r="BR137" s="64"/>
      <c r="BS137" s="64"/>
    </row>
    <row r="138" spans="1:71" x14ac:dyDescent="0.25">
      <c r="A138" t="s">
        <v>447</v>
      </c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 s="118"/>
      <c r="AA138"/>
      <c r="AB138">
        <v>66.8</v>
      </c>
      <c r="AC138">
        <v>48.1</v>
      </c>
      <c r="AD138" t="s">
        <v>401</v>
      </c>
      <c r="AE138">
        <v>0.12</v>
      </c>
      <c r="AF138">
        <v>2.0299999999999998</v>
      </c>
      <c r="AG138">
        <v>1.32</v>
      </c>
      <c r="AH138">
        <v>0.39</v>
      </c>
      <c r="AI138">
        <v>5.2</v>
      </c>
      <c r="AJ138">
        <v>2.58</v>
      </c>
      <c r="AK138">
        <v>4.4000000000000004</v>
      </c>
      <c r="AL138">
        <v>0.4</v>
      </c>
      <c r="AM138">
        <v>18.899999999999999</v>
      </c>
      <c r="AN138">
        <v>0.2</v>
      </c>
      <c r="AO138">
        <v>11.7</v>
      </c>
      <c r="AP138">
        <v>17.2</v>
      </c>
      <c r="AQ138">
        <v>4.29</v>
      </c>
      <c r="AR138">
        <v>49.8</v>
      </c>
      <c r="AS138">
        <v>3.34</v>
      </c>
      <c r="AU138">
        <v>1</v>
      </c>
      <c r="AV138">
        <v>38.1</v>
      </c>
      <c r="AW138">
        <v>0.8</v>
      </c>
      <c r="AX138">
        <v>0.35</v>
      </c>
      <c r="AY138">
        <v>8.4600000000000009</v>
      </c>
      <c r="AZ138">
        <v>0.18</v>
      </c>
      <c r="BA138">
        <v>0.59</v>
      </c>
      <c r="BB138">
        <v>9</v>
      </c>
      <c r="BC138">
        <v>665</v>
      </c>
      <c r="BD138">
        <v>9.8000000000000007</v>
      </c>
      <c r="BE138">
        <v>1.44</v>
      </c>
      <c r="BF138">
        <v>163</v>
      </c>
      <c r="BG138" s="64"/>
      <c r="BH138" s="64"/>
      <c r="BI138" s="64"/>
      <c r="BJ138" s="64"/>
      <c r="BK138" s="64"/>
      <c r="BL138" s="64"/>
      <c r="BM138" s="64"/>
      <c r="BP138" s="64"/>
      <c r="BQ138" s="64"/>
      <c r="BR138" s="64"/>
      <c r="BS138" s="64"/>
    </row>
    <row r="139" spans="1:71" x14ac:dyDescent="0.25">
      <c r="A139" t="s">
        <v>448</v>
      </c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 s="118"/>
      <c r="AA139"/>
      <c r="AB139">
        <v>727</v>
      </c>
      <c r="AC139">
        <v>107.5</v>
      </c>
      <c r="AD139" t="s">
        <v>401</v>
      </c>
      <c r="AE139">
        <v>0.64</v>
      </c>
      <c r="AF139">
        <v>8</v>
      </c>
      <c r="AG139">
        <v>4.24</v>
      </c>
      <c r="AH139">
        <v>1.07</v>
      </c>
      <c r="AI139">
        <v>25.4</v>
      </c>
      <c r="AJ139">
        <v>8.42</v>
      </c>
      <c r="AK139">
        <v>7.9</v>
      </c>
      <c r="AL139">
        <v>1.39</v>
      </c>
      <c r="AM139">
        <v>42.5</v>
      </c>
      <c r="AN139">
        <v>0.46</v>
      </c>
      <c r="AO139">
        <v>19.399999999999999</v>
      </c>
      <c r="AP139">
        <v>59.4</v>
      </c>
      <c r="AQ139">
        <v>13.95</v>
      </c>
      <c r="AR139">
        <v>167.5</v>
      </c>
      <c r="AS139">
        <v>11</v>
      </c>
      <c r="AU139">
        <v>3</v>
      </c>
      <c r="AV139">
        <v>291</v>
      </c>
      <c r="AW139">
        <v>1.9</v>
      </c>
      <c r="AX139">
        <v>1.1599999999999999</v>
      </c>
      <c r="AY139">
        <v>11.2</v>
      </c>
      <c r="AZ139">
        <v>0.56000000000000005</v>
      </c>
      <c r="BA139">
        <v>3.03</v>
      </c>
      <c r="BB139">
        <v>63</v>
      </c>
      <c r="BC139">
        <v>267</v>
      </c>
      <c r="BD139">
        <v>36.299999999999997</v>
      </c>
      <c r="BE139">
        <v>3.74</v>
      </c>
      <c r="BF139">
        <v>268</v>
      </c>
      <c r="BG139" s="64"/>
      <c r="BH139" s="64"/>
      <c r="BI139" s="64"/>
      <c r="BJ139" s="64"/>
      <c r="BK139" s="64"/>
      <c r="BL139" s="64"/>
      <c r="BM139" s="64"/>
      <c r="BP139" s="64"/>
      <c r="BQ139" s="64"/>
      <c r="BR139" s="64"/>
      <c r="BS139" s="64"/>
    </row>
    <row r="140" spans="1:71" x14ac:dyDescent="0.25">
      <c r="AA140" s="55"/>
      <c r="BG140" s="64"/>
      <c r="BH140" s="64"/>
      <c r="BI140" s="64"/>
      <c r="BJ140" s="64"/>
      <c r="BK140" s="64"/>
      <c r="BL140" s="64"/>
      <c r="BM140" s="64"/>
      <c r="BP140" s="64"/>
      <c r="BQ140" s="64"/>
      <c r="BR140" s="64"/>
      <c r="BS140" s="64"/>
    </row>
    <row r="141" spans="1:71" x14ac:dyDescent="0.25">
      <c r="A141" s="126" t="s">
        <v>415</v>
      </c>
      <c r="AA141" s="55"/>
      <c r="BG141" s="64"/>
      <c r="BH141" s="64"/>
      <c r="BI141" s="64"/>
      <c r="BJ141" s="64"/>
      <c r="BK141" s="64"/>
      <c r="BL141" s="64"/>
      <c r="BM141" s="64"/>
      <c r="BP141" s="64"/>
      <c r="BQ141" s="64"/>
      <c r="BR141" s="64"/>
      <c r="BS141" s="64"/>
    </row>
    <row r="142" spans="1:71" x14ac:dyDescent="0.25">
      <c r="A142" t="s">
        <v>407</v>
      </c>
      <c r="L142">
        <v>65.3</v>
      </c>
      <c r="M142">
        <v>12.3</v>
      </c>
      <c r="N142">
        <v>8.01</v>
      </c>
      <c r="O142">
        <v>1.95</v>
      </c>
      <c r="P142">
        <v>2.2200000000000002</v>
      </c>
      <c r="Q142">
        <v>0.16</v>
      </c>
      <c r="R142">
        <v>4.32</v>
      </c>
      <c r="S142">
        <v>5.0000000000000001E-3</v>
      </c>
      <c r="T142">
        <v>0.28999999999999998</v>
      </c>
      <c r="U142">
        <v>0.06</v>
      </c>
      <c r="V142">
        <v>0.14000000000000001</v>
      </c>
      <c r="W142" t="s">
        <v>275</v>
      </c>
      <c r="X142">
        <v>0.04</v>
      </c>
      <c r="Y142"/>
      <c r="AA142">
        <v>94.8</v>
      </c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U142"/>
      <c r="AV142"/>
      <c r="AW142"/>
      <c r="AX142"/>
      <c r="AY142"/>
      <c r="AZ142"/>
      <c r="BA142"/>
      <c r="BB142"/>
      <c r="BC142"/>
      <c r="BD142"/>
      <c r="BE142"/>
      <c r="BF142"/>
      <c r="BG142" s="64"/>
      <c r="BH142" s="64"/>
      <c r="BI142" s="64"/>
      <c r="BJ142" s="64"/>
      <c r="BK142" s="64"/>
      <c r="BL142" s="64"/>
      <c r="BM142" s="64"/>
      <c r="BP142" s="64"/>
      <c r="BQ142" s="64"/>
      <c r="BR142" s="64"/>
      <c r="BS142" s="64"/>
    </row>
    <row r="143" spans="1:71" x14ac:dyDescent="0.25">
      <c r="A143" t="s">
        <v>408</v>
      </c>
      <c r="L143">
        <v>49.2</v>
      </c>
      <c r="M143">
        <v>20.7</v>
      </c>
      <c r="N143">
        <v>6.22</v>
      </c>
      <c r="O143">
        <v>7.92</v>
      </c>
      <c r="P143">
        <v>0.52</v>
      </c>
      <c r="Q143">
        <v>7.16</v>
      </c>
      <c r="R143">
        <v>1.66</v>
      </c>
      <c r="S143">
        <v>2E-3</v>
      </c>
      <c r="T143">
        <v>0.28000000000000003</v>
      </c>
      <c r="U143">
        <v>0.11</v>
      </c>
      <c r="V143">
        <v>0.12</v>
      </c>
      <c r="W143">
        <v>0.13</v>
      </c>
      <c r="X143">
        <v>0.04</v>
      </c>
      <c r="Y143"/>
      <c r="AA143">
        <v>98.62</v>
      </c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U143"/>
      <c r="AV143"/>
      <c r="AW143"/>
      <c r="AX143"/>
      <c r="AY143"/>
      <c r="AZ143"/>
      <c r="BA143"/>
      <c r="BB143"/>
      <c r="BC143"/>
      <c r="BD143"/>
      <c r="BE143"/>
      <c r="BF143"/>
      <c r="BG143" s="64"/>
      <c r="BH143" s="64"/>
      <c r="BI143" s="64"/>
      <c r="BJ143" s="64"/>
      <c r="BK143" s="64"/>
      <c r="BL143" s="64"/>
      <c r="BM143" s="64"/>
      <c r="BP143" s="64"/>
      <c r="BQ143" s="64"/>
      <c r="BR143" s="64"/>
      <c r="BS143" s="64"/>
    </row>
    <row r="144" spans="1:71" x14ac:dyDescent="0.25">
      <c r="A144" t="s">
        <v>409</v>
      </c>
      <c r="L144"/>
      <c r="M144"/>
      <c r="N144"/>
      <c r="O144"/>
      <c r="P144"/>
      <c r="Q144"/>
      <c r="R144"/>
      <c r="S144"/>
      <c r="T144"/>
      <c r="U144"/>
      <c r="V144"/>
      <c r="W144"/>
      <c r="X144"/>
      <c r="Y144">
        <v>13.3</v>
      </c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U144"/>
      <c r="AV144"/>
      <c r="AW144"/>
      <c r="AX144"/>
      <c r="AY144"/>
      <c r="AZ144"/>
      <c r="BA144"/>
      <c r="BB144"/>
      <c r="BC144"/>
      <c r="BD144"/>
      <c r="BE144"/>
      <c r="BF144"/>
      <c r="BG144" s="64"/>
      <c r="BH144" s="64"/>
      <c r="BI144" s="64"/>
      <c r="BJ144" s="64"/>
      <c r="BK144" s="64"/>
      <c r="BL144" s="64"/>
      <c r="BM144" s="64"/>
      <c r="BP144" s="64"/>
      <c r="BQ144" s="64"/>
      <c r="BR144" s="64"/>
      <c r="BS144" s="64"/>
    </row>
    <row r="145" spans="1:71" x14ac:dyDescent="0.25">
      <c r="A145" t="s">
        <v>410</v>
      </c>
      <c r="L145"/>
      <c r="M145"/>
      <c r="N145"/>
      <c r="O145"/>
      <c r="P145"/>
      <c r="Q145"/>
      <c r="R145"/>
      <c r="S145"/>
      <c r="T145"/>
      <c r="U145"/>
      <c r="V145"/>
      <c r="W145"/>
      <c r="X145"/>
      <c r="Y145">
        <v>7.89</v>
      </c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U145"/>
      <c r="AV145"/>
      <c r="AW145"/>
      <c r="AX145"/>
      <c r="AY145"/>
      <c r="AZ145"/>
      <c r="BA145"/>
      <c r="BB145"/>
      <c r="BC145"/>
      <c r="BD145"/>
      <c r="BE145"/>
      <c r="BF145"/>
      <c r="BG145" s="64"/>
      <c r="BH145" s="64"/>
      <c r="BI145" s="64"/>
      <c r="BJ145" s="64"/>
      <c r="BK145" s="64"/>
      <c r="BL145" s="64"/>
      <c r="BM145" s="64"/>
      <c r="BP145" s="64"/>
      <c r="BQ145" s="64"/>
      <c r="BR145" s="64"/>
      <c r="BS145" s="64"/>
    </row>
    <row r="146" spans="1:71" x14ac:dyDescent="0.25">
      <c r="A146" t="s">
        <v>411</v>
      </c>
      <c r="L146">
        <v>12.2</v>
      </c>
      <c r="M146">
        <v>1.55</v>
      </c>
      <c r="N146">
        <v>21.4</v>
      </c>
      <c r="O146">
        <v>28.6</v>
      </c>
      <c r="P146">
        <v>2.86</v>
      </c>
      <c r="Q146">
        <v>0.11</v>
      </c>
      <c r="R146">
        <v>0.25</v>
      </c>
      <c r="S146">
        <v>1.2999999999999999E-2</v>
      </c>
      <c r="T146">
        <v>1.83</v>
      </c>
      <c r="U146">
        <v>0.46</v>
      </c>
      <c r="V146">
        <v>18.149999999999999</v>
      </c>
      <c r="W146">
        <v>0.39</v>
      </c>
      <c r="X146">
        <v>0.28999999999999998</v>
      </c>
      <c r="Y146"/>
      <c r="AA146">
        <v>95.84</v>
      </c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U146"/>
      <c r="AV146"/>
      <c r="AW146"/>
      <c r="AX146"/>
      <c r="AY146"/>
      <c r="AZ146"/>
      <c r="BA146"/>
      <c r="BB146"/>
      <c r="BC146"/>
      <c r="BD146"/>
      <c r="BE146"/>
      <c r="BF146"/>
      <c r="BG146" s="64"/>
      <c r="BH146" s="64"/>
      <c r="BI146" s="64"/>
      <c r="BJ146" s="64"/>
      <c r="BK146" s="64"/>
      <c r="BL146" s="64"/>
      <c r="BM146" s="64"/>
      <c r="BP146" s="64"/>
      <c r="BQ146" s="64"/>
      <c r="BR146" s="64"/>
      <c r="BS146" s="64"/>
    </row>
    <row r="147" spans="1:71" x14ac:dyDescent="0.25">
      <c r="A147" t="s">
        <v>407</v>
      </c>
      <c r="L147">
        <v>65.099999999999994</v>
      </c>
      <c r="M147">
        <v>12.3</v>
      </c>
      <c r="N147">
        <v>8.0500000000000007</v>
      </c>
      <c r="O147">
        <v>1.96</v>
      </c>
      <c r="P147">
        <v>2.27</v>
      </c>
      <c r="Q147">
        <v>0.15</v>
      </c>
      <c r="R147">
        <v>4.29</v>
      </c>
      <c r="S147">
        <v>4.0000000000000001E-3</v>
      </c>
      <c r="T147">
        <v>0.28000000000000003</v>
      </c>
      <c r="U147">
        <v>0.06</v>
      </c>
      <c r="V147">
        <v>0.14000000000000001</v>
      </c>
      <c r="W147" t="s">
        <v>252</v>
      </c>
      <c r="X147">
        <v>0.04</v>
      </c>
      <c r="Y147"/>
      <c r="AA147"/>
      <c r="AB147">
        <v>368</v>
      </c>
      <c r="AC147">
        <v>557</v>
      </c>
      <c r="AD147">
        <v>40</v>
      </c>
      <c r="AE147">
        <v>2.94</v>
      </c>
      <c r="AF147">
        <v>17</v>
      </c>
      <c r="AG147">
        <v>10.95</v>
      </c>
      <c r="AH147">
        <v>3.72</v>
      </c>
      <c r="AI147">
        <v>22.2</v>
      </c>
      <c r="AJ147">
        <v>19.2</v>
      </c>
      <c r="AK147">
        <v>10.1</v>
      </c>
      <c r="AL147">
        <v>3.31</v>
      </c>
      <c r="AM147">
        <v>307</v>
      </c>
      <c r="AN147">
        <v>1.53</v>
      </c>
      <c r="AO147">
        <v>33.700000000000003</v>
      </c>
      <c r="AP147">
        <v>182.5</v>
      </c>
      <c r="AQ147">
        <v>53.6</v>
      </c>
      <c r="AR147">
        <v>271</v>
      </c>
      <c r="AS147">
        <v>25</v>
      </c>
      <c r="AU147">
        <v>8</v>
      </c>
      <c r="AV147">
        <v>38.700000000000003</v>
      </c>
      <c r="AW147">
        <v>2.4</v>
      </c>
      <c r="AX147">
        <v>2.76</v>
      </c>
      <c r="AY147">
        <v>36.799999999999997</v>
      </c>
      <c r="AZ147">
        <v>1.58</v>
      </c>
      <c r="BA147">
        <v>680</v>
      </c>
      <c r="BB147">
        <v>35</v>
      </c>
      <c r="BC147">
        <v>9</v>
      </c>
      <c r="BD147">
        <v>96.4</v>
      </c>
      <c r="BE147">
        <v>11.05</v>
      </c>
      <c r="BF147">
        <v>364</v>
      </c>
      <c r="BG147" s="64"/>
      <c r="BH147" s="64"/>
      <c r="BI147" s="64"/>
      <c r="BJ147" s="64"/>
      <c r="BK147" s="64"/>
      <c r="BL147" s="64"/>
      <c r="BM147" s="64"/>
      <c r="BP147" s="64"/>
      <c r="BQ147" s="64"/>
      <c r="BR147" s="64"/>
      <c r="BS147" s="64"/>
    </row>
    <row r="148" spans="1:71" x14ac:dyDescent="0.25">
      <c r="A148" t="s">
        <v>412</v>
      </c>
      <c r="L148">
        <v>66.8</v>
      </c>
      <c r="M148">
        <v>6.79</v>
      </c>
      <c r="N148">
        <v>5.93</v>
      </c>
      <c r="O148">
        <v>3.23</v>
      </c>
      <c r="P148">
        <v>1.49</v>
      </c>
      <c r="Q148">
        <v>1.94</v>
      </c>
      <c r="R148">
        <v>3.77</v>
      </c>
      <c r="S148">
        <v>3.9E-2</v>
      </c>
      <c r="T148">
        <v>0.65</v>
      </c>
      <c r="U148">
        <v>0.21</v>
      </c>
      <c r="V148">
        <v>0.06</v>
      </c>
      <c r="W148" t="s">
        <v>252</v>
      </c>
      <c r="X148">
        <v>0.01</v>
      </c>
      <c r="Y148"/>
      <c r="AA148">
        <v>90.92</v>
      </c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U148"/>
      <c r="AV148"/>
      <c r="AW148"/>
      <c r="AX148"/>
      <c r="AY148"/>
      <c r="AZ148"/>
      <c r="BA148"/>
      <c r="BB148"/>
      <c r="BC148"/>
      <c r="BD148"/>
      <c r="BE148"/>
      <c r="BF148"/>
      <c r="BG148" s="64"/>
      <c r="BH148" s="64"/>
      <c r="BI148" s="64"/>
      <c r="BJ148" s="64"/>
      <c r="BK148" s="64"/>
      <c r="BL148" s="64"/>
      <c r="BM148" s="64"/>
      <c r="BP148" s="64"/>
      <c r="BQ148" s="64"/>
      <c r="BR148" s="64"/>
      <c r="BS148" s="64"/>
    </row>
    <row r="149" spans="1:71" x14ac:dyDescent="0.25">
      <c r="A149" t="s">
        <v>413</v>
      </c>
      <c r="L149"/>
      <c r="M149"/>
      <c r="N149"/>
      <c r="O149"/>
      <c r="P149"/>
      <c r="Q149"/>
      <c r="R149"/>
      <c r="S149"/>
      <c r="T149"/>
      <c r="U149"/>
      <c r="V149"/>
      <c r="W149"/>
      <c r="X149"/>
      <c r="Y149">
        <v>19</v>
      </c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U149"/>
      <c r="AV149"/>
      <c r="AW149"/>
      <c r="AX149"/>
      <c r="AY149"/>
      <c r="AZ149"/>
      <c r="BA149"/>
      <c r="BB149"/>
      <c r="BC149"/>
      <c r="BD149"/>
      <c r="BE149"/>
      <c r="BF149"/>
      <c r="BG149" s="64"/>
      <c r="BH149" s="64"/>
      <c r="BI149" s="64"/>
      <c r="BJ149" s="64"/>
      <c r="BK149" s="64"/>
      <c r="BL149" s="64"/>
      <c r="BM149" s="64"/>
      <c r="BP149" s="64"/>
      <c r="BQ149" s="64"/>
      <c r="BR149" s="64"/>
      <c r="BS149" s="64"/>
    </row>
    <row r="150" spans="1:71" x14ac:dyDescent="0.25">
      <c r="A150" t="s">
        <v>408</v>
      </c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AA150"/>
      <c r="AB150">
        <v>351</v>
      </c>
      <c r="AC150">
        <v>122</v>
      </c>
      <c r="AD150">
        <v>10</v>
      </c>
      <c r="AE150">
        <v>1.53</v>
      </c>
      <c r="AF150">
        <v>19.5</v>
      </c>
      <c r="AG150">
        <v>15.25</v>
      </c>
      <c r="AH150">
        <v>2.0299999999999998</v>
      </c>
      <c r="AI150">
        <v>36.5</v>
      </c>
      <c r="AJ150">
        <v>14.3</v>
      </c>
      <c r="AK150">
        <v>11.6</v>
      </c>
      <c r="AL150">
        <v>4.21</v>
      </c>
      <c r="AM150">
        <v>55.9</v>
      </c>
      <c r="AN150">
        <v>2.0099999999999998</v>
      </c>
      <c r="AO150">
        <v>12.7</v>
      </c>
      <c r="AP150">
        <v>59.8</v>
      </c>
      <c r="AQ150">
        <v>14.9</v>
      </c>
      <c r="AR150">
        <v>53.4</v>
      </c>
      <c r="AS150">
        <v>13.6</v>
      </c>
      <c r="AU150">
        <v>9</v>
      </c>
      <c r="AV150">
        <v>1220</v>
      </c>
      <c r="AW150">
        <v>0.7</v>
      </c>
      <c r="AX150">
        <v>2.62</v>
      </c>
      <c r="AY150">
        <v>1.1299999999999999</v>
      </c>
      <c r="AZ150">
        <v>2.3199999999999998</v>
      </c>
      <c r="BA150">
        <v>0.75</v>
      </c>
      <c r="BB150">
        <v>7</v>
      </c>
      <c r="BC150">
        <v>1</v>
      </c>
      <c r="BD150">
        <v>112.5</v>
      </c>
      <c r="BE150">
        <v>15.85</v>
      </c>
      <c r="BF150">
        <v>616</v>
      </c>
      <c r="BG150" s="64"/>
      <c r="BH150" s="64"/>
      <c r="BI150" s="64"/>
      <c r="BJ150" s="64"/>
      <c r="BK150" s="64"/>
      <c r="BL150" s="64"/>
      <c r="BM150" s="64"/>
      <c r="BP150" s="64"/>
      <c r="BQ150" s="64"/>
      <c r="BR150" s="64"/>
      <c r="BS150" s="64"/>
    </row>
    <row r="151" spans="1:71" x14ac:dyDescent="0.25">
      <c r="A151" t="s">
        <v>410</v>
      </c>
      <c r="L151"/>
      <c r="M151"/>
      <c r="N151"/>
      <c r="O151"/>
      <c r="P151"/>
      <c r="Q151"/>
      <c r="R151"/>
      <c r="S151"/>
      <c r="T151"/>
      <c r="U151"/>
      <c r="V151"/>
      <c r="W151"/>
      <c r="X151"/>
      <c r="Y151">
        <v>7.73</v>
      </c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U151"/>
      <c r="AV151"/>
      <c r="AW151"/>
      <c r="AX151"/>
      <c r="AY151"/>
      <c r="AZ151"/>
      <c r="BA151"/>
      <c r="BB151"/>
      <c r="BC151"/>
      <c r="BD151"/>
      <c r="BE151"/>
      <c r="BF151"/>
      <c r="BG151" s="64"/>
      <c r="BH151" s="64"/>
      <c r="BI151" s="64"/>
      <c r="BJ151" s="64"/>
      <c r="BK151" s="64"/>
      <c r="BL151" s="64"/>
      <c r="BM151" s="64"/>
      <c r="BP151" s="64"/>
      <c r="BQ151" s="64"/>
      <c r="BR151" s="64"/>
      <c r="BS151" s="64"/>
    </row>
    <row r="152" spans="1:71" x14ac:dyDescent="0.25">
      <c r="A152" t="s">
        <v>414</v>
      </c>
      <c r="L152"/>
      <c r="M152"/>
      <c r="N152"/>
      <c r="O152"/>
      <c r="P152"/>
      <c r="Q152"/>
      <c r="R152"/>
      <c r="S152"/>
      <c r="T152"/>
      <c r="U152"/>
      <c r="V152"/>
      <c r="W152"/>
      <c r="X152"/>
      <c r="Y152">
        <v>22.4</v>
      </c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U152"/>
      <c r="AV152"/>
      <c r="AW152"/>
      <c r="AX152"/>
      <c r="AY152"/>
      <c r="AZ152"/>
      <c r="BA152"/>
      <c r="BB152"/>
      <c r="BC152"/>
      <c r="BD152"/>
      <c r="BE152"/>
      <c r="BF152"/>
      <c r="BG152" s="64"/>
      <c r="BH152" s="64"/>
      <c r="BI152" s="64"/>
      <c r="BJ152" s="64"/>
      <c r="BK152" s="64"/>
      <c r="BL152" s="64"/>
      <c r="BM152" s="64"/>
      <c r="BP152" s="64"/>
      <c r="BQ152" s="64"/>
      <c r="BR152" s="64"/>
      <c r="BS152" s="64"/>
    </row>
    <row r="153" spans="1:71" x14ac:dyDescent="0.25">
      <c r="A153" t="s">
        <v>411</v>
      </c>
      <c r="L153">
        <v>12</v>
      </c>
      <c r="M153">
        <v>1.51</v>
      </c>
      <c r="N153">
        <v>21.3</v>
      </c>
      <c r="O153">
        <v>28.7</v>
      </c>
      <c r="P153">
        <v>2.88</v>
      </c>
      <c r="Q153">
        <v>0.11</v>
      </c>
      <c r="R153">
        <v>0.26</v>
      </c>
      <c r="S153">
        <v>1.2999999999999999E-2</v>
      </c>
      <c r="T153">
        <v>1.76</v>
      </c>
      <c r="U153">
        <v>0.45</v>
      </c>
      <c r="V153">
        <v>18.25</v>
      </c>
      <c r="W153">
        <v>0.39</v>
      </c>
      <c r="X153">
        <v>0.28999999999999998</v>
      </c>
      <c r="Y153"/>
      <c r="AA153"/>
      <c r="AB153">
        <v>2770</v>
      </c>
      <c r="AC153">
        <v>8440</v>
      </c>
      <c r="AD153">
        <v>100</v>
      </c>
      <c r="AE153">
        <v>0.38</v>
      </c>
      <c r="AF153">
        <v>133.5</v>
      </c>
      <c r="AG153">
        <v>33.9</v>
      </c>
      <c r="AH153">
        <v>148.5</v>
      </c>
      <c r="AI153">
        <v>54.1</v>
      </c>
      <c r="AJ153">
        <v>337</v>
      </c>
      <c r="AK153">
        <v>27.5</v>
      </c>
      <c r="AL153">
        <v>16.55</v>
      </c>
      <c r="AM153">
        <v>3460</v>
      </c>
      <c r="AN153">
        <v>1.93</v>
      </c>
      <c r="AO153" t="s">
        <v>416</v>
      </c>
      <c r="AP153">
        <v>4320</v>
      </c>
      <c r="AQ153" t="s">
        <v>417</v>
      </c>
      <c r="AR153">
        <v>11.3</v>
      </c>
      <c r="AS153">
        <v>596</v>
      </c>
      <c r="AU153">
        <v>25</v>
      </c>
      <c r="AV153">
        <v>3540</v>
      </c>
      <c r="AW153">
        <v>11.4</v>
      </c>
      <c r="AX153">
        <v>31.6</v>
      </c>
      <c r="AY153">
        <v>413</v>
      </c>
      <c r="AZ153">
        <v>3.33</v>
      </c>
      <c r="BA153">
        <v>22.7</v>
      </c>
      <c r="BB153">
        <v>373</v>
      </c>
      <c r="BC153">
        <v>6</v>
      </c>
      <c r="BD153">
        <v>383</v>
      </c>
      <c r="BE153">
        <v>17.55</v>
      </c>
      <c r="BF153">
        <v>1080</v>
      </c>
      <c r="BG153" s="64"/>
      <c r="BH153" s="64"/>
      <c r="BI153" s="64"/>
      <c r="BJ153" s="64"/>
      <c r="BK153" s="64"/>
      <c r="BL153" s="64"/>
      <c r="BM153" s="64"/>
      <c r="BP153" s="64"/>
      <c r="BQ153" s="64"/>
      <c r="BR153" s="64"/>
      <c r="BS153" s="64"/>
    </row>
    <row r="154" spans="1:71" x14ac:dyDescent="0.25">
      <c r="A154" t="s">
        <v>412</v>
      </c>
      <c r="L154">
        <v>66.8</v>
      </c>
      <c r="M154">
        <v>6.8</v>
      </c>
      <c r="N154">
        <v>5.9</v>
      </c>
      <c r="O154">
        <v>3.23</v>
      </c>
      <c r="P154">
        <v>1.5</v>
      </c>
      <c r="Q154">
        <v>1.95</v>
      </c>
      <c r="R154">
        <v>3.81</v>
      </c>
      <c r="S154">
        <v>3.9E-2</v>
      </c>
      <c r="T154">
        <v>0.65</v>
      </c>
      <c r="U154">
        <v>0.21</v>
      </c>
      <c r="V154">
        <v>0.05</v>
      </c>
      <c r="W154">
        <v>0.02</v>
      </c>
      <c r="X154">
        <v>0.01</v>
      </c>
      <c r="Y154"/>
      <c r="AA154"/>
      <c r="AB154">
        <v>103.5</v>
      </c>
      <c r="AC154">
        <v>4060</v>
      </c>
      <c r="AD154">
        <v>290</v>
      </c>
      <c r="AE154">
        <v>1.03</v>
      </c>
      <c r="AF154">
        <v>865</v>
      </c>
      <c r="AG154">
        <v>717</v>
      </c>
      <c r="AH154">
        <v>24.6</v>
      </c>
      <c r="AI154">
        <v>67.8</v>
      </c>
      <c r="AJ154">
        <v>430</v>
      </c>
      <c r="AK154">
        <v>483</v>
      </c>
      <c r="AL154">
        <v>199.5</v>
      </c>
      <c r="AM154">
        <v>1630</v>
      </c>
      <c r="AN154">
        <v>88.5</v>
      </c>
      <c r="AO154" t="s">
        <v>416</v>
      </c>
      <c r="AP154">
        <v>1520</v>
      </c>
      <c r="AQ154">
        <v>437</v>
      </c>
      <c r="AR154">
        <v>1030</v>
      </c>
      <c r="AS154">
        <v>403</v>
      </c>
      <c r="AU154">
        <v>536</v>
      </c>
      <c r="AV154">
        <v>123</v>
      </c>
      <c r="AW154">
        <v>222</v>
      </c>
      <c r="AX154">
        <v>103</v>
      </c>
      <c r="AY154">
        <v>747</v>
      </c>
      <c r="AZ154">
        <v>107.5</v>
      </c>
      <c r="BA154">
        <v>135</v>
      </c>
      <c r="BB154">
        <v>6</v>
      </c>
      <c r="BC154">
        <v>9</v>
      </c>
      <c r="BD154">
        <v>5720</v>
      </c>
      <c r="BE154">
        <v>710</v>
      </c>
      <c r="BF154" t="s">
        <v>418</v>
      </c>
      <c r="BG154" s="64"/>
      <c r="BH154" s="64"/>
      <c r="BI154" s="64"/>
      <c r="BJ154" s="64"/>
      <c r="BK154" s="64"/>
      <c r="BL154" s="64"/>
      <c r="BM154" s="64"/>
      <c r="BP154" s="64"/>
      <c r="BQ154" s="64"/>
      <c r="BR154" s="64"/>
      <c r="BS154" s="64"/>
    </row>
    <row r="155" spans="1:71" x14ac:dyDescent="0.25">
      <c r="A155" t="s">
        <v>413</v>
      </c>
      <c r="L155"/>
      <c r="M155"/>
      <c r="N155"/>
      <c r="O155"/>
      <c r="P155"/>
      <c r="Q155"/>
      <c r="R155"/>
      <c r="S155"/>
      <c r="T155"/>
      <c r="U155"/>
      <c r="V155"/>
      <c r="W155"/>
      <c r="X155"/>
      <c r="Y155">
        <v>18.899999999999999</v>
      </c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G155" s="64"/>
      <c r="BH155" s="64"/>
      <c r="BI155" s="64"/>
      <c r="BJ155" s="64"/>
      <c r="BK155" s="64"/>
      <c r="BL155" s="64"/>
      <c r="BM155" s="64"/>
      <c r="BP155" s="64"/>
      <c r="BQ155" s="64"/>
      <c r="BR155" s="64"/>
      <c r="BS155" s="64"/>
    </row>
    <row r="156" spans="1:71" x14ac:dyDescent="0.25">
      <c r="A156" t="s">
        <v>408</v>
      </c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AA156"/>
      <c r="AB156">
        <v>366</v>
      </c>
      <c r="AC156">
        <v>117.5</v>
      </c>
      <c r="AD156">
        <v>10</v>
      </c>
      <c r="AE156">
        <v>1.43</v>
      </c>
      <c r="AF156">
        <v>20</v>
      </c>
      <c r="AG156">
        <v>15</v>
      </c>
      <c r="AH156">
        <v>1.91</v>
      </c>
      <c r="AI156">
        <v>37.299999999999997</v>
      </c>
      <c r="AJ156">
        <v>14.65</v>
      </c>
      <c r="AK156">
        <v>12.2</v>
      </c>
      <c r="AL156">
        <v>4.2</v>
      </c>
      <c r="AM156">
        <v>55.3</v>
      </c>
      <c r="AN156">
        <v>2.04</v>
      </c>
      <c r="AO156">
        <v>12.6</v>
      </c>
      <c r="AP156">
        <v>62.8</v>
      </c>
      <c r="AQ156">
        <v>14.35</v>
      </c>
      <c r="AR156">
        <v>59.3</v>
      </c>
      <c r="AS156">
        <v>13.45</v>
      </c>
      <c r="AU156">
        <v>9</v>
      </c>
      <c r="AV156">
        <v>1300</v>
      </c>
      <c r="AW156">
        <v>0.7</v>
      </c>
      <c r="AX156">
        <v>2.54</v>
      </c>
      <c r="AY156">
        <v>1.1100000000000001</v>
      </c>
      <c r="AZ156">
        <v>2.29</v>
      </c>
      <c r="BA156">
        <v>0.85</v>
      </c>
      <c r="BB156">
        <v>7</v>
      </c>
      <c r="BC156">
        <v>1</v>
      </c>
      <c r="BD156">
        <v>111.5</v>
      </c>
      <c r="BE156">
        <v>16.05</v>
      </c>
      <c r="BF156">
        <v>596</v>
      </c>
      <c r="BG156" s="64"/>
      <c r="BH156" s="64"/>
      <c r="BI156" s="64"/>
      <c r="BJ156" s="64"/>
      <c r="BK156" s="64"/>
      <c r="BL156" s="64"/>
      <c r="BM156" s="64"/>
      <c r="BP156" s="64"/>
      <c r="BQ156" s="64"/>
      <c r="BR156" s="64"/>
      <c r="BS156" s="64"/>
    </row>
    <row r="157" spans="1:71" x14ac:dyDescent="0.25">
      <c r="A157" t="s">
        <v>412</v>
      </c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AA157"/>
      <c r="AB157">
        <v>106.5</v>
      </c>
      <c r="AC157">
        <v>4260</v>
      </c>
      <c r="AD157">
        <v>300</v>
      </c>
      <c r="AE157">
        <v>1.01</v>
      </c>
      <c r="AF157">
        <v>877</v>
      </c>
      <c r="AG157">
        <v>724</v>
      </c>
      <c r="AH157">
        <v>23.1</v>
      </c>
      <c r="AI157">
        <v>65.099999999999994</v>
      </c>
      <c r="AJ157">
        <v>440</v>
      </c>
      <c r="AK157">
        <v>478</v>
      </c>
      <c r="AL157">
        <v>196</v>
      </c>
      <c r="AM157">
        <v>1800</v>
      </c>
      <c r="AN157">
        <v>88.2</v>
      </c>
      <c r="AO157" t="s">
        <v>416</v>
      </c>
      <c r="AP157">
        <v>1470</v>
      </c>
      <c r="AQ157">
        <v>407</v>
      </c>
      <c r="AR157">
        <v>1095</v>
      </c>
      <c r="AS157">
        <v>383</v>
      </c>
      <c r="AU157">
        <v>537</v>
      </c>
      <c r="AV157">
        <v>106.5</v>
      </c>
      <c r="AW157">
        <v>216</v>
      </c>
      <c r="AX157">
        <v>101</v>
      </c>
      <c r="AY157">
        <v>767</v>
      </c>
      <c r="AZ157">
        <v>105</v>
      </c>
      <c r="BA157">
        <v>124.5</v>
      </c>
      <c r="BB157">
        <v>6</v>
      </c>
      <c r="BC157">
        <v>9</v>
      </c>
      <c r="BD157">
        <v>5860</v>
      </c>
      <c r="BE157">
        <v>709</v>
      </c>
      <c r="BF157" t="s">
        <v>418</v>
      </c>
      <c r="BG157" s="64"/>
      <c r="BH157" s="64"/>
      <c r="BI157" s="64"/>
      <c r="BJ157" s="64"/>
      <c r="BK157" s="64"/>
      <c r="BL157" s="64"/>
      <c r="BM157" s="64"/>
      <c r="BP157" s="64"/>
      <c r="BQ157" s="64"/>
      <c r="BR157" s="64"/>
      <c r="BS157" s="64"/>
    </row>
    <row r="158" spans="1:71" x14ac:dyDescent="0.25">
      <c r="AA158" s="55"/>
      <c r="BG158" s="64"/>
      <c r="BH158" s="64"/>
      <c r="BI158" s="64"/>
      <c r="BJ158" s="64"/>
      <c r="BK158" s="64"/>
      <c r="BL158" s="64"/>
      <c r="BM158" s="64"/>
      <c r="BP158" s="64"/>
      <c r="BQ158" s="64"/>
      <c r="BR158" s="64"/>
      <c r="BS158" s="64"/>
    </row>
    <row r="159" spans="1:71" x14ac:dyDescent="0.25">
      <c r="A159" s="13" t="s">
        <v>419</v>
      </c>
      <c r="L159">
        <v>49.9</v>
      </c>
      <c r="M159">
        <v>20.7</v>
      </c>
      <c r="N159">
        <v>6.21</v>
      </c>
      <c r="O159">
        <v>8.0500000000000007</v>
      </c>
      <c r="P159">
        <v>0.54</v>
      </c>
      <c r="Q159">
        <v>7.1</v>
      </c>
      <c r="R159">
        <v>1.66</v>
      </c>
      <c r="S159">
        <v>1E-3</v>
      </c>
      <c r="T159">
        <v>0.28999999999999998</v>
      </c>
      <c r="U159">
        <v>0.11</v>
      </c>
      <c r="V159">
        <v>0.13</v>
      </c>
      <c r="W159">
        <v>0.14000000000000001</v>
      </c>
      <c r="X159">
        <v>0.04</v>
      </c>
      <c r="AA159" s="55"/>
      <c r="AB159">
        <v>340</v>
      </c>
      <c r="AC159">
        <v>122</v>
      </c>
      <c r="AD159">
        <v>10</v>
      </c>
      <c r="AE159">
        <v>1.5</v>
      </c>
      <c r="AF159">
        <v>18.2</v>
      </c>
      <c r="AG159">
        <v>14.2</v>
      </c>
      <c r="AH159">
        <v>2</v>
      </c>
      <c r="AI159">
        <v>36.9</v>
      </c>
      <c r="AJ159">
        <v>14</v>
      </c>
      <c r="AK159">
        <v>11.1</v>
      </c>
      <c r="AL159">
        <v>4.3</v>
      </c>
      <c r="AM159">
        <v>58</v>
      </c>
      <c r="AN159">
        <v>2.1</v>
      </c>
      <c r="AO159">
        <v>13</v>
      </c>
      <c r="AP159">
        <v>57</v>
      </c>
      <c r="AQ159">
        <v>15</v>
      </c>
      <c r="AR159">
        <v>55</v>
      </c>
      <c r="AS159">
        <v>12.7</v>
      </c>
      <c r="AU159">
        <v>8</v>
      </c>
      <c r="AV159">
        <v>1190</v>
      </c>
      <c r="AW159">
        <v>0.9</v>
      </c>
      <c r="AX159">
        <v>2.6</v>
      </c>
      <c r="AY159">
        <v>1.29</v>
      </c>
      <c r="AZ159">
        <v>2.2999999999999998</v>
      </c>
      <c r="BA159">
        <v>0.8</v>
      </c>
      <c r="BB159">
        <v>8</v>
      </c>
      <c r="BC159">
        <v>1</v>
      </c>
      <c r="BD159">
        <v>119</v>
      </c>
      <c r="BE159">
        <v>14.8</v>
      </c>
      <c r="BF159">
        <v>605</v>
      </c>
      <c r="BG159" s="64"/>
      <c r="BH159" s="64"/>
      <c r="BI159" s="64"/>
      <c r="BJ159" s="64"/>
      <c r="BK159" s="64"/>
      <c r="BL159" s="64"/>
      <c r="BM159" s="64"/>
      <c r="BP159" s="64"/>
      <c r="BQ159" s="64"/>
      <c r="BR159" s="64"/>
      <c r="BS159" s="64"/>
    </row>
    <row r="160" spans="1:71" x14ac:dyDescent="0.25">
      <c r="A160" t="s">
        <v>422</v>
      </c>
      <c r="C160" t="s">
        <v>421</v>
      </c>
      <c r="D160" t="s">
        <v>420</v>
      </c>
      <c r="L160">
        <f>AVERAGE(L143,L150,L156)</f>
        <v>49.2</v>
      </c>
      <c r="M160">
        <f t="shared" ref="M160:BF160" si="72">AVERAGE(M143,M150,M156)</f>
        <v>20.7</v>
      </c>
      <c r="N160">
        <f t="shared" si="72"/>
        <v>6.22</v>
      </c>
      <c r="O160">
        <f t="shared" si="72"/>
        <v>7.92</v>
      </c>
      <c r="P160">
        <f t="shared" si="72"/>
        <v>0.52</v>
      </c>
      <c r="Q160">
        <f t="shared" si="72"/>
        <v>7.16</v>
      </c>
      <c r="R160">
        <f t="shared" si="72"/>
        <v>1.66</v>
      </c>
      <c r="S160">
        <f t="shared" si="72"/>
        <v>2E-3</v>
      </c>
      <c r="T160">
        <f t="shared" si="72"/>
        <v>0.28000000000000003</v>
      </c>
      <c r="U160">
        <f t="shared" si="72"/>
        <v>0.11</v>
      </c>
      <c r="V160">
        <f t="shared" si="72"/>
        <v>0.12</v>
      </c>
      <c r="W160">
        <f t="shared" si="72"/>
        <v>0.13</v>
      </c>
      <c r="X160">
        <f t="shared" si="72"/>
        <v>0.04</v>
      </c>
      <c r="Y160"/>
      <c r="Z160"/>
      <c r="AA160">
        <f t="shared" si="72"/>
        <v>98.62</v>
      </c>
      <c r="AB160">
        <f t="shared" si="72"/>
        <v>358.5</v>
      </c>
      <c r="AC160">
        <f t="shared" si="72"/>
        <v>119.75</v>
      </c>
      <c r="AD160">
        <f t="shared" si="72"/>
        <v>10</v>
      </c>
      <c r="AE160">
        <f t="shared" si="72"/>
        <v>1.48</v>
      </c>
      <c r="AF160">
        <f t="shared" si="72"/>
        <v>19.75</v>
      </c>
      <c r="AG160">
        <f t="shared" si="72"/>
        <v>15.125</v>
      </c>
      <c r="AH160">
        <f t="shared" si="72"/>
        <v>1.9699999999999998</v>
      </c>
      <c r="AI160">
        <f t="shared" si="72"/>
        <v>36.9</v>
      </c>
      <c r="AJ160">
        <f t="shared" si="72"/>
        <v>14.475000000000001</v>
      </c>
      <c r="AK160">
        <f t="shared" si="72"/>
        <v>11.899999999999999</v>
      </c>
      <c r="AL160">
        <f t="shared" si="72"/>
        <v>4.2050000000000001</v>
      </c>
      <c r="AM160">
        <f t="shared" si="72"/>
        <v>55.599999999999994</v>
      </c>
      <c r="AN160">
        <f t="shared" si="72"/>
        <v>2.0249999999999999</v>
      </c>
      <c r="AO160">
        <f t="shared" si="72"/>
        <v>12.649999999999999</v>
      </c>
      <c r="AP160">
        <f t="shared" si="72"/>
        <v>61.3</v>
      </c>
      <c r="AQ160">
        <f t="shared" si="72"/>
        <v>14.625</v>
      </c>
      <c r="AR160">
        <f t="shared" si="72"/>
        <v>56.349999999999994</v>
      </c>
      <c r="AS160">
        <f t="shared" si="72"/>
        <v>13.524999999999999</v>
      </c>
      <c r="AT160"/>
      <c r="AU160">
        <f t="shared" si="72"/>
        <v>9</v>
      </c>
      <c r="AV160">
        <f t="shared" si="72"/>
        <v>1260</v>
      </c>
      <c r="AW160">
        <f t="shared" si="72"/>
        <v>0.7</v>
      </c>
      <c r="AX160">
        <f t="shared" si="72"/>
        <v>2.58</v>
      </c>
      <c r="AY160">
        <f t="shared" si="72"/>
        <v>1.1200000000000001</v>
      </c>
      <c r="AZ160">
        <f t="shared" si="72"/>
        <v>2.3049999999999997</v>
      </c>
      <c r="BA160">
        <f t="shared" si="72"/>
        <v>0.8</v>
      </c>
      <c r="BB160">
        <f t="shared" si="72"/>
        <v>7</v>
      </c>
      <c r="BC160">
        <f t="shared" si="72"/>
        <v>1</v>
      </c>
      <c r="BD160">
        <f t="shared" si="72"/>
        <v>112</v>
      </c>
      <c r="BE160">
        <f t="shared" si="72"/>
        <v>15.95</v>
      </c>
      <c r="BF160">
        <f t="shared" si="72"/>
        <v>606</v>
      </c>
      <c r="BG160" s="64"/>
      <c r="BH160" s="64"/>
      <c r="BI160" s="64"/>
      <c r="BJ160" s="64"/>
      <c r="BK160" s="64"/>
      <c r="BL160" s="64"/>
      <c r="BM160" s="64"/>
      <c r="BP160" s="64"/>
      <c r="BQ160" s="64"/>
      <c r="BR160" s="64"/>
      <c r="BS160" s="64"/>
    </row>
    <row r="161" spans="1:71" x14ac:dyDescent="0.25">
      <c r="A161" t="s">
        <v>423</v>
      </c>
      <c r="C161" t="s">
        <v>421</v>
      </c>
      <c r="D161" t="s">
        <v>420</v>
      </c>
      <c r="AB161" s="86">
        <f t="shared" ref="AB161:BF161" si="73">STDEV(AB143,AB150,AB156)</f>
        <v>10.606601717798213</v>
      </c>
      <c r="AC161" s="86">
        <f t="shared" si="73"/>
        <v>3.1819805153394638</v>
      </c>
      <c r="AD161" s="86">
        <f t="shared" si="73"/>
        <v>0</v>
      </c>
      <c r="AE161" s="86">
        <f t="shared" si="73"/>
        <v>7.0710678118654821E-2</v>
      </c>
      <c r="AF161" s="86">
        <f t="shared" si="73"/>
        <v>0.35355339059327379</v>
      </c>
      <c r="AG161" s="86">
        <f t="shared" si="73"/>
        <v>0.17677669529663689</v>
      </c>
      <c r="AH161" s="86">
        <f t="shared" si="73"/>
        <v>8.4852813742385624E-2</v>
      </c>
      <c r="AI161" s="86">
        <f t="shared" si="73"/>
        <v>0.56568542494923602</v>
      </c>
      <c r="AJ161" s="86">
        <f t="shared" si="73"/>
        <v>0.24748737341529137</v>
      </c>
      <c r="AK161" s="86">
        <f t="shared" si="73"/>
        <v>0.42426406871192823</v>
      </c>
      <c r="AL161" s="86">
        <f t="shared" si="73"/>
        <v>7.0710678118653244E-3</v>
      </c>
      <c r="AM161" s="86">
        <f t="shared" si="73"/>
        <v>0.42426406871192951</v>
      </c>
      <c r="AN161" s="86">
        <f t="shared" si="73"/>
        <v>2.12132034355966E-2</v>
      </c>
      <c r="AO161" s="86">
        <f t="shared" si="73"/>
        <v>7.0710678118654502E-2</v>
      </c>
      <c r="AP161" s="86">
        <f t="shared" si="73"/>
        <v>2.1213203435596424</v>
      </c>
      <c r="AQ161" s="86">
        <f t="shared" si="73"/>
        <v>0.38890872965260165</v>
      </c>
      <c r="AR161" s="86">
        <f t="shared" si="73"/>
        <v>4.1719300090006293</v>
      </c>
      <c r="AS161" s="86">
        <f t="shared" si="73"/>
        <v>0.10606601717798238</v>
      </c>
      <c r="AT161" s="86"/>
      <c r="AU161" s="86">
        <f t="shared" si="73"/>
        <v>0</v>
      </c>
      <c r="AV161" s="86">
        <f t="shared" si="73"/>
        <v>56.568542494923804</v>
      </c>
      <c r="AW161" s="86">
        <f t="shared" si="73"/>
        <v>0</v>
      </c>
      <c r="AX161" s="86">
        <f t="shared" si="73"/>
        <v>5.6568542494923851E-2</v>
      </c>
      <c r="AY161" s="86">
        <f t="shared" si="73"/>
        <v>1.4142135623730807E-2</v>
      </c>
      <c r="AZ161" s="86">
        <f t="shared" si="73"/>
        <v>2.1213203435596288E-2</v>
      </c>
      <c r="BA161" s="86">
        <f t="shared" si="73"/>
        <v>7.0710678118654738E-2</v>
      </c>
      <c r="BB161" s="86">
        <f t="shared" si="73"/>
        <v>0</v>
      </c>
      <c r="BC161" s="86">
        <f t="shared" si="73"/>
        <v>0</v>
      </c>
      <c r="BD161" s="86">
        <f t="shared" si="73"/>
        <v>0.70710678118654757</v>
      </c>
      <c r="BE161" s="86">
        <f t="shared" si="73"/>
        <v>0.14142135623731025</v>
      </c>
      <c r="BF161" s="86">
        <f t="shared" si="73"/>
        <v>14.142135623730951</v>
      </c>
      <c r="BG161" s="64"/>
      <c r="BH161" s="64"/>
      <c r="BI161" s="64"/>
      <c r="BJ161" s="64"/>
      <c r="BK161" s="64"/>
      <c r="BL161" s="64"/>
      <c r="BM161" s="64"/>
      <c r="BP161" s="64"/>
      <c r="BQ161" s="64"/>
      <c r="BR161" s="64"/>
      <c r="BS161" s="64"/>
    </row>
    <row r="162" spans="1:71" x14ac:dyDescent="0.25">
      <c r="A162" t="s">
        <v>424</v>
      </c>
      <c r="C162" t="s">
        <v>421</v>
      </c>
      <c r="D162" t="s">
        <v>420</v>
      </c>
      <c r="AB162" s="86">
        <f t="shared" ref="AB162:BF162" si="74">2*AB161</f>
        <v>21.213203435596427</v>
      </c>
      <c r="AC162" s="86">
        <f t="shared" si="74"/>
        <v>6.3639610306789276</v>
      </c>
      <c r="AD162" s="86">
        <f t="shared" si="74"/>
        <v>0</v>
      </c>
      <c r="AE162" s="86">
        <f t="shared" si="74"/>
        <v>0.14142135623730964</v>
      </c>
      <c r="AF162" s="86">
        <f t="shared" si="74"/>
        <v>0.70710678118654757</v>
      </c>
      <c r="AG162" s="86">
        <f t="shared" si="74"/>
        <v>0.35355339059327379</v>
      </c>
      <c r="AH162" s="86">
        <f t="shared" si="74"/>
        <v>0.16970562748477125</v>
      </c>
      <c r="AI162" s="86">
        <f t="shared" si="74"/>
        <v>1.131370849898472</v>
      </c>
      <c r="AJ162" s="86">
        <f t="shared" si="74"/>
        <v>0.49497474683058273</v>
      </c>
      <c r="AK162" s="86">
        <f t="shared" si="74"/>
        <v>0.84852813742385647</v>
      </c>
      <c r="AL162" s="86">
        <f t="shared" si="74"/>
        <v>1.4142135623730649E-2</v>
      </c>
      <c r="AM162" s="86">
        <f t="shared" si="74"/>
        <v>0.84852813742385902</v>
      </c>
      <c r="AN162" s="86">
        <f t="shared" si="74"/>
        <v>4.2426406871193201E-2</v>
      </c>
      <c r="AO162" s="86">
        <f t="shared" si="74"/>
        <v>0.141421356237309</v>
      </c>
      <c r="AP162" s="86">
        <f t="shared" si="74"/>
        <v>4.2426406871192848</v>
      </c>
      <c r="AQ162" s="86">
        <f t="shared" si="74"/>
        <v>0.7778174593052033</v>
      </c>
      <c r="AR162" s="86">
        <f t="shared" si="74"/>
        <v>8.3438600180012585</v>
      </c>
      <c r="AS162" s="86">
        <f t="shared" si="74"/>
        <v>0.21213203435596475</v>
      </c>
      <c r="AT162" s="86"/>
      <c r="AU162" s="86">
        <f t="shared" si="74"/>
        <v>0</v>
      </c>
      <c r="AV162" s="86">
        <f t="shared" si="74"/>
        <v>113.13708498984761</v>
      </c>
      <c r="AW162" s="86">
        <f t="shared" si="74"/>
        <v>0</v>
      </c>
      <c r="AX162" s="86">
        <f t="shared" si="74"/>
        <v>0.1131370849898477</v>
      </c>
      <c r="AY162" s="86">
        <f t="shared" si="74"/>
        <v>2.8284271247461613E-2</v>
      </c>
      <c r="AZ162" s="86">
        <f t="shared" si="74"/>
        <v>4.2426406871192576E-2</v>
      </c>
      <c r="BA162" s="86">
        <f t="shared" si="74"/>
        <v>0.14142135623730948</v>
      </c>
      <c r="BB162" s="86">
        <f t="shared" si="74"/>
        <v>0</v>
      </c>
      <c r="BC162" s="86">
        <f t="shared" si="74"/>
        <v>0</v>
      </c>
      <c r="BD162" s="86">
        <f t="shared" si="74"/>
        <v>1.4142135623730951</v>
      </c>
      <c r="BE162" s="86">
        <f t="shared" si="74"/>
        <v>0.28284271247462051</v>
      </c>
      <c r="BF162" s="86">
        <f t="shared" si="74"/>
        <v>28.284271247461902</v>
      </c>
      <c r="BG162" s="64"/>
      <c r="BH162" s="64"/>
      <c r="BI162" s="64"/>
      <c r="BJ162" s="64"/>
      <c r="BK162" s="64"/>
      <c r="BL162" s="64"/>
      <c r="BM162" s="64"/>
      <c r="BP162" s="64"/>
      <c r="BQ162" s="64"/>
      <c r="BR162" s="64"/>
      <c r="BS162" s="64"/>
    </row>
    <row r="163" spans="1:71" x14ac:dyDescent="0.25">
      <c r="A163" s="13" t="s">
        <v>387</v>
      </c>
      <c r="L163" s="51">
        <f>ABS(L160-L159)</f>
        <v>0.69999999999999574</v>
      </c>
      <c r="M163" s="51">
        <f t="shared" ref="M163:BF163" si="75">ABS(M160-M159)</f>
        <v>0</v>
      </c>
      <c r="N163" s="51">
        <f t="shared" si="75"/>
        <v>9.9999999999997868E-3</v>
      </c>
      <c r="O163" s="51">
        <f t="shared" si="75"/>
        <v>0.13000000000000078</v>
      </c>
      <c r="P163" s="51">
        <f t="shared" si="75"/>
        <v>2.0000000000000018E-2</v>
      </c>
      <c r="Q163" s="51">
        <f t="shared" si="75"/>
        <v>6.0000000000000497E-2</v>
      </c>
      <c r="R163" s="51">
        <f t="shared" si="75"/>
        <v>0</v>
      </c>
      <c r="S163" s="51">
        <f t="shared" si="75"/>
        <v>1E-3</v>
      </c>
      <c r="T163" s="51">
        <f t="shared" si="75"/>
        <v>9.9999999999999534E-3</v>
      </c>
      <c r="U163" s="51">
        <f t="shared" si="75"/>
        <v>0</v>
      </c>
      <c r="V163" s="51">
        <f t="shared" si="75"/>
        <v>1.0000000000000009E-2</v>
      </c>
      <c r="W163" s="51">
        <f t="shared" si="75"/>
        <v>1.0000000000000009E-2</v>
      </c>
      <c r="X163" s="51">
        <f t="shared" si="75"/>
        <v>0</v>
      </c>
      <c r="AA163" s="51">
        <f t="shared" si="75"/>
        <v>98.62</v>
      </c>
      <c r="AB163" s="51">
        <f t="shared" si="75"/>
        <v>18.5</v>
      </c>
      <c r="AC163" s="51">
        <f t="shared" si="75"/>
        <v>2.25</v>
      </c>
      <c r="AD163" s="51">
        <f t="shared" si="75"/>
        <v>0</v>
      </c>
      <c r="AE163" s="51">
        <f t="shared" si="75"/>
        <v>2.0000000000000018E-2</v>
      </c>
      <c r="AF163" s="51">
        <f t="shared" si="75"/>
        <v>1.5500000000000007</v>
      </c>
      <c r="AG163" s="51">
        <f t="shared" si="75"/>
        <v>0.92500000000000071</v>
      </c>
      <c r="AH163" s="51">
        <f t="shared" si="75"/>
        <v>3.0000000000000249E-2</v>
      </c>
      <c r="AI163" s="51">
        <f t="shared" si="75"/>
        <v>0</v>
      </c>
      <c r="AJ163" s="51">
        <f t="shared" si="75"/>
        <v>0.47500000000000142</v>
      </c>
      <c r="AK163" s="51">
        <f t="shared" si="75"/>
        <v>0.79999999999999893</v>
      </c>
      <c r="AL163" s="51">
        <f t="shared" si="75"/>
        <v>9.4999999999999751E-2</v>
      </c>
      <c r="AM163" s="51">
        <f t="shared" si="75"/>
        <v>2.4000000000000057</v>
      </c>
      <c r="AN163" s="51">
        <f t="shared" si="75"/>
        <v>7.5000000000000178E-2</v>
      </c>
      <c r="AO163" s="51">
        <f t="shared" si="75"/>
        <v>0.35000000000000142</v>
      </c>
      <c r="AP163" s="51">
        <f t="shared" si="75"/>
        <v>4.2999999999999972</v>
      </c>
      <c r="AQ163" s="51">
        <f t="shared" si="75"/>
        <v>0.375</v>
      </c>
      <c r="AR163" s="51">
        <f t="shared" si="75"/>
        <v>1.3499999999999943</v>
      </c>
      <c r="AS163" s="51">
        <f t="shared" si="75"/>
        <v>0.82499999999999929</v>
      </c>
      <c r="AU163" s="51">
        <f t="shared" si="75"/>
        <v>1</v>
      </c>
      <c r="AV163" s="51">
        <f t="shared" si="75"/>
        <v>70</v>
      </c>
      <c r="AW163" s="51">
        <f t="shared" si="75"/>
        <v>0.20000000000000007</v>
      </c>
      <c r="AX163" s="51">
        <f t="shared" si="75"/>
        <v>2.0000000000000018E-2</v>
      </c>
      <c r="AY163" s="51">
        <f t="shared" si="75"/>
        <v>0.16999999999999993</v>
      </c>
      <c r="AZ163" s="51">
        <f t="shared" si="75"/>
        <v>4.9999999999998934E-3</v>
      </c>
      <c r="BA163" s="51">
        <f t="shared" si="75"/>
        <v>0</v>
      </c>
      <c r="BB163" s="51">
        <f t="shared" si="75"/>
        <v>1</v>
      </c>
      <c r="BC163" s="51">
        <f t="shared" si="75"/>
        <v>0</v>
      </c>
      <c r="BD163" s="51">
        <f t="shared" si="75"/>
        <v>7</v>
      </c>
      <c r="BE163" s="51">
        <f t="shared" si="75"/>
        <v>1.1499999999999986</v>
      </c>
      <c r="BF163" s="51">
        <f t="shared" si="75"/>
        <v>1</v>
      </c>
      <c r="BG163" s="64"/>
      <c r="BH163" s="64"/>
      <c r="BI163" s="64"/>
      <c r="BJ163" s="64"/>
      <c r="BK163" s="64"/>
      <c r="BL163" s="64"/>
      <c r="BM163" s="64"/>
      <c r="BP163" s="64"/>
      <c r="BQ163" s="64"/>
      <c r="BR163" s="64"/>
      <c r="BS163" s="64"/>
    </row>
    <row r="164" spans="1:71" x14ac:dyDescent="0.25">
      <c r="A164" s="13" t="s">
        <v>389</v>
      </c>
      <c r="L164" s="118">
        <f>L163/L159</f>
        <v>1.4028056112224364E-2</v>
      </c>
      <c r="M164" s="118">
        <f t="shared" ref="M164:BF164" si="76">M163/M159</f>
        <v>0</v>
      </c>
      <c r="N164" s="118">
        <f t="shared" si="76"/>
        <v>1.6103059581320108E-3</v>
      </c>
      <c r="O164" s="118">
        <f t="shared" si="76"/>
        <v>1.6149068322981464E-2</v>
      </c>
      <c r="P164" s="118">
        <f t="shared" si="76"/>
        <v>3.703703703703707E-2</v>
      </c>
      <c r="Q164" s="118">
        <f t="shared" si="76"/>
        <v>8.4507042253521829E-3</v>
      </c>
      <c r="R164" s="118">
        <f t="shared" si="76"/>
        <v>0</v>
      </c>
      <c r="S164" s="118">
        <f t="shared" si="76"/>
        <v>1</v>
      </c>
      <c r="T164" s="118">
        <f t="shared" si="76"/>
        <v>3.4482758620689495E-2</v>
      </c>
      <c r="U164" s="118">
        <f t="shared" si="76"/>
        <v>0</v>
      </c>
      <c r="V164" s="118">
        <f t="shared" si="76"/>
        <v>7.6923076923076983E-2</v>
      </c>
      <c r="W164" s="118">
        <f t="shared" si="76"/>
        <v>7.142857142857148E-2</v>
      </c>
      <c r="X164" s="118">
        <f t="shared" si="76"/>
        <v>0</v>
      </c>
      <c r="Y164" s="118"/>
      <c r="Z164" s="118"/>
      <c r="AA164" s="118" t="e">
        <f t="shared" si="76"/>
        <v>#DIV/0!</v>
      </c>
      <c r="AB164" s="118">
        <f t="shared" si="76"/>
        <v>5.4411764705882354E-2</v>
      </c>
      <c r="AC164" s="118">
        <f t="shared" si="76"/>
        <v>1.8442622950819672E-2</v>
      </c>
      <c r="AD164" s="118">
        <f t="shared" si="76"/>
        <v>0</v>
      </c>
      <c r="AE164" s="118">
        <f t="shared" si="76"/>
        <v>1.3333333333333345E-2</v>
      </c>
      <c r="AF164" s="118">
        <f t="shared" si="76"/>
        <v>8.5164835164835209E-2</v>
      </c>
      <c r="AG164" s="118">
        <f t="shared" si="76"/>
        <v>6.5140845070422587E-2</v>
      </c>
      <c r="AH164" s="118">
        <f t="shared" si="76"/>
        <v>1.5000000000000124E-2</v>
      </c>
      <c r="AI164" s="118">
        <f t="shared" si="76"/>
        <v>0</v>
      </c>
      <c r="AJ164" s="118">
        <f t="shared" si="76"/>
        <v>3.392857142857153E-2</v>
      </c>
      <c r="AK164" s="118">
        <f t="shared" si="76"/>
        <v>7.2072072072071974E-2</v>
      </c>
      <c r="AL164" s="118">
        <f t="shared" si="76"/>
        <v>2.2093023255813898E-2</v>
      </c>
      <c r="AM164" s="118">
        <f t="shared" si="76"/>
        <v>4.1379310344827683E-2</v>
      </c>
      <c r="AN164" s="118">
        <f t="shared" si="76"/>
        <v>3.5714285714285796E-2</v>
      </c>
      <c r="AO164" s="118">
        <f t="shared" si="76"/>
        <v>2.6923076923077032E-2</v>
      </c>
      <c r="AP164" s="118">
        <f t="shared" si="76"/>
        <v>7.5438596491228027E-2</v>
      </c>
      <c r="AQ164" s="118">
        <f t="shared" si="76"/>
        <v>2.5000000000000001E-2</v>
      </c>
      <c r="AR164" s="118">
        <f t="shared" si="76"/>
        <v>2.4545454545454443E-2</v>
      </c>
      <c r="AS164" s="118">
        <f t="shared" si="76"/>
        <v>6.4960629921259797E-2</v>
      </c>
      <c r="AT164" s="118"/>
      <c r="AU164" s="118">
        <f t="shared" si="76"/>
        <v>0.125</v>
      </c>
      <c r="AV164" s="118">
        <f t="shared" si="76"/>
        <v>5.8823529411764705E-2</v>
      </c>
      <c r="AW164" s="118">
        <f t="shared" si="76"/>
        <v>0.22222222222222229</v>
      </c>
      <c r="AX164" s="118">
        <f t="shared" si="76"/>
        <v>7.6923076923076988E-3</v>
      </c>
      <c r="AY164" s="118">
        <f t="shared" si="76"/>
        <v>0.13178294573643404</v>
      </c>
      <c r="AZ164" s="118">
        <f t="shared" si="76"/>
        <v>2.1739130434782145E-3</v>
      </c>
      <c r="BA164" s="118">
        <f t="shared" si="76"/>
        <v>0</v>
      </c>
      <c r="BB164" s="118">
        <f t="shared" si="76"/>
        <v>0.125</v>
      </c>
      <c r="BC164" s="118">
        <f t="shared" si="76"/>
        <v>0</v>
      </c>
      <c r="BD164" s="118">
        <f t="shared" si="76"/>
        <v>5.8823529411764705E-2</v>
      </c>
      <c r="BE164" s="118">
        <f t="shared" si="76"/>
        <v>7.7702702702702603E-2</v>
      </c>
      <c r="BF164" s="118">
        <f t="shared" si="76"/>
        <v>1.652892561983471E-3</v>
      </c>
      <c r="BG164" s="64"/>
      <c r="BH164" s="64"/>
      <c r="BI164" s="64"/>
      <c r="BJ164" s="64"/>
      <c r="BK164" s="64"/>
      <c r="BL164" s="64"/>
      <c r="BM164" s="64"/>
      <c r="BP164" s="64"/>
      <c r="BQ164" s="64"/>
      <c r="BR164" s="64"/>
      <c r="BS164" s="64"/>
    </row>
    <row r="165" spans="1:71" x14ac:dyDescent="0.25">
      <c r="A165" s="13" t="s">
        <v>390</v>
      </c>
      <c r="AA165" s="51">
        <f t="shared" ref="AA165:BF165" si="77">AA161/AA160</f>
        <v>0</v>
      </c>
      <c r="AB165" s="137">
        <f t="shared" si="77"/>
        <v>2.9586057790232115E-2</v>
      </c>
      <c r="AC165" s="137">
        <f t="shared" si="77"/>
        <v>2.6571862341039365E-2</v>
      </c>
      <c r="AD165" s="137">
        <f t="shared" si="77"/>
        <v>0</v>
      </c>
      <c r="AE165" s="137">
        <f t="shared" si="77"/>
        <v>4.7777485215307315E-2</v>
      </c>
      <c r="AF165" s="137">
        <f t="shared" si="77"/>
        <v>1.790143749839361E-2</v>
      </c>
      <c r="AG165" s="137">
        <f t="shared" si="77"/>
        <v>1.1687715391513183E-2</v>
      </c>
      <c r="AH165" s="137">
        <f t="shared" si="77"/>
        <v>4.3072494285474938E-2</v>
      </c>
      <c r="AI165" s="137">
        <f t="shared" si="77"/>
        <v>1.5330228318407481E-2</v>
      </c>
      <c r="AJ165" s="137">
        <f t="shared" si="77"/>
        <v>1.7097573292938952E-2</v>
      </c>
      <c r="AK165" s="137">
        <f t="shared" si="77"/>
        <v>3.5652442748901537E-2</v>
      </c>
      <c r="AL165" s="137">
        <f t="shared" si="77"/>
        <v>1.6815856865315872E-3</v>
      </c>
      <c r="AM165" s="137">
        <f t="shared" si="77"/>
        <v>7.6306487178404592E-3</v>
      </c>
      <c r="AN165" s="137">
        <f t="shared" si="77"/>
        <v>1.0475656017578569E-2</v>
      </c>
      <c r="AO165" s="137">
        <f t="shared" si="77"/>
        <v>5.5897769263758505E-3</v>
      </c>
      <c r="AP165" s="137">
        <f t="shared" si="77"/>
        <v>3.4605552097220924E-2</v>
      </c>
      <c r="AQ165" s="137">
        <f t="shared" si="77"/>
        <v>2.6592049890776182E-2</v>
      </c>
      <c r="AR165" s="137">
        <f t="shared" si="77"/>
        <v>7.4036025004447725E-2</v>
      </c>
      <c r="AS165" s="137">
        <f t="shared" si="77"/>
        <v>7.8422193846937067E-3</v>
      </c>
      <c r="AT165" s="137"/>
      <c r="AU165" s="137">
        <f t="shared" si="77"/>
        <v>0</v>
      </c>
      <c r="AV165" s="137">
        <f t="shared" si="77"/>
        <v>4.4895668646764926E-2</v>
      </c>
      <c r="AW165" s="137">
        <f t="shared" si="77"/>
        <v>0</v>
      </c>
      <c r="AX165" s="137">
        <f t="shared" si="77"/>
        <v>2.1925791664699167E-2</v>
      </c>
      <c r="AY165" s="137">
        <f t="shared" si="77"/>
        <v>1.2626906806902505E-2</v>
      </c>
      <c r="AZ165" s="137">
        <f t="shared" si="77"/>
        <v>9.2031251347489337E-3</v>
      </c>
      <c r="BA165" s="137">
        <f t="shared" si="77"/>
        <v>8.8388347648318419E-2</v>
      </c>
      <c r="BB165" s="137">
        <f t="shared" si="77"/>
        <v>0</v>
      </c>
      <c r="BC165" s="137">
        <f t="shared" si="77"/>
        <v>0</v>
      </c>
      <c r="BD165" s="137">
        <f t="shared" si="77"/>
        <v>6.3134534034513176E-3</v>
      </c>
      <c r="BE165" s="137">
        <f t="shared" si="77"/>
        <v>8.8665427108031505E-3</v>
      </c>
      <c r="BF165" s="137">
        <f t="shared" si="77"/>
        <v>2.333685746490256E-2</v>
      </c>
      <c r="BG165" s="64"/>
      <c r="BH165" s="64"/>
      <c r="BI165" s="64"/>
      <c r="BJ165" s="64"/>
      <c r="BK165" s="64"/>
      <c r="BL165" s="64"/>
      <c r="BM165" s="64"/>
      <c r="BP165" s="64"/>
      <c r="BQ165" s="64"/>
      <c r="BR165" s="64"/>
      <c r="BS165" s="64"/>
    </row>
    <row r="166" spans="1:71" x14ac:dyDescent="0.25">
      <c r="AA166" s="55"/>
      <c r="BG166" s="64"/>
      <c r="BH166" s="64"/>
      <c r="BI166" s="64"/>
      <c r="BJ166" s="64"/>
      <c r="BK166" s="64"/>
      <c r="BL166" s="64"/>
      <c r="BM166" s="64"/>
      <c r="BP166" s="64"/>
      <c r="BQ166" s="64"/>
      <c r="BR166" s="64"/>
      <c r="BS166" s="64"/>
    </row>
    <row r="167" spans="1:71" x14ac:dyDescent="0.25">
      <c r="A167" s="13" t="s">
        <v>425</v>
      </c>
      <c r="L167" s="64">
        <v>65.8</v>
      </c>
      <c r="M167" s="64">
        <v>12.4</v>
      </c>
      <c r="N167" s="64">
        <v>8.16</v>
      </c>
      <c r="O167" s="64">
        <v>1.98</v>
      </c>
      <c r="P167" s="64">
        <v>2.25</v>
      </c>
      <c r="Q167" s="64">
        <v>0.18</v>
      </c>
      <c r="R167" s="64">
        <v>4.38</v>
      </c>
      <c r="S167" s="64">
        <v>4.0000000000000001E-3</v>
      </c>
      <c r="T167" s="64">
        <v>0.28999999999999998</v>
      </c>
      <c r="U167" s="64">
        <v>7.0000000000000007E-2</v>
      </c>
      <c r="V167" s="64">
        <v>0.14000000000000001</v>
      </c>
      <c r="W167" s="64"/>
      <c r="X167" s="64">
        <v>0.04</v>
      </c>
      <c r="AA167" s="55"/>
      <c r="BG167" s="64"/>
      <c r="BH167" s="64"/>
      <c r="BI167" s="64"/>
      <c r="BJ167" s="64"/>
      <c r="BK167" s="64"/>
      <c r="BL167" s="64"/>
      <c r="BM167" s="64"/>
      <c r="BP167" s="64"/>
      <c r="BQ167" s="64"/>
      <c r="BR167" s="64"/>
      <c r="BS167" s="64"/>
    </row>
    <row r="168" spans="1:71" x14ac:dyDescent="0.25">
      <c r="A168" t="s">
        <v>426</v>
      </c>
      <c r="C168" t="s">
        <v>420</v>
      </c>
      <c r="D168" t="s">
        <v>421</v>
      </c>
      <c r="L168" s="64">
        <f t="shared" ref="L168:X168" si="78">AVERAGE(L142,L147)</f>
        <v>65.199999999999989</v>
      </c>
      <c r="M168" s="64">
        <f t="shared" si="78"/>
        <v>12.3</v>
      </c>
      <c r="N168" s="64">
        <f t="shared" si="78"/>
        <v>8.0300000000000011</v>
      </c>
      <c r="O168" s="64">
        <f t="shared" si="78"/>
        <v>1.9550000000000001</v>
      </c>
      <c r="P168" s="64">
        <f t="shared" si="78"/>
        <v>2.2450000000000001</v>
      </c>
      <c r="Q168" s="64">
        <f t="shared" si="78"/>
        <v>0.155</v>
      </c>
      <c r="R168" s="64">
        <f t="shared" si="78"/>
        <v>4.3049999999999997</v>
      </c>
      <c r="S168" s="64">
        <f t="shared" si="78"/>
        <v>4.5000000000000005E-3</v>
      </c>
      <c r="T168" s="64">
        <f t="shared" si="78"/>
        <v>0.28500000000000003</v>
      </c>
      <c r="U168" s="64">
        <f t="shared" si="78"/>
        <v>0.06</v>
      </c>
      <c r="V168" s="64">
        <f t="shared" si="78"/>
        <v>0.14000000000000001</v>
      </c>
      <c r="W168" s="64" t="e">
        <f t="shared" si="78"/>
        <v>#DIV/0!</v>
      </c>
      <c r="X168" s="64">
        <f t="shared" si="78"/>
        <v>0.04</v>
      </c>
      <c r="Y168" s="64"/>
      <c r="Z168" s="64"/>
      <c r="AA168" s="64">
        <f t="shared" ref="AA168:AS168" si="79">AVERAGE(AA142,AA147)</f>
        <v>94.8</v>
      </c>
      <c r="AB168" s="64">
        <f t="shared" si="79"/>
        <v>368</v>
      </c>
      <c r="AC168" s="64">
        <f t="shared" si="79"/>
        <v>557</v>
      </c>
      <c r="AD168" s="64">
        <f t="shared" si="79"/>
        <v>40</v>
      </c>
      <c r="AE168" s="64">
        <f t="shared" si="79"/>
        <v>2.94</v>
      </c>
      <c r="AF168" s="64">
        <f t="shared" si="79"/>
        <v>17</v>
      </c>
      <c r="AG168" s="64">
        <f t="shared" si="79"/>
        <v>10.95</v>
      </c>
      <c r="AH168" s="64">
        <f t="shared" si="79"/>
        <v>3.72</v>
      </c>
      <c r="AI168" s="64">
        <f t="shared" si="79"/>
        <v>22.2</v>
      </c>
      <c r="AJ168" s="64">
        <f t="shared" si="79"/>
        <v>19.2</v>
      </c>
      <c r="AK168" s="64">
        <f t="shared" si="79"/>
        <v>10.1</v>
      </c>
      <c r="AL168" s="64">
        <f t="shared" si="79"/>
        <v>3.31</v>
      </c>
      <c r="AM168" s="64">
        <f t="shared" si="79"/>
        <v>307</v>
      </c>
      <c r="AN168" s="64">
        <f t="shared" si="79"/>
        <v>1.53</v>
      </c>
      <c r="AO168" s="64">
        <f t="shared" si="79"/>
        <v>33.700000000000003</v>
      </c>
      <c r="AP168" s="64">
        <f t="shared" si="79"/>
        <v>182.5</v>
      </c>
      <c r="AQ168" s="64">
        <f t="shared" si="79"/>
        <v>53.6</v>
      </c>
      <c r="AR168" s="64">
        <f t="shared" si="79"/>
        <v>271</v>
      </c>
      <c r="AS168" s="64">
        <f t="shared" si="79"/>
        <v>25</v>
      </c>
      <c r="AT168" s="64"/>
      <c r="AU168" s="64">
        <f t="shared" ref="AU168:BF168" si="80">AVERAGE(AU142,AU147)</f>
        <v>8</v>
      </c>
      <c r="AV168" s="64">
        <f t="shared" si="80"/>
        <v>38.700000000000003</v>
      </c>
      <c r="AW168" s="64">
        <f t="shared" si="80"/>
        <v>2.4</v>
      </c>
      <c r="AX168" s="64">
        <f t="shared" si="80"/>
        <v>2.76</v>
      </c>
      <c r="AY168" s="64">
        <f t="shared" si="80"/>
        <v>36.799999999999997</v>
      </c>
      <c r="AZ168" s="64">
        <f t="shared" si="80"/>
        <v>1.58</v>
      </c>
      <c r="BA168" s="64">
        <f t="shared" si="80"/>
        <v>680</v>
      </c>
      <c r="BB168" s="64">
        <f t="shared" si="80"/>
        <v>35</v>
      </c>
      <c r="BC168" s="64">
        <f t="shared" si="80"/>
        <v>9</v>
      </c>
      <c r="BD168" s="64">
        <f t="shared" si="80"/>
        <v>96.4</v>
      </c>
      <c r="BE168" s="64">
        <f t="shared" si="80"/>
        <v>11.05</v>
      </c>
      <c r="BF168" s="64">
        <f t="shared" si="80"/>
        <v>364</v>
      </c>
      <c r="BG168" s="64"/>
      <c r="BH168" s="64"/>
      <c r="BI168" s="64"/>
      <c r="BJ168" s="64"/>
      <c r="BK168" s="64"/>
      <c r="BL168" s="64"/>
      <c r="BM168" s="64"/>
      <c r="BP168" s="64"/>
      <c r="BQ168" s="64"/>
      <c r="BR168" s="64"/>
      <c r="BS168" s="64"/>
    </row>
    <row r="169" spans="1:71" x14ac:dyDescent="0.25">
      <c r="A169" t="s">
        <v>427</v>
      </c>
      <c r="C169" t="s">
        <v>420</v>
      </c>
      <c r="D169" t="s">
        <v>421</v>
      </c>
      <c r="L169" s="64">
        <f t="shared" ref="L169:X169" si="81">STDEV(L142,L147)</f>
        <v>0.14142135623731153</v>
      </c>
      <c r="M169" s="64">
        <f t="shared" si="81"/>
        <v>0</v>
      </c>
      <c r="N169" s="64">
        <f t="shared" si="81"/>
        <v>2.8284271247462554E-2</v>
      </c>
      <c r="O169" s="64">
        <f t="shared" si="81"/>
        <v>7.0710678118654814E-3</v>
      </c>
      <c r="P169" s="64">
        <f t="shared" si="81"/>
        <v>3.5355339059327251E-2</v>
      </c>
      <c r="Q169" s="64">
        <f t="shared" si="81"/>
        <v>7.0710678118654814E-3</v>
      </c>
      <c r="R169" s="64">
        <f t="shared" si="81"/>
        <v>2.12132034355966E-2</v>
      </c>
      <c r="S169" s="64">
        <f t="shared" si="81"/>
        <v>7.0710678118654762E-4</v>
      </c>
      <c r="T169" s="64">
        <f t="shared" si="81"/>
        <v>7.0710678118654424E-3</v>
      </c>
      <c r="U169" s="64">
        <f t="shared" si="81"/>
        <v>0</v>
      </c>
      <c r="V169" s="64">
        <f t="shared" si="81"/>
        <v>0</v>
      </c>
      <c r="W169" s="64" t="e">
        <f t="shared" si="81"/>
        <v>#DIV/0!</v>
      </c>
      <c r="X169" s="64">
        <f t="shared" si="81"/>
        <v>0</v>
      </c>
      <c r="Y169" s="64"/>
      <c r="Z169" s="64"/>
      <c r="AA169" s="64"/>
      <c r="AB169" s="64"/>
      <c r="AC169" s="64"/>
      <c r="AD169" s="64"/>
      <c r="AE169" s="64"/>
      <c r="AF169" s="64"/>
      <c r="AG169" s="64"/>
      <c r="AH169" s="64"/>
      <c r="AI169" s="64"/>
      <c r="AJ169" s="64"/>
      <c r="AK169" s="64"/>
      <c r="AL169" s="64"/>
      <c r="AM169" s="64"/>
      <c r="AN169" s="64"/>
      <c r="AO169" s="64"/>
      <c r="AP169" s="64"/>
      <c r="AQ169" s="64"/>
      <c r="AR169" s="64"/>
      <c r="AS169" s="64"/>
      <c r="AT169" s="64"/>
      <c r="AU169" s="64"/>
      <c r="AV169" s="64"/>
      <c r="AW169" s="64"/>
      <c r="AX169" s="64"/>
      <c r="AY169" s="64"/>
      <c r="AZ169" s="64"/>
      <c r="BA169" s="64"/>
      <c r="BB169" s="64"/>
      <c r="BC169" s="64"/>
      <c r="BD169" s="64"/>
      <c r="BE169" s="64"/>
      <c r="BF169" s="64"/>
      <c r="BG169" s="64"/>
      <c r="BH169" s="64"/>
      <c r="BI169" s="64"/>
      <c r="BJ169" s="64"/>
      <c r="BK169" s="64"/>
      <c r="BL169" s="64"/>
      <c r="BM169" s="64"/>
      <c r="BP169" s="64"/>
      <c r="BQ169" s="64"/>
      <c r="BR169" s="64"/>
      <c r="BS169" s="64"/>
    </row>
    <row r="170" spans="1:71" x14ac:dyDescent="0.25">
      <c r="A170" t="s">
        <v>428</v>
      </c>
      <c r="C170" t="s">
        <v>420</v>
      </c>
      <c r="D170" t="s">
        <v>421</v>
      </c>
      <c r="L170" s="64">
        <v>0.28284271247462306</v>
      </c>
      <c r="M170" s="64">
        <v>0</v>
      </c>
      <c r="N170" s="64">
        <v>5.6568542494925107E-2</v>
      </c>
      <c r="O170" s="64">
        <v>1.4142135623730963E-2</v>
      </c>
      <c r="P170" s="64">
        <v>7.0710678118654502E-2</v>
      </c>
      <c r="Q170" s="64">
        <v>1.4142135623730963E-2</v>
      </c>
      <c r="R170" s="64">
        <v>4.2426406871193201E-2</v>
      </c>
      <c r="S170" s="64">
        <v>1.4142135623730952E-3</v>
      </c>
      <c r="T170" s="64">
        <v>1.4142135623730885E-2</v>
      </c>
      <c r="U170" s="64">
        <v>0</v>
      </c>
      <c r="V170" s="64">
        <v>0</v>
      </c>
      <c r="W170" s="64" t="e">
        <v>#DIV/0!</v>
      </c>
      <c r="X170" s="64">
        <v>0</v>
      </c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64"/>
      <c r="BH170" s="64"/>
      <c r="BI170" s="64"/>
      <c r="BJ170" s="64"/>
      <c r="BK170" s="64"/>
      <c r="BL170" s="64"/>
      <c r="BM170" s="64"/>
      <c r="BP170" s="64"/>
      <c r="BQ170" s="64"/>
      <c r="BR170" s="64"/>
      <c r="BS170" s="64"/>
    </row>
    <row r="171" spans="1:71" x14ac:dyDescent="0.25">
      <c r="A171" s="13" t="s">
        <v>387</v>
      </c>
      <c r="L171" s="55">
        <f>ABS(L168-L167)</f>
        <v>0.60000000000000853</v>
      </c>
      <c r="M171" s="55">
        <f t="shared" ref="M171:X171" si="82">ABS(M168-M167)</f>
        <v>9.9999999999999645E-2</v>
      </c>
      <c r="N171" s="55">
        <f t="shared" si="82"/>
        <v>0.12999999999999901</v>
      </c>
      <c r="O171" s="55">
        <f t="shared" si="82"/>
        <v>2.4999999999999911E-2</v>
      </c>
      <c r="P171" s="55">
        <f t="shared" si="82"/>
        <v>4.9999999999998934E-3</v>
      </c>
      <c r="Q171" s="55">
        <f t="shared" si="82"/>
        <v>2.4999999999999994E-2</v>
      </c>
      <c r="R171" s="55">
        <f t="shared" si="82"/>
        <v>7.5000000000000178E-2</v>
      </c>
      <c r="S171" s="55">
        <f t="shared" si="82"/>
        <v>5.0000000000000044E-4</v>
      </c>
      <c r="T171" s="55">
        <f t="shared" si="82"/>
        <v>4.9999999999999489E-3</v>
      </c>
      <c r="U171" s="55">
        <f t="shared" si="82"/>
        <v>1.0000000000000009E-2</v>
      </c>
      <c r="V171" s="55">
        <f t="shared" si="82"/>
        <v>0</v>
      </c>
      <c r="W171" s="55" t="e">
        <f t="shared" si="82"/>
        <v>#DIV/0!</v>
      </c>
      <c r="X171" s="55">
        <f t="shared" si="82"/>
        <v>0</v>
      </c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55"/>
      <c r="AL171" s="55"/>
      <c r="AM171" s="55"/>
      <c r="AN171" s="55"/>
      <c r="AO171" s="55"/>
      <c r="AP171" s="55"/>
      <c r="AQ171" s="55"/>
      <c r="AR171" s="55"/>
      <c r="AS171" s="55"/>
      <c r="AT171" s="55"/>
      <c r="AU171" s="55"/>
      <c r="AV171" s="55"/>
      <c r="AW171" s="55"/>
      <c r="AX171" s="55"/>
      <c r="AY171" s="55"/>
      <c r="AZ171" s="55"/>
      <c r="BA171" s="55"/>
      <c r="BB171" s="55"/>
      <c r="BC171" s="55"/>
      <c r="BD171" s="55"/>
      <c r="BE171" s="55"/>
      <c r="BF171" s="55"/>
      <c r="BG171" s="64"/>
      <c r="BH171" s="64"/>
      <c r="BI171" s="64"/>
      <c r="BJ171" s="64"/>
      <c r="BK171" s="64"/>
      <c r="BL171" s="64"/>
      <c r="BM171" s="64"/>
      <c r="BP171" s="64"/>
      <c r="BQ171" s="64"/>
      <c r="BR171" s="64"/>
      <c r="BS171" s="64"/>
    </row>
    <row r="172" spans="1:71" x14ac:dyDescent="0.25">
      <c r="A172" s="13" t="s">
        <v>389</v>
      </c>
      <c r="L172" s="118">
        <f>L171/L167</f>
        <v>9.1185410334347801E-3</v>
      </c>
      <c r="M172" s="118">
        <f t="shared" ref="M172:X172" si="83">M171/M167</f>
        <v>8.0645161290322284E-3</v>
      </c>
      <c r="N172" s="118">
        <f t="shared" si="83"/>
        <v>1.5931372549019485E-2</v>
      </c>
      <c r="O172" s="118">
        <f t="shared" si="83"/>
        <v>1.2626262626262581E-2</v>
      </c>
      <c r="P172" s="118">
        <f t="shared" si="83"/>
        <v>2.2222222222221749E-3</v>
      </c>
      <c r="Q172" s="118">
        <f t="shared" si="83"/>
        <v>0.13888888888888887</v>
      </c>
      <c r="R172" s="118">
        <f t="shared" si="83"/>
        <v>1.7123287671232917E-2</v>
      </c>
      <c r="S172" s="118">
        <f t="shared" si="83"/>
        <v>0.12500000000000011</v>
      </c>
      <c r="T172" s="118">
        <f t="shared" si="83"/>
        <v>1.7241379310344654E-2</v>
      </c>
      <c r="U172" s="118">
        <f t="shared" si="83"/>
        <v>0.14285714285714296</v>
      </c>
      <c r="V172" s="118">
        <f t="shared" si="83"/>
        <v>0</v>
      </c>
      <c r="W172" s="118" t="e">
        <f t="shared" si="83"/>
        <v>#DIV/0!</v>
      </c>
      <c r="X172" s="118">
        <f t="shared" si="83"/>
        <v>0</v>
      </c>
      <c r="Y172" s="118"/>
      <c r="Z172" s="118"/>
      <c r="AA172" s="118"/>
      <c r="AB172" s="118"/>
      <c r="AC172" s="118"/>
      <c r="AD172" s="118"/>
      <c r="AE172" s="118"/>
      <c r="AF172" s="118"/>
      <c r="AG172" s="118"/>
      <c r="AH172" s="118"/>
      <c r="AI172" s="118"/>
      <c r="AJ172" s="118"/>
      <c r="AK172" s="118"/>
      <c r="AL172" s="118"/>
      <c r="AM172" s="118"/>
      <c r="AN172" s="118"/>
      <c r="AO172" s="118"/>
      <c r="AP172" s="118"/>
      <c r="AQ172" s="118"/>
      <c r="AR172" s="118"/>
      <c r="AS172" s="118"/>
      <c r="AT172" s="118"/>
      <c r="AU172" s="118"/>
      <c r="AV172" s="118"/>
      <c r="AW172" s="118"/>
      <c r="AX172" s="118"/>
      <c r="AY172" s="118"/>
      <c r="AZ172" s="118"/>
      <c r="BA172" s="118"/>
      <c r="BB172" s="118"/>
      <c r="BC172" s="118"/>
      <c r="BD172" s="118"/>
      <c r="BE172" s="118"/>
      <c r="BF172" s="118"/>
      <c r="BG172" s="64"/>
      <c r="BH172" s="64"/>
      <c r="BI172" s="64"/>
      <c r="BJ172" s="64"/>
      <c r="BK172" s="64"/>
      <c r="BL172" s="64"/>
      <c r="BM172" s="64"/>
      <c r="BP172" s="64"/>
      <c r="BQ172" s="64"/>
      <c r="BR172" s="64"/>
      <c r="BS172" s="64"/>
    </row>
    <row r="173" spans="1:71" x14ac:dyDescent="0.25">
      <c r="A173" s="13" t="s">
        <v>390</v>
      </c>
      <c r="L173" s="118">
        <f>L169/L168</f>
        <v>2.1690392060937356E-3</v>
      </c>
      <c r="M173" s="118">
        <f t="shared" ref="M173:X173" si="84">M169/M168</f>
        <v>0</v>
      </c>
      <c r="N173" s="118">
        <f t="shared" si="84"/>
        <v>3.5223251864835055E-3</v>
      </c>
      <c r="O173" s="118">
        <f t="shared" si="84"/>
        <v>3.6169144817726246E-3</v>
      </c>
      <c r="P173" s="118">
        <f t="shared" si="84"/>
        <v>1.574848065003441E-2</v>
      </c>
      <c r="Q173" s="118">
        <f t="shared" si="84"/>
        <v>4.5619792334616008E-2</v>
      </c>
      <c r="R173" s="118">
        <f t="shared" si="84"/>
        <v>4.9275733880596055E-3</v>
      </c>
      <c r="S173" s="118">
        <f t="shared" si="84"/>
        <v>0.15713484026367724</v>
      </c>
      <c r="T173" s="118">
        <f t="shared" si="84"/>
        <v>2.4810764252159445E-2</v>
      </c>
      <c r="U173" s="118">
        <f t="shared" si="84"/>
        <v>0</v>
      </c>
      <c r="V173" s="118">
        <f t="shared" si="84"/>
        <v>0</v>
      </c>
      <c r="W173" s="118" t="e">
        <f t="shared" si="84"/>
        <v>#DIV/0!</v>
      </c>
      <c r="X173" s="118">
        <f t="shared" si="84"/>
        <v>0</v>
      </c>
      <c r="Y173" s="118"/>
      <c r="Z173" s="118"/>
      <c r="AA173" s="118"/>
      <c r="AB173" s="118"/>
      <c r="AC173" s="118"/>
      <c r="AD173" s="118"/>
      <c r="AE173" s="118"/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/>
      <c r="AP173" s="118"/>
      <c r="AQ173" s="118"/>
      <c r="AR173" s="118"/>
      <c r="AS173" s="118"/>
      <c r="AT173" s="118"/>
      <c r="AU173" s="118"/>
      <c r="AV173" s="118"/>
      <c r="AW173" s="118"/>
      <c r="AX173" s="118"/>
      <c r="AY173" s="118"/>
      <c r="AZ173" s="118"/>
      <c r="BA173" s="118"/>
      <c r="BB173" s="118"/>
      <c r="BC173" s="118"/>
      <c r="BD173" s="118"/>
      <c r="BE173" s="118"/>
      <c r="BF173" s="118"/>
      <c r="BG173" s="64"/>
      <c r="BH173" s="64"/>
      <c r="BI173" s="64"/>
      <c r="BJ173" s="64"/>
      <c r="BK173" s="64"/>
      <c r="BL173" s="64"/>
      <c r="BM173" s="64"/>
      <c r="BP173" s="64"/>
      <c r="BQ173" s="64"/>
      <c r="BR173" s="64"/>
      <c r="BS173" s="64"/>
    </row>
    <row r="174" spans="1:71" x14ac:dyDescent="0.25">
      <c r="AA174" s="55"/>
      <c r="BG174" s="64"/>
      <c r="BH174" s="64"/>
      <c r="BI174" s="64"/>
      <c r="BJ174" s="64"/>
      <c r="BK174" s="64"/>
      <c r="BL174" s="64"/>
      <c r="BM174" s="64"/>
      <c r="BP174" s="64"/>
      <c r="BQ174" s="64"/>
      <c r="BR174" s="64"/>
      <c r="BS174" s="64"/>
    </row>
    <row r="175" spans="1:71" x14ac:dyDescent="0.25">
      <c r="A175" s="13" t="s">
        <v>429</v>
      </c>
      <c r="L175">
        <v>67.099999999999994</v>
      </c>
      <c r="M175">
        <v>6.78</v>
      </c>
      <c r="N175">
        <v>5.95</v>
      </c>
      <c r="O175">
        <v>3.22</v>
      </c>
      <c r="P175">
        <v>1.48</v>
      </c>
      <c r="Q175">
        <v>1.95</v>
      </c>
      <c r="R175">
        <v>3.72</v>
      </c>
      <c r="S175">
        <v>0.04</v>
      </c>
      <c r="T175">
        <v>0.64</v>
      </c>
      <c r="U175">
        <v>0.2</v>
      </c>
      <c r="V175">
        <v>0.06</v>
      </c>
      <c r="W175">
        <v>0</v>
      </c>
      <c r="X175">
        <v>0.01</v>
      </c>
      <c r="AA175" s="55"/>
      <c r="BG175" s="64"/>
      <c r="BH175" s="64"/>
      <c r="BI175" s="64"/>
      <c r="BJ175" s="64"/>
      <c r="BK175" s="64"/>
      <c r="BL175" s="64"/>
      <c r="BM175" s="64"/>
      <c r="BP175" s="64"/>
      <c r="BQ175" s="64"/>
      <c r="BR175" s="64"/>
      <c r="BS175" s="64"/>
    </row>
    <row r="176" spans="1:71" x14ac:dyDescent="0.25">
      <c r="A176" s="87" t="s">
        <v>430</v>
      </c>
      <c r="C176" t="s">
        <v>420</v>
      </c>
      <c r="D176" t="s">
        <v>421</v>
      </c>
      <c r="L176" s="51">
        <f t="shared" ref="L176:X176" si="85">AVERAGE(L148,L154,L157)</f>
        <v>66.8</v>
      </c>
      <c r="M176" s="51">
        <f t="shared" si="85"/>
        <v>6.7949999999999999</v>
      </c>
      <c r="N176" s="51">
        <f t="shared" si="85"/>
        <v>5.915</v>
      </c>
      <c r="O176" s="51">
        <f t="shared" si="85"/>
        <v>3.23</v>
      </c>
      <c r="P176" s="51">
        <f t="shared" si="85"/>
        <v>1.4950000000000001</v>
      </c>
      <c r="Q176" s="51">
        <f t="shared" si="85"/>
        <v>1.9449999999999998</v>
      </c>
      <c r="R176" s="51">
        <f t="shared" si="85"/>
        <v>3.79</v>
      </c>
      <c r="S176" s="51">
        <f t="shared" si="85"/>
        <v>3.9E-2</v>
      </c>
      <c r="T176" s="51">
        <f t="shared" si="85"/>
        <v>0.65</v>
      </c>
      <c r="U176" s="51">
        <f t="shared" si="85"/>
        <v>0.21</v>
      </c>
      <c r="V176" s="51">
        <f t="shared" si="85"/>
        <v>5.5E-2</v>
      </c>
      <c r="W176" s="51">
        <f t="shared" si="85"/>
        <v>0.02</v>
      </c>
      <c r="X176" s="51">
        <f t="shared" si="85"/>
        <v>0.01</v>
      </c>
      <c r="AA176" s="51">
        <f t="shared" ref="AA176:AS176" si="86">AVERAGE(AA148,AA154,AA157)</f>
        <v>90.92</v>
      </c>
      <c r="AB176" s="51">
        <f t="shared" si="86"/>
        <v>105</v>
      </c>
      <c r="AC176" s="51">
        <f t="shared" si="86"/>
        <v>4160</v>
      </c>
      <c r="AD176" s="51">
        <f t="shared" si="86"/>
        <v>295</v>
      </c>
      <c r="AE176" s="51">
        <f t="shared" si="86"/>
        <v>1.02</v>
      </c>
      <c r="AF176" s="51">
        <f t="shared" si="86"/>
        <v>871</v>
      </c>
      <c r="AG176" s="51">
        <f t="shared" si="86"/>
        <v>720.5</v>
      </c>
      <c r="AH176" s="51">
        <f t="shared" si="86"/>
        <v>23.85</v>
      </c>
      <c r="AI176" s="51">
        <f t="shared" si="86"/>
        <v>66.449999999999989</v>
      </c>
      <c r="AJ176" s="51">
        <f t="shared" si="86"/>
        <v>435</v>
      </c>
      <c r="AK176" s="51">
        <f t="shared" si="86"/>
        <v>480.5</v>
      </c>
      <c r="AL176" s="51">
        <f t="shared" si="86"/>
        <v>197.75</v>
      </c>
      <c r="AM176" s="51">
        <f t="shared" si="86"/>
        <v>1715</v>
      </c>
      <c r="AN176" s="51">
        <f t="shared" si="86"/>
        <v>88.35</v>
      </c>
      <c r="AO176" s="51" t="e">
        <f t="shared" si="86"/>
        <v>#DIV/0!</v>
      </c>
      <c r="AP176" s="51">
        <f t="shared" si="86"/>
        <v>1495</v>
      </c>
      <c r="AQ176" s="51">
        <f t="shared" si="86"/>
        <v>422</v>
      </c>
      <c r="AR176" s="51">
        <f t="shared" si="86"/>
        <v>1062.5</v>
      </c>
      <c r="AS176" s="51">
        <f t="shared" si="86"/>
        <v>393</v>
      </c>
      <c r="AU176" s="51">
        <f t="shared" ref="AU176:BF176" si="87">AVERAGE(AU148,AU154,AU157)</f>
        <v>536.5</v>
      </c>
      <c r="AV176" s="51">
        <f t="shared" si="87"/>
        <v>114.75</v>
      </c>
      <c r="AW176" s="51">
        <f t="shared" si="87"/>
        <v>219</v>
      </c>
      <c r="AX176" s="51">
        <f t="shared" si="87"/>
        <v>102</v>
      </c>
      <c r="AY176" s="51">
        <f t="shared" si="87"/>
        <v>757</v>
      </c>
      <c r="AZ176" s="51">
        <f t="shared" si="87"/>
        <v>106.25</v>
      </c>
      <c r="BA176" s="51">
        <f t="shared" si="87"/>
        <v>129.75</v>
      </c>
      <c r="BB176" s="51">
        <f t="shared" si="87"/>
        <v>6</v>
      </c>
      <c r="BC176" s="51">
        <f t="shared" si="87"/>
        <v>9</v>
      </c>
      <c r="BD176" s="51">
        <f t="shared" si="87"/>
        <v>5790</v>
      </c>
      <c r="BE176" s="51">
        <f t="shared" si="87"/>
        <v>709.5</v>
      </c>
      <c r="BF176" s="51" t="e">
        <f t="shared" si="87"/>
        <v>#DIV/0!</v>
      </c>
      <c r="BG176" s="64"/>
      <c r="BH176" s="64"/>
      <c r="BI176" s="64"/>
      <c r="BJ176" s="64"/>
      <c r="BK176" s="64"/>
      <c r="BL176" s="64"/>
      <c r="BM176" s="64"/>
      <c r="BP176" s="64"/>
      <c r="BQ176" s="64"/>
      <c r="BR176" s="64"/>
      <c r="BS176" s="64"/>
    </row>
    <row r="177" spans="1:71" x14ac:dyDescent="0.25">
      <c r="A177" t="s">
        <v>431</v>
      </c>
      <c r="C177" t="s">
        <v>420</v>
      </c>
      <c r="D177" t="s">
        <v>421</v>
      </c>
      <c r="L177" s="51">
        <f t="shared" ref="L177:X177" si="88">STDEV(L148,L154,L157)</f>
        <v>0</v>
      </c>
      <c r="M177" s="51">
        <f t="shared" si="88"/>
        <v>7.0710678118653244E-3</v>
      </c>
      <c r="N177" s="51">
        <f t="shared" si="88"/>
        <v>2.1213203435595972E-2</v>
      </c>
      <c r="O177" s="51">
        <f t="shared" si="88"/>
        <v>0</v>
      </c>
      <c r="P177" s="51">
        <f t="shared" si="88"/>
        <v>7.0710678118654814E-3</v>
      </c>
      <c r="Q177" s="51">
        <f t="shared" si="88"/>
        <v>7.0710678118654814E-3</v>
      </c>
      <c r="R177" s="51">
        <f t="shared" si="88"/>
        <v>2.8284271247461926E-2</v>
      </c>
      <c r="S177" s="51">
        <f t="shared" si="88"/>
        <v>0</v>
      </c>
      <c r="T177" s="51">
        <f t="shared" si="88"/>
        <v>0</v>
      </c>
      <c r="U177" s="51">
        <f t="shared" si="88"/>
        <v>0</v>
      </c>
      <c r="V177" s="51">
        <f t="shared" si="88"/>
        <v>7.0710678118654719E-3</v>
      </c>
      <c r="W177" s="51" t="e">
        <f t="shared" si="88"/>
        <v>#DIV/0!</v>
      </c>
      <c r="X177" s="51">
        <f t="shared" si="88"/>
        <v>0</v>
      </c>
      <c r="AB177" s="86">
        <f t="shared" ref="AB177:AS177" si="89">STDEV(AB148,AB154,AB157)</f>
        <v>2.1213203435596424</v>
      </c>
      <c r="AC177" s="86">
        <f t="shared" si="89"/>
        <v>141.42135623730951</v>
      </c>
      <c r="AD177" s="86">
        <f t="shared" si="89"/>
        <v>7.0710678118654755</v>
      </c>
      <c r="AE177" s="86">
        <f t="shared" si="89"/>
        <v>1.4142135623730963E-2</v>
      </c>
      <c r="AF177" s="86">
        <f t="shared" si="89"/>
        <v>8.4852813742385695</v>
      </c>
      <c r="AG177" s="86">
        <f t="shared" si="89"/>
        <v>4.9497474683058327</v>
      </c>
      <c r="AH177" s="86">
        <f t="shared" si="89"/>
        <v>1.0606601717798212</v>
      </c>
      <c r="AI177" s="86">
        <f t="shared" si="89"/>
        <v>1.9091883092036803</v>
      </c>
      <c r="AJ177" s="86">
        <f t="shared" si="89"/>
        <v>7.0710678118654755</v>
      </c>
      <c r="AK177" s="86">
        <f t="shared" si="89"/>
        <v>3.5355339059327378</v>
      </c>
      <c r="AL177" s="86">
        <f t="shared" si="89"/>
        <v>2.4748737341529163</v>
      </c>
      <c r="AM177" s="86">
        <f t="shared" si="89"/>
        <v>120.20815280171308</v>
      </c>
      <c r="AN177" s="86">
        <f t="shared" si="89"/>
        <v>0.21213203435596226</v>
      </c>
      <c r="AO177" s="86" t="e">
        <f t="shared" si="89"/>
        <v>#DIV/0!</v>
      </c>
      <c r="AP177" s="86">
        <f t="shared" si="89"/>
        <v>35.355339059327378</v>
      </c>
      <c r="AQ177" s="86">
        <f t="shared" si="89"/>
        <v>21.213203435596427</v>
      </c>
      <c r="AR177" s="86">
        <f t="shared" si="89"/>
        <v>45.961940777125591</v>
      </c>
      <c r="AS177" s="86">
        <f t="shared" si="89"/>
        <v>14.142135623730951</v>
      </c>
      <c r="AT177" s="86"/>
      <c r="AU177" s="86">
        <f t="shared" ref="AU177:BF177" si="90">STDEV(AU148,AU154,AU157)</f>
        <v>0.70710678118654757</v>
      </c>
      <c r="AV177" s="86">
        <f t="shared" si="90"/>
        <v>11.667261889578034</v>
      </c>
      <c r="AW177" s="86">
        <f t="shared" si="90"/>
        <v>4.2426406871192848</v>
      </c>
      <c r="AX177" s="86">
        <f t="shared" si="90"/>
        <v>1.4142135623730951</v>
      </c>
      <c r="AY177" s="86">
        <f t="shared" si="90"/>
        <v>14.142135623730951</v>
      </c>
      <c r="AZ177" s="86">
        <f t="shared" si="90"/>
        <v>1.7677669529663689</v>
      </c>
      <c r="BA177" s="86">
        <f t="shared" si="90"/>
        <v>7.4246212024587486</v>
      </c>
      <c r="BB177" s="86">
        <f t="shared" si="90"/>
        <v>0</v>
      </c>
      <c r="BC177" s="86">
        <f t="shared" si="90"/>
        <v>0</v>
      </c>
      <c r="BD177" s="86">
        <f t="shared" si="90"/>
        <v>98.994949366116657</v>
      </c>
      <c r="BE177" s="86">
        <f t="shared" si="90"/>
        <v>0.70710678118654757</v>
      </c>
      <c r="BF177" s="86" t="e">
        <f t="shared" si="90"/>
        <v>#DIV/0!</v>
      </c>
      <c r="BS177" s="64"/>
    </row>
    <row r="178" spans="1:71" x14ac:dyDescent="0.25">
      <c r="A178" t="s">
        <v>432</v>
      </c>
      <c r="C178" t="s">
        <v>420</v>
      </c>
      <c r="D178" t="s">
        <v>421</v>
      </c>
      <c r="L178" s="51">
        <f>2*L177</f>
        <v>0</v>
      </c>
      <c r="M178" s="51">
        <f t="shared" ref="M178:BF178" si="91">2*M177</f>
        <v>1.4142135623730649E-2</v>
      </c>
      <c r="N178" s="51">
        <f t="shared" si="91"/>
        <v>4.2426406871191945E-2</v>
      </c>
      <c r="O178" s="51">
        <f t="shared" si="91"/>
        <v>0</v>
      </c>
      <c r="P178" s="51">
        <f t="shared" si="91"/>
        <v>1.4142135623730963E-2</v>
      </c>
      <c r="Q178" s="51">
        <f t="shared" si="91"/>
        <v>1.4142135623730963E-2</v>
      </c>
      <c r="R178" s="51">
        <f t="shared" si="91"/>
        <v>5.6568542494923851E-2</v>
      </c>
      <c r="S178" s="51">
        <f t="shared" si="91"/>
        <v>0</v>
      </c>
      <c r="T178" s="51">
        <f t="shared" si="91"/>
        <v>0</v>
      </c>
      <c r="U178" s="51">
        <f t="shared" si="91"/>
        <v>0</v>
      </c>
      <c r="V178" s="51">
        <f t="shared" si="91"/>
        <v>1.4142135623730944E-2</v>
      </c>
      <c r="W178" s="51" t="e">
        <f t="shared" si="91"/>
        <v>#DIV/0!</v>
      </c>
      <c r="X178" s="51">
        <f t="shared" si="91"/>
        <v>0</v>
      </c>
      <c r="AB178" s="86">
        <f t="shared" si="91"/>
        <v>4.2426406871192848</v>
      </c>
      <c r="AC178" s="86">
        <f t="shared" si="91"/>
        <v>282.84271247461902</v>
      </c>
      <c r="AD178" s="86">
        <f t="shared" si="91"/>
        <v>14.142135623730951</v>
      </c>
      <c r="AE178" s="86">
        <f t="shared" si="91"/>
        <v>2.8284271247461926E-2</v>
      </c>
      <c r="AF178" s="86">
        <f t="shared" si="91"/>
        <v>16.970562748477139</v>
      </c>
      <c r="AG178" s="86">
        <f t="shared" si="91"/>
        <v>9.8994949366116654</v>
      </c>
      <c r="AH178" s="86">
        <f t="shared" si="91"/>
        <v>2.1213203435596424</v>
      </c>
      <c r="AI178" s="86">
        <f t="shared" si="91"/>
        <v>3.8183766184073606</v>
      </c>
      <c r="AJ178" s="86">
        <f t="shared" si="91"/>
        <v>14.142135623730951</v>
      </c>
      <c r="AK178" s="86">
        <f t="shared" si="91"/>
        <v>7.0710678118654755</v>
      </c>
      <c r="AL178" s="86">
        <f t="shared" si="91"/>
        <v>4.9497474683058327</v>
      </c>
      <c r="AM178" s="86">
        <f t="shared" si="91"/>
        <v>240.41630560342617</v>
      </c>
      <c r="AN178" s="86">
        <f t="shared" si="91"/>
        <v>0.42426406871192451</v>
      </c>
      <c r="AO178" s="86" t="e">
        <f t="shared" si="91"/>
        <v>#DIV/0!</v>
      </c>
      <c r="AP178" s="86">
        <f t="shared" si="91"/>
        <v>70.710678118654755</v>
      </c>
      <c r="AQ178" s="86">
        <f t="shared" si="91"/>
        <v>42.426406871192853</v>
      </c>
      <c r="AR178" s="86">
        <f t="shared" si="91"/>
        <v>91.923881554251182</v>
      </c>
      <c r="AS178" s="86">
        <f t="shared" si="91"/>
        <v>28.284271247461902</v>
      </c>
      <c r="AT178" s="86"/>
      <c r="AU178" s="86">
        <f t="shared" si="91"/>
        <v>1.4142135623730951</v>
      </c>
      <c r="AV178" s="86">
        <f t="shared" si="91"/>
        <v>23.334523779156068</v>
      </c>
      <c r="AW178" s="86">
        <f t="shared" si="91"/>
        <v>8.4852813742385695</v>
      </c>
      <c r="AX178" s="86">
        <f t="shared" si="91"/>
        <v>2.8284271247461903</v>
      </c>
      <c r="AY178" s="86">
        <f t="shared" si="91"/>
        <v>28.284271247461902</v>
      </c>
      <c r="AZ178" s="86">
        <f t="shared" si="91"/>
        <v>3.5355339059327378</v>
      </c>
      <c r="BA178" s="86">
        <f t="shared" si="91"/>
        <v>14.849242404917497</v>
      </c>
      <c r="BB178" s="86">
        <f t="shared" si="91"/>
        <v>0</v>
      </c>
      <c r="BC178" s="86">
        <f t="shared" si="91"/>
        <v>0</v>
      </c>
      <c r="BD178" s="86">
        <f t="shared" si="91"/>
        <v>197.98989873223331</v>
      </c>
      <c r="BE178" s="86">
        <f t="shared" si="91"/>
        <v>1.4142135623730951</v>
      </c>
      <c r="BF178" s="86" t="e">
        <f t="shared" si="91"/>
        <v>#DIV/0!</v>
      </c>
    </row>
    <row r="179" spans="1:71" x14ac:dyDescent="0.25">
      <c r="A179" s="13" t="s">
        <v>387</v>
      </c>
      <c r="L179" s="55">
        <f>ABS(L176-L175)</f>
        <v>0.29999999999999716</v>
      </c>
      <c r="M179" s="55">
        <f t="shared" ref="M179:X179" si="92">ABS(M176-M175)</f>
        <v>1.499999999999968E-2</v>
      </c>
      <c r="N179" s="55">
        <f t="shared" si="92"/>
        <v>3.5000000000000142E-2</v>
      </c>
      <c r="O179" s="55">
        <f t="shared" si="92"/>
        <v>9.9999999999997868E-3</v>
      </c>
      <c r="P179" s="55">
        <f t="shared" si="92"/>
        <v>1.5000000000000124E-2</v>
      </c>
      <c r="Q179" s="55">
        <f t="shared" si="92"/>
        <v>5.0000000000001155E-3</v>
      </c>
      <c r="R179" s="55">
        <f t="shared" si="92"/>
        <v>6.999999999999984E-2</v>
      </c>
      <c r="S179" s="55">
        <f t="shared" si="92"/>
        <v>1.0000000000000009E-3</v>
      </c>
      <c r="T179" s="55">
        <f t="shared" si="92"/>
        <v>1.0000000000000009E-2</v>
      </c>
      <c r="U179" s="55">
        <f t="shared" si="92"/>
        <v>9.9999999999999811E-3</v>
      </c>
      <c r="V179" s="55">
        <f t="shared" si="92"/>
        <v>4.9999999999999975E-3</v>
      </c>
      <c r="W179" s="55">
        <f t="shared" si="92"/>
        <v>0.02</v>
      </c>
      <c r="X179" s="55">
        <f t="shared" si="92"/>
        <v>0</v>
      </c>
      <c r="AB179" s="86"/>
      <c r="AC179" s="86"/>
      <c r="AD179" s="86"/>
      <c r="AE179" s="86"/>
      <c r="AF179" s="86"/>
      <c r="AG179" s="86"/>
      <c r="AH179" s="86"/>
      <c r="AI179" s="86"/>
      <c r="AJ179" s="86"/>
      <c r="AK179" s="86"/>
      <c r="AL179" s="86"/>
      <c r="AM179" s="86"/>
      <c r="AN179" s="86"/>
      <c r="AO179" s="86"/>
      <c r="AP179" s="86"/>
      <c r="AQ179" s="86"/>
      <c r="AR179" s="86"/>
      <c r="AS179" s="86"/>
      <c r="AT179" s="86"/>
      <c r="AU179" s="86"/>
      <c r="AV179" s="86"/>
      <c r="AW179" s="86"/>
      <c r="AX179" s="86"/>
      <c r="AY179" s="86"/>
      <c r="AZ179" s="86"/>
      <c r="BA179" s="86"/>
      <c r="BB179" s="86"/>
      <c r="BC179" s="86"/>
      <c r="BD179" s="86"/>
      <c r="BE179" s="86"/>
      <c r="BF179" s="86"/>
    </row>
    <row r="180" spans="1:71" x14ac:dyDescent="0.25">
      <c r="A180" s="13" t="s">
        <v>389</v>
      </c>
      <c r="L180" s="118">
        <f>L179/L175</f>
        <v>4.4709388971683637E-3</v>
      </c>
      <c r="M180" s="118">
        <f t="shared" ref="M180:X180" si="93">M179/M175</f>
        <v>2.2123893805309261E-3</v>
      </c>
      <c r="N180" s="118">
        <f t="shared" si="93"/>
        <v>5.8823529411764939E-3</v>
      </c>
      <c r="O180" s="118">
        <f t="shared" si="93"/>
        <v>3.1055900621117347E-3</v>
      </c>
      <c r="P180" s="118">
        <f t="shared" si="93"/>
        <v>1.0135135135135219E-2</v>
      </c>
      <c r="Q180" s="118">
        <f t="shared" si="93"/>
        <v>2.5641025641026235E-3</v>
      </c>
      <c r="R180" s="118">
        <f t="shared" si="93"/>
        <v>1.8817204301075224E-2</v>
      </c>
      <c r="S180" s="118">
        <f t="shared" si="93"/>
        <v>2.5000000000000022E-2</v>
      </c>
      <c r="T180" s="118">
        <f t="shared" si="93"/>
        <v>1.5625000000000014E-2</v>
      </c>
      <c r="U180" s="118">
        <f t="shared" si="93"/>
        <v>4.9999999999999906E-2</v>
      </c>
      <c r="V180" s="118">
        <f t="shared" si="93"/>
        <v>8.3333333333333301E-2</v>
      </c>
      <c r="W180" s="118" t="e">
        <f t="shared" si="93"/>
        <v>#DIV/0!</v>
      </c>
      <c r="X180" s="118">
        <f t="shared" si="93"/>
        <v>0</v>
      </c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6"/>
      <c r="AR180" s="86"/>
      <c r="AS180" s="86"/>
      <c r="AT180" s="86"/>
      <c r="AU180" s="86"/>
      <c r="AV180" s="86"/>
      <c r="AW180" s="86"/>
      <c r="AX180" s="86"/>
      <c r="AY180" s="86"/>
      <c r="AZ180" s="86"/>
      <c r="BA180" s="86"/>
      <c r="BB180" s="86"/>
      <c r="BC180" s="86"/>
      <c r="BD180" s="86"/>
      <c r="BE180" s="86"/>
      <c r="BF180" s="86"/>
    </row>
    <row r="181" spans="1:71" x14ac:dyDescent="0.25">
      <c r="A181" s="13" t="s">
        <v>390</v>
      </c>
      <c r="L181" s="118">
        <f>L177/L176</f>
        <v>0</v>
      </c>
      <c r="M181" s="118">
        <f t="shared" ref="M181:X181" si="94">M177/M176</f>
        <v>1.0406280812163833E-3</v>
      </c>
      <c r="N181" s="118">
        <f t="shared" si="94"/>
        <v>3.5863403948598431E-3</v>
      </c>
      <c r="O181" s="118">
        <f t="shared" si="94"/>
        <v>0</v>
      </c>
      <c r="P181" s="118">
        <f t="shared" si="94"/>
        <v>4.7298112453949704E-3</v>
      </c>
      <c r="Q181" s="118">
        <f t="shared" si="94"/>
        <v>3.6355104431184996E-3</v>
      </c>
      <c r="R181" s="118">
        <f t="shared" si="94"/>
        <v>7.4628684030242547E-3</v>
      </c>
      <c r="S181" s="118">
        <f t="shared" si="94"/>
        <v>0</v>
      </c>
      <c r="T181" s="118">
        <f t="shared" si="94"/>
        <v>0</v>
      </c>
      <c r="U181" s="118">
        <f t="shared" si="94"/>
        <v>0</v>
      </c>
      <c r="V181" s="118">
        <f t="shared" si="94"/>
        <v>0.12856486930664493</v>
      </c>
      <c r="W181" s="118" t="e">
        <f t="shared" si="94"/>
        <v>#DIV/0!</v>
      </c>
      <c r="X181" s="118">
        <f t="shared" si="94"/>
        <v>0</v>
      </c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6"/>
      <c r="AR181" s="86"/>
      <c r="AS181" s="86"/>
      <c r="AT181" s="86"/>
      <c r="AU181" s="86"/>
      <c r="AV181" s="86"/>
      <c r="AW181" s="86"/>
      <c r="AX181" s="86"/>
      <c r="AY181" s="86"/>
      <c r="AZ181" s="86"/>
      <c r="BA181" s="86"/>
      <c r="BB181" s="86"/>
      <c r="BC181" s="86"/>
      <c r="BD181" s="86"/>
      <c r="BE181" s="86"/>
      <c r="BF181" s="86"/>
    </row>
    <row r="183" spans="1:71" x14ac:dyDescent="0.25">
      <c r="A183" s="13" t="s">
        <v>433</v>
      </c>
      <c r="L183">
        <v>12.3</v>
      </c>
      <c r="M183">
        <v>1.52</v>
      </c>
      <c r="N183">
        <v>20.9</v>
      </c>
      <c r="O183">
        <v>28.5</v>
      </c>
      <c r="P183">
        <v>2.87</v>
      </c>
      <c r="Q183">
        <v>0.09</v>
      </c>
      <c r="R183">
        <v>0.28000000000000003</v>
      </c>
      <c r="S183">
        <v>0.01</v>
      </c>
      <c r="T183">
        <v>1.8</v>
      </c>
      <c r="U183">
        <v>0.46</v>
      </c>
      <c r="V183">
        <v>18.350000000000001</v>
      </c>
      <c r="W183">
        <v>0.4</v>
      </c>
      <c r="X183">
        <v>0.28000000000000003</v>
      </c>
      <c r="Y183" s="136"/>
      <c r="Z183"/>
      <c r="AB183">
        <v>2600</v>
      </c>
      <c r="AC183">
        <v>8090</v>
      </c>
      <c r="AD183">
        <v>90</v>
      </c>
      <c r="AE183">
        <v>0.4</v>
      </c>
      <c r="AF183">
        <v>132</v>
      </c>
      <c r="AG183">
        <v>34</v>
      </c>
      <c r="AH183">
        <v>150</v>
      </c>
      <c r="AI183">
        <v>53.2</v>
      </c>
      <c r="AJ183">
        <v>343</v>
      </c>
      <c r="AK183">
        <v>28</v>
      </c>
      <c r="AL183">
        <v>18</v>
      </c>
      <c r="AM183">
        <v>3610</v>
      </c>
      <c r="AN183">
        <v>2.0499999999999998</v>
      </c>
      <c r="AO183">
        <v>5190</v>
      </c>
      <c r="AP183">
        <v>4010</v>
      </c>
      <c r="AQ183">
        <v>1030</v>
      </c>
      <c r="AR183">
        <v>10.5</v>
      </c>
      <c r="AS183">
        <v>604</v>
      </c>
      <c r="AU183">
        <v>25</v>
      </c>
      <c r="AV183">
        <v>3400</v>
      </c>
      <c r="AW183">
        <v>12.4</v>
      </c>
      <c r="AX183">
        <v>34.299999999999997</v>
      </c>
      <c r="AY183">
        <v>451</v>
      </c>
      <c r="AZ183">
        <v>3.5</v>
      </c>
      <c r="BA183">
        <v>24</v>
      </c>
      <c r="BB183">
        <v>373</v>
      </c>
      <c r="BC183">
        <v>5</v>
      </c>
      <c r="BD183">
        <v>410</v>
      </c>
      <c r="BE183">
        <v>17</v>
      </c>
      <c r="BF183">
        <v>1115</v>
      </c>
    </row>
    <row r="184" spans="1:71" x14ac:dyDescent="0.25">
      <c r="A184" s="87" t="s">
        <v>436</v>
      </c>
      <c r="C184" t="s">
        <v>420</v>
      </c>
      <c r="D184" t="s">
        <v>421</v>
      </c>
      <c r="L184" s="51">
        <f t="shared" ref="L184:X184" si="95">AVERAGE(L146,L153)</f>
        <v>12.1</v>
      </c>
      <c r="M184" s="51">
        <f t="shared" si="95"/>
        <v>1.53</v>
      </c>
      <c r="N184" s="51">
        <f t="shared" si="95"/>
        <v>21.35</v>
      </c>
      <c r="O184" s="51">
        <f t="shared" si="95"/>
        <v>28.65</v>
      </c>
      <c r="P184" s="51">
        <f t="shared" si="95"/>
        <v>2.87</v>
      </c>
      <c r="Q184" s="51">
        <f t="shared" si="95"/>
        <v>0.11</v>
      </c>
      <c r="R184" s="51">
        <f t="shared" si="95"/>
        <v>0.255</v>
      </c>
      <c r="S184" s="51">
        <f t="shared" si="95"/>
        <v>1.2999999999999999E-2</v>
      </c>
      <c r="T184" s="51">
        <f t="shared" si="95"/>
        <v>1.7949999999999999</v>
      </c>
      <c r="U184" s="51">
        <f t="shared" si="95"/>
        <v>0.45500000000000002</v>
      </c>
      <c r="V184" s="51">
        <f t="shared" si="95"/>
        <v>18.2</v>
      </c>
      <c r="W184" s="51">
        <f t="shared" si="95"/>
        <v>0.39</v>
      </c>
      <c r="X184" s="51">
        <f t="shared" si="95"/>
        <v>0.28999999999999998</v>
      </c>
      <c r="AA184" s="51">
        <f t="shared" ref="AA184:AS184" si="96">AVERAGE(AA146,AA153)</f>
        <v>95.84</v>
      </c>
      <c r="AB184" s="51">
        <f t="shared" si="96"/>
        <v>2770</v>
      </c>
      <c r="AC184" s="51">
        <f t="shared" si="96"/>
        <v>8440</v>
      </c>
      <c r="AD184" s="51">
        <f t="shared" si="96"/>
        <v>100</v>
      </c>
      <c r="AE184" s="51">
        <f t="shared" si="96"/>
        <v>0.38</v>
      </c>
      <c r="AF184" s="51">
        <f t="shared" si="96"/>
        <v>133.5</v>
      </c>
      <c r="AG184" s="51">
        <f t="shared" si="96"/>
        <v>33.9</v>
      </c>
      <c r="AH184" s="51">
        <f t="shared" si="96"/>
        <v>148.5</v>
      </c>
      <c r="AI184" s="51">
        <f t="shared" si="96"/>
        <v>54.1</v>
      </c>
      <c r="AJ184" s="51">
        <f t="shared" si="96"/>
        <v>337</v>
      </c>
      <c r="AK184" s="51">
        <f t="shared" si="96"/>
        <v>27.5</v>
      </c>
      <c r="AL184" s="51">
        <f t="shared" si="96"/>
        <v>16.55</v>
      </c>
      <c r="AM184" s="51">
        <f t="shared" si="96"/>
        <v>3460</v>
      </c>
      <c r="AN184" s="51">
        <f t="shared" si="96"/>
        <v>1.93</v>
      </c>
      <c r="AO184" s="51" t="e">
        <f t="shared" si="96"/>
        <v>#DIV/0!</v>
      </c>
      <c r="AP184" s="51">
        <f t="shared" si="96"/>
        <v>4320</v>
      </c>
      <c r="AQ184" s="51" t="e">
        <f t="shared" si="96"/>
        <v>#DIV/0!</v>
      </c>
      <c r="AR184" s="51">
        <f t="shared" si="96"/>
        <v>11.3</v>
      </c>
      <c r="AS184" s="51">
        <f t="shared" si="96"/>
        <v>596</v>
      </c>
      <c r="AU184" s="51">
        <f t="shared" ref="AU184:BF184" si="97">AVERAGE(AU146,AU153)</f>
        <v>25</v>
      </c>
      <c r="AV184" s="51">
        <f t="shared" si="97"/>
        <v>3540</v>
      </c>
      <c r="AW184" s="51">
        <f t="shared" si="97"/>
        <v>11.4</v>
      </c>
      <c r="AX184" s="51">
        <f t="shared" si="97"/>
        <v>31.6</v>
      </c>
      <c r="AY184" s="51">
        <f t="shared" si="97"/>
        <v>413</v>
      </c>
      <c r="AZ184" s="51">
        <f t="shared" si="97"/>
        <v>3.33</v>
      </c>
      <c r="BA184" s="51">
        <f t="shared" si="97"/>
        <v>22.7</v>
      </c>
      <c r="BB184" s="51">
        <f t="shared" si="97"/>
        <v>373</v>
      </c>
      <c r="BC184" s="51">
        <f t="shared" si="97"/>
        <v>6</v>
      </c>
      <c r="BD184" s="51">
        <f t="shared" si="97"/>
        <v>383</v>
      </c>
      <c r="BE184" s="51">
        <f t="shared" si="97"/>
        <v>17.55</v>
      </c>
      <c r="BF184" s="51">
        <f t="shared" si="97"/>
        <v>1080</v>
      </c>
    </row>
    <row r="185" spans="1:71" x14ac:dyDescent="0.25">
      <c r="A185" t="s">
        <v>434</v>
      </c>
      <c r="C185" t="s">
        <v>420</v>
      </c>
      <c r="D185" t="s">
        <v>421</v>
      </c>
      <c r="L185" s="55">
        <f t="shared" ref="L185:X185" si="98">STDEV(L146,L153)</f>
        <v>0.141421356237309</v>
      </c>
      <c r="M185" s="55">
        <f t="shared" si="98"/>
        <v>2.8284271247461926E-2</v>
      </c>
      <c r="N185" s="55">
        <f t="shared" si="98"/>
        <v>7.0710678118653253E-2</v>
      </c>
      <c r="O185" s="55">
        <f t="shared" si="98"/>
        <v>7.0710678118653253E-2</v>
      </c>
      <c r="P185" s="55">
        <f t="shared" si="98"/>
        <v>1.4142135623730963E-2</v>
      </c>
      <c r="Q185" s="55">
        <f t="shared" si="98"/>
        <v>0</v>
      </c>
      <c r="R185" s="55">
        <f t="shared" si="98"/>
        <v>7.0710678118654814E-3</v>
      </c>
      <c r="S185" s="55">
        <f t="shared" si="98"/>
        <v>0</v>
      </c>
      <c r="T185" s="55">
        <f t="shared" si="98"/>
        <v>4.9497474683058366E-2</v>
      </c>
      <c r="U185" s="55">
        <f t="shared" si="98"/>
        <v>7.0710678118654814E-3</v>
      </c>
      <c r="V185" s="55">
        <f t="shared" si="98"/>
        <v>7.0710678118655765E-2</v>
      </c>
      <c r="W185" s="55">
        <f t="shared" si="98"/>
        <v>0</v>
      </c>
      <c r="X185" s="55">
        <f t="shared" si="98"/>
        <v>0</v>
      </c>
      <c r="Y185" s="55"/>
      <c r="Z185" s="55"/>
      <c r="AA185" s="55"/>
      <c r="AB185" s="55" t="e">
        <f t="shared" ref="AB185:AS185" si="99">STDEV(AB146,AB153)</f>
        <v>#DIV/0!</v>
      </c>
      <c r="AC185" s="55" t="e">
        <f t="shared" si="99"/>
        <v>#DIV/0!</v>
      </c>
      <c r="AD185" s="55" t="e">
        <f t="shared" si="99"/>
        <v>#DIV/0!</v>
      </c>
      <c r="AE185" s="55" t="e">
        <f t="shared" si="99"/>
        <v>#DIV/0!</v>
      </c>
      <c r="AF185" s="55" t="e">
        <f t="shared" si="99"/>
        <v>#DIV/0!</v>
      </c>
      <c r="AG185" s="55" t="e">
        <f t="shared" si="99"/>
        <v>#DIV/0!</v>
      </c>
      <c r="AH185" s="55" t="e">
        <f t="shared" si="99"/>
        <v>#DIV/0!</v>
      </c>
      <c r="AI185" s="55" t="e">
        <f t="shared" si="99"/>
        <v>#DIV/0!</v>
      </c>
      <c r="AJ185" s="55" t="e">
        <f t="shared" si="99"/>
        <v>#DIV/0!</v>
      </c>
      <c r="AK185" s="55" t="e">
        <f t="shared" si="99"/>
        <v>#DIV/0!</v>
      </c>
      <c r="AL185" s="55" t="e">
        <f t="shared" si="99"/>
        <v>#DIV/0!</v>
      </c>
      <c r="AM185" s="55" t="e">
        <f t="shared" si="99"/>
        <v>#DIV/0!</v>
      </c>
      <c r="AN185" s="55" t="e">
        <f t="shared" si="99"/>
        <v>#DIV/0!</v>
      </c>
      <c r="AO185" s="55" t="e">
        <f t="shared" si="99"/>
        <v>#DIV/0!</v>
      </c>
      <c r="AP185" s="55" t="e">
        <f t="shared" si="99"/>
        <v>#DIV/0!</v>
      </c>
      <c r="AQ185" s="55" t="e">
        <f t="shared" si="99"/>
        <v>#DIV/0!</v>
      </c>
      <c r="AR185" s="55" t="e">
        <f t="shared" si="99"/>
        <v>#DIV/0!</v>
      </c>
      <c r="AS185" s="55" t="e">
        <f t="shared" si="99"/>
        <v>#DIV/0!</v>
      </c>
      <c r="AT185" s="55"/>
      <c r="AU185" s="55" t="e">
        <f t="shared" ref="AU185:BF185" si="100">STDEV(AU146,AU153)</f>
        <v>#DIV/0!</v>
      </c>
      <c r="AV185" s="55" t="e">
        <f t="shared" si="100"/>
        <v>#DIV/0!</v>
      </c>
      <c r="AW185" s="55" t="e">
        <f t="shared" si="100"/>
        <v>#DIV/0!</v>
      </c>
      <c r="AX185" s="55" t="e">
        <f t="shared" si="100"/>
        <v>#DIV/0!</v>
      </c>
      <c r="AY185" s="55" t="e">
        <f t="shared" si="100"/>
        <v>#DIV/0!</v>
      </c>
      <c r="AZ185" s="55" t="e">
        <f t="shared" si="100"/>
        <v>#DIV/0!</v>
      </c>
      <c r="BA185" s="55" t="e">
        <f t="shared" si="100"/>
        <v>#DIV/0!</v>
      </c>
      <c r="BB185" s="55" t="e">
        <f t="shared" si="100"/>
        <v>#DIV/0!</v>
      </c>
      <c r="BC185" s="55" t="e">
        <f t="shared" si="100"/>
        <v>#DIV/0!</v>
      </c>
      <c r="BD185" s="55" t="e">
        <f t="shared" si="100"/>
        <v>#DIV/0!</v>
      </c>
      <c r="BE185" s="55" t="e">
        <f t="shared" si="100"/>
        <v>#DIV/0!</v>
      </c>
      <c r="BF185" s="55" t="e">
        <f t="shared" si="100"/>
        <v>#DIV/0!</v>
      </c>
    </row>
    <row r="186" spans="1:71" x14ac:dyDescent="0.25">
      <c r="A186" t="s">
        <v>435</v>
      </c>
      <c r="C186" t="s">
        <v>420</v>
      </c>
      <c r="D186" t="s">
        <v>421</v>
      </c>
      <c r="L186" s="55">
        <f>2*L185</f>
        <v>0.28284271247461801</v>
      </c>
      <c r="M186" s="55">
        <f t="shared" ref="M186:BF186" si="101">2*M185</f>
        <v>5.6568542494923851E-2</v>
      </c>
      <c r="N186" s="55">
        <f t="shared" si="101"/>
        <v>0.14142135623730651</v>
      </c>
      <c r="O186" s="55">
        <f t="shared" si="101"/>
        <v>0.14142135623730651</v>
      </c>
      <c r="P186" s="55">
        <f t="shared" si="101"/>
        <v>2.8284271247461926E-2</v>
      </c>
      <c r="Q186" s="55">
        <f t="shared" si="101"/>
        <v>0</v>
      </c>
      <c r="R186" s="55">
        <f t="shared" si="101"/>
        <v>1.4142135623730963E-2</v>
      </c>
      <c r="S186" s="55">
        <f t="shared" si="101"/>
        <v>0</v>
      </c>
      <c r="T186" s="55">
        <f t="shared" si="101"/>
        <v>9.8994949366116733E-2</v>
      </c>
      <c r="U186" s="55">
        <f t="shared" si="101"/>
        <v>1.4142135623730963E-2</v>
      </c>
      <c r="V186" s="55">
        <f t="shared" si="101"/>
        <v>0.14142135623731153</v>
      </c>
      <c r="W186" s="55">
        <f t="shared" si="101"/>
        <v>0</v>
      </c>
      <c r="X186" s="55">
        <f t="shared" si="101"/>
        <v>0</v>
      </c>
      <c r="Y186" s="55"/>
      <c r="Z186" s="55"/>
      <c r="AA186" s="55"/>
      <c r="AB186" s="55" t="e">
        <f t="shared" si="101"/>
        <v>#DIV/0!</v>
      </c>
      <c r="AC186" s="55" t="e">
        <f t="shared" si="101"/>
        <v>#DIV/0!</v>
      </c>
      <c r="AD186" s="55" t="e">
        <f t="shared" si="101"/>
        <v>#DIV/0!</v>
      </c>
      <c r="AE186" s="55" t="e">
        <f t="shared" si="101"/>
        <v>#DIV/0!</v>
      </c>
      <c r="AF186" s="55" t="e">
        <f t="shared" si="101"/>
        <v>#DIV/0!</v>
      </c>
      <c r="AG186" s="55" t="e">
        <f t="shared" si="101"/>
        <v>#DIV/0!</v>
      </c>
      <c r="AH186" s="55" t="e">
        <f t="shared" si="101"/>
        <v>#DIV/0!</v>
      </c>
      <c r="AI186" s="55" t="e">
        <f t="shared" si="101"/>
        <v>#DIV/0!</v>
      </c>
      <c r="AJ186" s="55" t="e">
        <f t="shared" si="101"/>
        <v>#DIV/0!</v>
      </c>
      <c r="AK186" s="55" t="e">
        <f t="shared" si="101"/>
        <v>#DIV/0!</v>
      </c>
      <c r="AL186" s="55" t="e">
        <f t="shared" si="101"/>
        <v>#DIV/0!</v>
      </c>
      <c r="AM186" s="55" t="e">
        <f t="shared" si="101"/>
        <v>#DIV/0!</v>
      </c>
      <c r="AN186" s="55" t="e">
        <f t="shared" si="101"/>
        <v>#DIV/0!</v>
      </c>
      <c r="AO186" s="55" t="e">
        <f t="shared" si="101"/>
        <v>#DIV/0!</v>
      </c>
      <c r="AP186" s="55" t="e">
        <f t="shared" si="101"/>
        <v>#DIV/0!</v>
      </c>
      <c r="AQ186" s="55" t="e">
        <f t="shared" si="101"/>
        <v>#DIV/0!</v>
      </c>
      <c r="AR186" s="55" t="e">
        <f t="shared" si="101"/>
        <v>#DIV/0!</v>
      </c>
      <c r="AS186" s="55" t="e">
        <f t="shared" si="101"/>
        <v>#DIV/0!</v>
      </c>
      <c r="AT186" s="55"/>
      <c r="AU186" s="55" t="e">
        <f t="shared" si="101"/>
        <v>#DIV/0!</v>
      </c>
      <c r="AV186" s="55" t="e">
        <f t="shared" si="101"/>
        <v>#DIV/0!</v>
      </c>
      <c r="AW186" s="55" t="e">
        <f t="shared" si="101"/>
        <v>#DIV/0!</v>
      </c>
      <c r="AX186" s="55" t="e">
        <f t="shared" si="101"/>
        <v>#DIV/0!</v>
      </c>
      <c r="AY186" s="55" t="e">
        <f t="shared" si="101"/>
        <v>#DIV/0!</v>
      </c>
      <c r="AZ186" s="55" t="e">
        <f t="shared" si="101"/>
        <v>#DIV/0!</v>
      </c>
      <c r="BA186" s="55" t="e">
        <f t="shared" si="101"/>
        <v>#DIV/0!</v>
      </c>
      <c r="BB186" s="55" t="e">
        <f t="shared" si="101"/>
        <v>#DIV/0!</v>
      </c>
      <c r="BC186" s="55" t="e">
        <f t="shared" si="101"/>
        <v>#DIV/0!</v>
      </c>
      <c r="BD186" s="55" t="e">
        <f t="shared" si="101"/>
        <v>#DIV/0!</v>
      </c>
      <c r="BE186" s="55" t="e">
        <f t="shared" si="101"/>
        <v>#DIV/0!</v>
      </c>
      <c r="BF186" s="55" t="e">
        <f t="shared" si="101"/>
        <v>#DIV/0!</v>
      </c>
    </row>
    <row r="187" spans="1:71" x14ac:dyDescent="0.25">
      <c r="A187" s="13" t="s">
        <v>387</v>
      </c>
      <c r="L187" s="55">
        <f>ABS(L184-L183)</f>
        <v>0.20000000000000107</v>
      </c>
      <c r="M187" s="55">
        <f t="shared" ref="M187:X187" si="102">ABS(M184-M183)</f>
        <v>1.0000000000000009E-2</v>
      </c>
      <c r="N187" s="55">
        <f t="shared" si="102"/>
        <v>0.45000000000000284</v>
      </c>
      <c r="O187" s="55">
        <f t="shared" si="102"/>
        <v>0.14999999999999858</v>
      </c>
      <c r="P187" s="55">
        <f t="shared" si="102"/>
        <v>0</v>
      </c>
      <c r="Q187" s="55">
        <f t="shared" si="102"/>
        <v>2.0000000000000004E-2</v>
      </c>
      <c r="R187" s="55">
        <f t="shared" si="102"/>
        <v>2.5000000000000022E-2</v>
      </c>
      <c r="S187" s="55">
        <f t="shared" si="102"/>
        <v>2.9999999999999992E-3</v>
      </c>
      <c r="T187" s="55">
        <f t="shared" si="102"/>
        <v>5.0000000000001155E-3</v>
      </c>
      <c r="U187" s="55">
        <f t="shared" si="102"/>
        <v>5.0000000000000044E-3</v>
      </c>
      <c r="V187" s="55">
        <f t="shared" si="102"/>
        <v>0.15000000000000213</v>
      </c>
      <c r="W187" s="55">
        <f t="shared" si="102"/>
        <v>1.0000000000000009E-2</v>
      </c>
      <c r="X187" s="55">
        <f t="shared" si="102"/>
        <v>9.9999999999999534E-3</v>
      </c>
      <c r="Y187" s="55"/>
      <c r="Z187" s="55"/>
      <c r="AA187" s="55"/>
      <c r="AB187" s="55"/>
      <c r="AC187" s="55"/>
      <c r="AD187" s="55"/>
      <c r="AE187" s="55"/>
      <c r="AF187" s="55"/>
      <c r="AG187" s="55"/>
      <c r="AH187" s="55"/>
      <c r="AI187" s="55"/>
      <c r="AJ187" s="55"/>
      <c r="AK187" s="55"/>
      <c r="AL187" s="55"/>
      <c r="AM187" s="55"/>
      <c r="AN187" s="55"/>
      <c r="AO187" s="55"/>
      <c r="AP187" s="55"/>
      <c r="AQ187" s="55"/>
      <c r="AR187" s="55"/>
      <c r="AS187" s="55"/>
      <c r="AT187" s="55"/>
      <c r="AU187" s="55"/>
      <c r="AV187" s="55"/>
      <c r="AW187" s="55"/>
      <c r="AX187" s="55"/>
      <c r="AY187" s="55"/>
      <c r="AZ187" s="55"/>
      <c r="BA187" s="55"/>
      <c r="BB187" s="55"/>
      <c r="BC187" s="55"/>
      <c r="BD187" s="55"/>
      <c r="BE187" s="55"/>
      <c r="BF187" s="55"/>
    </row>
    <row r="188" spans="1:71" x14ac:dyDescent="0.25">
      <c r="A188" s="13" t="s">
        <v>389</v>
      </c>
      <c r="L188" s="118">
        <f>L187/L183</f>
        <v>1.6260162601626101E-2</v>
      </c>
      <c r="M188" s="118">
        <f t="shared" ref="M188:X188" si="103">M187/M183</f>
        <v>6.5789473684210583E-3</v>
      </c>
      <c r="N188" s="118">
        <f t="shared" si="103"/>
        <v>2.1531100478469036E-2</v>
      </c>
      <c r="O188" s="118">
        <f t="shared" si="103"/>
        <v>5.2631578947367925E-3</v>
      </c>
      <c r="P188" s="118">
        <f t="shared" si="103"/>
        <v>0</v>
      </c>
      <c r="Q188" s="118">
        <f t="shared" si="103"/>
        <v>0.22222222222222227</v>
      </c>
      <c r="R188" s="118">
        <f t="shared" si="103"/>
        <v>8.9285714285714357E-2</v>
      </c>
      <c r="S188" s="118">
        <f t="shared" si="103"/>
        <v>0.29999999999999993</v>
      </c>
      <c r="T188" s="118">
        <f t="shared" si="103"/>
        <v>2.7777777777778421E-3</v>
      </c>
      <c r="U188" s="118">
        <f t="shared" si="103"/>
        <v>1.0869565217391313E-2</v>
      </c>
      <c r="V188" s="118">
        <f t="shared" si="103"/>
        <v>8.1743869209810419E-3</v>
      </c>
      <c r="W188" s="118">
        <f t="shared" si="103"/>
        <v>2.5000000000000022E-2</v>
      </c>
      <c r="X188" s="118">
        <f t="shared" si="103"/>
        <v>3.5714285714285546E-2</v>
      </c>
      <c r="Y188" s="55"/>
      <c r="Z188" s="55"/>
      <c r="AA188" s="55"/>
      <c r="AB188" s="55"/>
      <c r="AC188" s="55"/>
      <c r="AD188" s="55"/>
      <c r="AE188" s="55"/>
      <c r="AF188" s="55"/>
      <c r="AG188" s="55"/>
      <c r="AH188" s="55"/>
      <c r="AI188" s="55"/>
      <c r="AJ188" s="55"/>
      <c r="AK188" s="55"/>
      <c r="AL188" s="55"/>
      <c r="AM188" s="55"/>
      <c r="AN188" s="55"/>
      <c r="AO188" s="55"/>
      <c r="AP188" s="55"/>
      <c r="AQ188" s="55"/>
      <c r="AR188" s="55"/>
      <c r="AS188" s="55"/>
      <c r="AT188" s="55"/>
      <c r="AU188" s="55"/>
      <c r="AV188" s="55"/>
      <c r="AW188" s="55"/>
      <c r="AX188" s="55"/>
      <c r="AY188" s="55"/>
      <c r="AZ188" s="55"/>
      <c r="BA188" s="55"/>
      <c r="BB188" s="55"/>
      <c r="BC188" s="55"/>
      <c r="BD188" s="55"/>
      <c r="BE188" s="55"/>
      <c r="BF188" s="55"/>
    </row>
    <row r="189" spans="1:71" x14ac:dyDescent="0.25">
      <c r="A189" s="13" t="s">
        <v>390</v>
      </c>
      <c r="L189" s="118">
        <f>L185/L184</f>
        <v>1.1687715391513141E-2</v>
      </c>
      <c r="M189" s="118">
        <f t="shared" ref="M189:X189" si="104">M185/M184</f>
        <v>1.8486451795726749E-2</v>
      </c>
      <c r="N189" s="118">
        <f t="shared" si="104"/>
        <v>3.3119755559088172E-3</v>
      </c>
      <c r="O189" s="118">
        <f t="shared" si="104"/>
        <v>2.4680864962880718E-3</v>
      </c>
      <c r="P189" s="118">
        <f t="shared" si="104"/>
        <v>4.927573388059569E-3</v>
      </c>
      <c r="Q189" s="118">
        <f t="shared" si="104"/>
        <v>0</v>
      </c>
      <c r="R189" s="118">
        <f t="shared" si="104"/>
        <v>2.7729677693590124E-2</v>
      </c>
      <c r="S189" s="118">
        <f t="shared" si="104"/>
        <v>0</v>
      </c>
      <c r="T189" s="118">
        <f t="shared" si="104"/>
        <v>2.7575194809503271E-2</v>
      </c>
      <c r="U189" s="118">
        <f t="shared" si="104"/>
        <v>1.5540808377726333E-2</v>
      </c>
      <c r="V189" s="118">
        <f t="shared" si="104"/>
        <v>3.8852020944316356E-3</v>
      </c>
      <c r="W189" s="118">
        <f t="shared" si="104"/>
        <v>0</v>
      </c>
      <c r="X189" s="118">
        <f t="shared" si="104"/>
        <v>0</v>
      </c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  <c r="AK189" s="55"/>
      <c r="AL189" s="55"/>
      <c r="AM189" s="55"/>
      <c r="AN189" s="55"/>
      <c r="AO189" s="55"/>
      <c r="AP189" s="55"/>
      <c r="AQ189" s="55"/>
      <c r="AR189" s="55"/>
      <c r="AS189" s="55"/>
      <c r="AT189" s="55"/>
      <c r="AU189" s="55"/>
      <c r="AV189" s="55"/>
      <c r="AW189" s="55"/>
      <c r="AX189" s="55"/>
      <c r="AY189" s="55"/>
      <c r="AZ189" s="55"/>
      <c r="BA189" s="55"/>
      <c r="BB189" s="55"/>
      <c r="BC189" s="55"/>
      <c r="BD189" s="55"/>
      <c r="BE189" s="55"/>
      <c r="BF189" s="55"/>
    </row>
    <row r="190" spans="1:71" x14ac:dyDescent="0.25">
      <c r="A190" s="13"/>
      <c r="L190" s="118"/>
      <c r="M190" s="11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55"/>
      <c r="Z190" s="55"/>
      <c r="AA190" s="55"/>
      <c r="AB190" s="55"/>
      <c r="AC190" s="55"/>
      <c r="AD190" s="55"/>
      <c r="AE190" s="55"/>
      <c r="AF190" s="55"/>
      <c r="AG190" s="55"/>
      <c r="AH190" s="55"/>
      <c r="AI190" s="55"/>
      <c r="AJ190" s="55"/>
      <c r="AK190" s="55"/>
      <c r="AL190" s="55"/>
      <c r="AM190" s="55"/>
      <c r="AN190" s="55"/>
      <c r="AO190" s="55"/>
      <c r="AP190" s="55"/>
      <c r="AQ190" s="55"/>
      <c r="AR190" s="55"/>
      <c r="AS190" s="55"/>
      <c r="AT190" s="55"/>
      <c r="AU190" s="55"/>
      <c r="AV190" s="55"/>
      <c r="AW190" s="55"/>
      <c r="AX190" s="55"/>
      <c r="AY190" s="55"/>
      <c r="AZ190" s="55"/>
      <c r="BA190" s="55"/>
      <c r="BB190" s="55"/>
      <c r="BC190" s="55"/>
      <c r="BD190" s="55"/>
      <c r="BE190" s="55"/>
      <c r="BF190" s="55"/>
    </row>
    <row r="191" spans="1:71" x14ac:dyDescent="0.25">
      <c r="A191" s="13" t="s">
        <v>451</v>
      </c>
      <c r="L191" s="118"/>
      <c r="M191" s="118"/>
      <c r="N191" s="118"/>
      <c r="O191" s="118"/>
      <c r="P191" s="118"/>
      <c r="Q191" s="118"/>
      <c r="R191" s="118"/>
      <c r="S191" s="118"/>
      <c r="T191" s="118"/>
      <c r="U191" s="118"/>
      <c r="V191" s="118"/>
      <c r="W191" s="118"/>
      <c r="X191" s="118"/>
      <c r="Y191" s="55"/>
      <c r="Z191" s="55"/>
      <c r="AA191" s="55"/>
      <c r="AB191" s="55"/>
      <c r="AC191" s="55"/>
      <c r="AD191" s="55"/>
      <c r="AE191" s="55"/>
      <c r="AF191" s="55"/>
      <c r="AG191" s="55"/>
      <c r="AH191" s="55"/>
      <c r="AI191" s="55"/>
      <c r="AJ191" s="55"/>
      <c r="AK191" s="55"/>
      <c r="AL191" s="55"/>
      <c r="AM191" s="55"/>
      <c r="AN191" s="55"/>
      <c r="AO191" s="55"/>
      <c r="AP191" s="55"/>
      <c r="AQ191" s="55"/>
      <c r="AR191" s="55"/>
      <c r="AS191" s="55"/>
      <c r="AT191" s="55"/>
      <c r="AU191" s="55"/>
      <c r="AV191" s="55"/>
      <c r="AW191" s="55"/>
      <c r="AX191" s="55"/>
      <c r="AY191" s="55"/>
      <c r="AZ191" s="55"/>
      <c r="BA191" s="55"/>
      <c r="BB191" s="55"/>
      <c r="BC191" s="55"/>
      <c r="BD191" s="55"/>
      <c r="BE191" s="55"/>
      <c r="BF191" s="55"/>
    </row>
    <row r="192" spans="1:71" x14ac:dyDescent="0.25">
      <c r="A192" s="13" t="s">
        <v>452</v>
      </c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36">
        <v>2.2222222222222198E+23</v>
      </c>
      <c r="Z192" s="55"/>
      <c r="AA192" s="55"/>
      <c r="AB192" s="55"/>
      <c r="AC192" s="55"/>
      <c r="AD192" s="55"/>
      <c r="AE192" s="55"/>
      <c r="AF192" s="55"/>
      <c r="AG192" s="55"/>
      <c r="AH192" s="55"/>
      <c r="AI192" s="55"/>
      <c r="AJ192" s="55"/>
      <c r="AK192" s="55"/>
      <c r="AL192" s="55"/>
      <c r="AM192" s="55"/>
      <c r="AN192" s="55"/>
      <c r="AO192" s="55"/>
      <c r="AP192" s="55"/>
      <c r="AQ192" s="55"/>
      <c r="AR192" s="55"/>
      <c r="AS192" s="55"/>
      <c r="AT192" s="55"/>
      <c r="AU192" s="55"/>
      <c r="AV192" s="55"/>
      <c r="AW192" s="55"/>
      <c r="AX192" s="55"/>
      <c r="AY192" s="55"/>
      <c r="AZ192" s="55"/>
      <c r="BA192" s="55"/>
      <c r="BB192" s="55"/>
      <c r="BC192" s="55"/>
      <c r="BD192" s="55"/>
      <c r="BE192" s="55"/>
      <c r="BF192" s="55"/>
    </row>
    <row r="193" spans="1:58" x14ac:dyDescent="0.25">
      <c r="A193" s="13" t="s">
        <v>453</v>
      </c>
      <c r="L193" s="118"/>
      <c r="M193" s="118"/>
      <c r="N193" s="118"/>
      <c r="O193" s="118"/>
      <c r="P193" s="118"/>
      <c r="Q193" s="118"/>
      <c r="R193" s="118"/>
      <c r="S193" s="118"/>
      <c r="T193" s="118"/>
      <c r="U193" s="118"/>
      <c r="V193" s="118"/>
      <c r="W193" s="118"/>
      <c r="X193" s="118"/>
      <c r="Y193" s="136">
        <v>18.75</v>
      </c>
      <c r="Z193" s="55"/>
      <c r="AA193" s="55"/>
      <c r="AB193" s="55"/>
      <c r="AC193" s="55"/>
      <c r="AD193" s="55"/>
      <c r="AE193" s="55"/>
      <c r="AF193" s="55"/>
      <c r="AG193" s="55"/>
      <c r="AH193" s="55"/>
      <c r="AI193" s="55"/>
      <c r="AJ193" s="55"/>
      <c r="AK193" s="55"/>
      <c r="AL193" s="55"/>
      <c r="AM193" s="55"/>
      <c r="AN193" s="55"/>
      <c r="AO193" s="55"/>
      <c r="AP193" s="55"/>
      <c r="AQ193" s="55"/>
      <c r="AR193" s="55"/>
      <c r="AS193" s="55"/>
      <c r="AT193" s="55"/>
      <c r="AU193" s="55"/>
      <c r="AV193" s="55"/>
      <c r="AW193" s="55"/>
      <c r="AX193" s="55"/>
      <c r="AY193" s="55"/>
      <c r="AZ193" s="55"/>
      <c r="BA193" s="55"/>
      <c r="BB193" s="55"/>
      <c r="BC193" s="55"/>
      <c r="BD193" s="55"/>
      <c r="BE193" s="55"/>
      <c r="BF193" s="55"/>
    </row>
    <row r="194" spans="1:58" x14ac:dyDescent="0.25">
      <c r="A194" s="13" t="s">
        <v>454</v>
      </c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36">
        <v>13.2</v>
      </c>
      <c r="Z194" s="55"/>
      <c r="AA194" s="55"/>
      <c r="AB194" s="55"/>
      <c r="AC194" s="55"/>
      <c r="AD194" s="55"/>
      <c r="AE194" s="55"/>
      <c r="AF194" s="55"/>
      <c r="AG194" s="55"/>
      <c r="AH194" s="55"/>
      <c r="AI194" s="55"/>
      <c r="AJ194" s="55"/>
      <c r="AK194" s="55"/>
      <c r="AL194" s="55"/>
      <c r="AM194" s="55"/>
      <c r="AN194" s="55"/>
      <c r="AO194" s="55"/>
      <c r="AP194" s="55"/>
      <c r="AQ194" s="55"/>
      <c r="AR194" s="55"/>
      <c r="AS194" s="55"/>
      <c r="AT194" s="55"/>
      <c r="AU194" s="55"/>
      <c r="AV194" s="55"/>
      <c r="AW194" s="55"/>
      <c r="AX194" s="55"/>
      <c r="AY194" s="55"/>
      <c r="AZ194" s="55"/>
      <c r="BA194" s="55"/>
      <c r="BB194" s="55"/>
      <c r="BC194" s="55"/>
      <c r="BD194" s="55"/>
      <c r="BE194" s="55"/>
      <c r="BF194" s="55"/>
    </row>
    <row r="195" spans="1:58" x14ac:dyDescent="0.25">
      <c r="A195" s="13" t="s">
        <v>455</v>
      </c>
      <c r="L195" s="118"/>
      <c r="M195" s="118"/>
      <c r="N195" s="118"/>
      <c r="O195" s="118"/>
      <c r="P195" s="118"/>
      <c r="Q195" s="118"/>
      <c r="R195" s="118"/>
      <c r="S195" s="118"/>
      <c r="T195" s="118"/>
      <c r="U195" s="118"/>
      <c r="V195" s="118"/>
      <c r="W195" s="118"/>
      <c r="X195" s="118"/>
      <c r="Y195" s="136">
        <v>22.4</v>
      </c>
      <c r="Z195" s="55"/>
      <c r="AA195" s="55"/>
      <c r="AB195" s="55"/>
      <c r="AC195" s="55"/>
      <c r="AD195" s="55"/>
      <c r="AE195" s="55"/>
      <c r="AF195" s="55"/>
      <c r="AG195" s="55"/>
      <c r="AH195" s="55"/>
      <c r="AI195" s="55"/>
      <c r="AJ195" s="55"/>
      <c r="AK195" s="55"/>
      <c r="AL195" s="55"/>
      <c r="AM195" s="55"/>
      <c r="AN195" s="55"/>
      <c r="AO195" s="55"/>
      <c r="AP195" s="55"/>
      <c r="AQ195" s="55"/>
      <c r="AR195" s="55"/>
      <c r="AS195" s="55"/>
      <c r="AT195" s="55"/>
      <c r="AU195" s="55"/>
      <c r="AV195" s="55"/>
      <c r="AW195" s="55"/>
      <c r="AX195" s="55"/>
      <c r="AY195" s="55"/>
      <c r="AZ195" s="55"/>
      <c r="BA195" s="55"/>
      <c r="BB195" s="55"/>
      <c r="BC195" s="55"/>
      <c r="BD195" s="55"/>
      <c r="BE195" s="55"/>
      <c r="BF195" s="55"/>
    </row>
    <row r="197" spans="1:58" x14ac:dyDescent="0.25">
      <c r="A197" s="126" t="s">
        <v>437</v>
      </c>
    </row>
    <row r="198" spans="1:58" x14ac:dyDescent="0.25">
      <c r="A198" t="s">
        <v>404</v>
      </c>
      <c r="L198">
        <v>0.01</v>
      </c>
      <c r="M198">
        <v>0.01</v>
      </c>
      <c r="N198" t="s">
        <v>252</v>
      </c>
      <c r="O198" t="s">
        <v>252</v>
      </c>
      <c r="P198" t="s">
        <v>252</v>
      </c>
      <c r="Q198">
        <v>0.01</v>
      </c>
      <c r="R198" t="s">
        <v>252</v>
      </c>
      <c r="S198" t="s">
        <v>252</v>
      </c>
      <c r="T198" t="s">
        <v>252</v>
      </c>
      <c r="U198" t="s">
        <v>252</v>
      </c>
      <c r="V198" t="s">
        <v>252</v>
      </c>
      <c r="W198" t="s">
        <v>252</v>
      </c>
      <c r="X198" t="s">
        <v>252</v>
      </c>
      <c r="Y198"/>
      <c r="AA198"/>
      <c r="AB198" t="s">
        <v>252</v>
      </c>
      <c r="AC198" t="s">
        <v>252</v>
      </c>
      <c r="AD198" t="s">
        <v>252</v>
      </c>
      <c r="AE198" t="s">
        <v>252</v>
      </c>
      <c r="AF198" t="s">
        <v>252</v>
      </c>
      <c r="AG198" t="s">
        <v>252</v>
      </c>
      <c r="AH198" t="s">
        <v>252</v>
      </c>
      <c r="AI198" t="s">
        <v>252</v>
      </c>
      <c r="AJ198" t="s">
        <v>252</v>
      </c>
      <c r="AK198">
        <v>0.1</v>
      </c>
      <c r="AL198">
        <v>0.01</v>
      </c>
      <c r="AM198">
        <v>0.1</v>
      </c>
      <c r="AN198" t="s">
        <v>252</v>
      </c>
      <c r="AO198" t="s">
        <v>252</v>
      </c>
      <c r="AP198" t="s">
        <v>252</v>
      </c>
      <c r="AQ198" t="s">
        <v>252</v>
      </c>
      <c r="AR198" t="s">
        <v>252</v>
      </c>
      <c r="AS198" t="s">
        <v>252</v>
      </c>
      <c r="AU198">
        <v>1</v>
      </c>
      <c r="AV198">
        <v>0.1</v>
      </c>
      <c r="AW198">
        <v>0.1</v>
      </c>
      <c r="AX198">
        <v>0.01</v>
      </c>
      <c r="AY198" t="s">
        <v>252</v>
      </c>
      <c r="AZ198">
        <v>0.01</v>
      </c>
      <c r="BA198" t="s">
        <v>252</v>
      </c>
      <c r="BB198" t="s">
        <v>252</v>
      </c>
      <c r="BC198" t="s">
        <v>252</v>
      </c>
      <c r="BD198" t="s">
        <v>252</v>
      </c>
      <c r="BE198" t="s">
        <v>252</v>
      </c>
      <c r="BF198" t="s">
        <v>252</v>
      </c>
    </row>
    <row r="199" spans="1:58" x14ac:dyDescent="0.25">
      <c r="A199" t="s">
        <v>405</v>
      </c>
      <c r="L199" t="s">
        <v>252</v>
      </c>
      <c r="M199" t="s">
        <v>252</v>
      </c>
      <c r="N199" t="s">
        <v>252</v>
      </c>
      <c r="O199" t="s">
        <v>252</v>
      </c>
      <c r="P199">
        <v>0.01</v>
      </c>
      <c r="Q199">
        <v>0.01</v>
      </c>
      <c r="R199" t="s">
        <v>252</v>
      </c>
      <c r="S199" t="s">
        <v>252</v>
      </c>
      <c r="T199" t="s">
        <v>252</v>
      </c>
      <c r="U199" t="s">
        <v>252</v>
      </c>
      <c r="V199" t="s">
        <v>252</v>
      </c>
      <c r="W199" t="s">
        <v>252</v>
      </c>
      <c r="X199" t="s">
        <v>252</v>
      </c>
      <c r="Y199"/>
      <c r="AA199"/>
      <c r="AB199">
        <v>0.6</v>
      </c>
      <c r="AC199" t="s">
        <v>252</v>
      </c>
      <c r="AD199" t="s">
        <v>252</v>
      </c>
      <c r="AE199" t="s">
        <v>252</v>
      </c>
      <c r="AF199" t="s">
        <v>252</v>
      </c>
      <c r="AG199" t="s">
        <v>252</v>
      </c>
      <c r="AH199">
        <v>0.02</v>
      </c>
      <c r="AI199">
        <v>0.1</v>
      </c>
      <c r="AJ199" t="s">
        <v>252</v>
      </c>
      <c r="AK199">
        <v>0.1</v>
      </c>
      <c r="AL199">
        <v>0.02</v>
      </c>
      <c r="AM199">
        <v>0.1</v>
      </c>
      <c r="AN199">
        <v>0.01</v>
      </c>
      <c r="AO199">
        <v>0.1</v>
      </c>
      <c r="AP199" t="s">
        <v>252</v>
      </c>
      <c r="AQ199">
        <v>0.03</v>
      </c>
      <c r="AR199">
        <v>0.2</v>
      </c>
      <c r="AS199">
        <v>0.03</v>
      </c>
      <c r="AU199">
        <v>1</v>
      </c>
      <c r="AV199">
        <v>0.2</v>
      </c>
      <c r="AW199">
        <v>0.1</v>
      </c>
      <c r="AX199">
        <v>0.01</v>
      </c>
      <c r="AY199" t="s">
        <v>252</v>
      </c>
      <c r="AZ199">
        <v>0.02</v>
      </c>
      <c r="BA199" t="s">
        <v>252</v>
      </c>
      <c r="BB199" t="s">
        <v>252</v>
      </c>
      <c r="BC199">
        <v>1</v>
      </c>
      <c r="BD199" t="s">
        <v>252</v>
      </c>
      <c r="BE199">
        <v>0.03</v>
      </c>
      <c r="BF199" t="s">
        <v>252</v>
      </c>
    </row>
    <row r="200" spans="1:58" x14ac:dyDescent="0.25">
      <c r="A200" t="s">
        <v>438</v>
      </c>
      <c r="L200">
        <v>0.01</v>
      </c>
      <c r="M200">
        <v>0.02</v>
      </c>
      <c r="N200">
        <v>0.01</v>
      </c>
      <c r="O200" t="s">
        <v>252</v>
      </c>
      <c r="P200">
        <v>0.01</v>
      </c>
      <c r="Q200" t="s">
        <v>252</v>
      </c>
      <c r="R200" t="s">
        <v>252</v>
      </c>
      <c r="S200" t="s">
        <v>252</v>
      </c>
      <c r="T200" t="s">
        <v>252</v>
      </c>
      <c r="U200" t="s">
        <v>252</v>
      </c>
      <c r="V200" t="s">
        <v>252</v>
      </c>
      <c r="W200" t="s">
        <v>252</v>
      </c>
      <c r="X200" t="s">
        <v>252</v>
      </c>
      <c r="Y200"/>
      <c r="AA200">
        <v>0.05</v>
      </c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U200"/>
      <c r="AV200"/>
      <c r="AW200"/>
      <c r="AX200"/>
      <c r="AY200"/>
      <c r="AZ200"/>
      <c r="BA200"/>
      <c r="BB200"/>
      <c r="BC200"/>
      <c r="BD200"/>
      <c r="BE200"/>
      <c r="BF200"/>
    </row>
    <row r="201" spans="1:58" x14ac:dyDescent="0.25">
      <c r="A201" t="s">
        <v>439</v>
      </c>
      <c r="L201">
        <v>0.01</v>
      </c>
      <c r="M201">
        <v>0.01</v>
      </c>
      <c r="N201">
        <v>0.01</v>
      </c>
      <c r="O201" t="s">
        <v>252</v>
      </c>
      <c r="P201">
        <v>0.01</v>
      </c>
      <c r="Q201">
        <v>0.02</v>
      </c>
      <c r="R201" t="s">
        <v>252</v>
      </c>
      <c r="S201" t="s">
        <v>252</v>
      </c>
      <c r="T201" t="s">
        <v>252</v>
      </c>
      <c r="U201" t="s">
        <v>252</v>
      </c>
      <c r="V201" t="s">
        <v>252</v>
      </c>
      <c r="W201" t="s">
        <v>252</v>
      </c>
      <c r="X201" t="s">
        <v>252</v>
      </c>
      <c r="Y201"/>
      <c r="AA201">
        <v>0.06</v>
      </c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U201"/>
      <c r="AV201"/>
      <c r="AW201"/>
      <c r="AX201"/>
      <c r="AY201"/>
      <c r="AZ201"/>
      <c r="BA201"/>
      <c r="BB201"/>
      <c r="BC201"/>
      <c r="BD201"/>
      <c r="BE201"/>
      <c r="BF201"/>
    </row>
    <row r="202" spans="1:58" x14ac:dyDescent="0.25">
      <c r="A202" t="s">
        <v>440</v>
      </c>
      <c r="L202"/>
      <c r="M202"/>
      <c r="N202"/>
      <c r="O202"/>
      <c r="P202"/>
      <c r="Q202"/>
      <c r="R202"/>
      <c r="S202"/>
      <c r="T202"/>
      <c r="U202"/>
      <c r="V202"/>
      <c r="W202"/>
      <c r="X202"/>
      <c r="Y202">
        <v>0</v>
      </c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U202"/>
      <c r="AV202"/>
      <c r="AW202"/>
      <c r="AX202"/>
      <c r="AY202"/>
      <c r="AZ202"/>
      <c r="BA202"/>
      <c r="BB202"/>
      <c r="BC202"/>
      <c r="BD202"/>
      <c r="BE202"/>
      <c r="BF202"/>
    </row>
    <row r="203" spans="1:58" x14ac:dyDescent="0.25">
      <c r="A203" t="s">
        <v>441</v>
      </c>
      <c r="L203"/>
      <c r="M203"/>
      <c r="N203"/>
      <c r="O203"/>
      <c r="P203"/>
      <c r="Q203"/>
      <c r="R203"/>
      <c r="S203"/>
      <c r="T203"/>
      <c r="U203"/>
      <c r="V203"/>
      <c r="W203"/>
      <c r="X203"/>
      <c r="Y203">
        <v>0</v>
      </c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U203"/>
      <c r="AV203"/>
      <c r="AW203"/>
      <c r="AX203"/>
      <c r="AY203"/>
      <c r="AZ203"/>
      <c r="BA203"/>
      <c r="BB203"/>
      <c r="BC203"/>
      <c r="BD203"/>
      <c r="BE203"/>
      <c r="BF203"/>
    </row>
    <row r="204" spans="1:58" x14ac:dyDescent="0.25">
      <c r="A204" t="s">
        <v>442</v>
      </c>
      <c r="L204"/>
      <c r="M204"/>
      <c r="N204"/>
      <c r="O204"/>
      <c r="P204"/>
      <c r="Q204"/>
      <c r="R204"/>
      <c r="S204"/>
      <c r="T204"/>
      <c r="U204"/>
      <c r="V204"/>
      <c r="W204"/>
      <c r="X204"/>
      <c r="Y204">
        <v>0</v>
      </c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U204"/>
      <c r="AV204"/>
      <c r="AW204"/>
      <c r="AX204"/>
      <c r="AY204"/>
      <c r="AZ204"/>
      <c r="BA204"/>
      <c r="BB204"/>
      <c r="BC204"/>
      <c r="BD204"/>
      <c r="BE204"/>
      <c r="BF204"/>
    </row>
    <row r="205" spans="1:58" x14ac:dyDescent="0.25">
      <c r="A205" t="s">
        <v>443</v>
      </c>
      <c r="L205" t="s">
        <v>252</v>
      </c>
      <c r="M205">
        <v>0.01</v>
      </c>
      <c r="N205" t="s">
        <v>252</v>
      </c>
      <c r="O205" t="s">
        <v>252</v>
      </c>
      <c r="P205">
        <v>0.01</v>
      </c>
      <c r="Q205" t="s">
        <v>252</v>
      </c>
      <c r="R205" t="s">
        <v>252</v>
      </c>
      <c r="S205" t="s">
        <v>252</v>
      </c>
      <c r="T205" t="s">
        <v>252</v>
      </c>
      <c r="U205" t="s">
        <v>252</v>
      </c>
      <c r="V205" t="s">
        <v>252</v>
      </c>
      <c r="W205" t="s">
        <v>252</v>
      </c>
      <c r="X205" t="s">
        <v>252</v>
      </c>
      <c r="Y205"/>
      <c r="AA205"/>
      <c r="AB205">
        <v>0.5</v>
      </c>
      <c r="AC205" t="s">
        <v>252</v>
      </c>
      <c r="AD205" t="s">
        <v>252</v>
      </c>
      <c r="AE205">
        <v>0.01</v>
      </c>
      <c r="AF205" t="s">
        <v>252</v>
      </c>
      <c r="AG205" t="s">
        <v>252</v>
      </c>
      <c r="AH205" t="s">
        <v>252</v>
      </c>
      <c r="AI205" t="s">
        <v>252</v>
      </c>
      <c r="AJ205" t="s">
        <v>252</v>
      </c>
      <c r="AK205">
        <v>0.1</v>
      </c>
      <c r="AL205">
        <v>0.01</v>
      </c>
      <c r="AM205">
        <v>0.1</v>
      </c>
      <c r="AN205" t="s">
        <v>252</v>
      </c>
      <c r="AO205" t="s">
        <v>252</v>
      </c>
      <c r="AP205">
        <v>0.1</v>
      </c>
      <c r="AQ205" t="s">
        <v>252</v>
      </c>
      <c r="AR205" t="s">
        <v>252</v>
      </c>
      <c r="AS205" t="s">
        <v>252</v>
      </c>
      <c r="AU205">
        <v>1</v>
      </c>
      <c r="AV205">
        <v>0.1</v>
      </c>
      <c r="AW205" t="s">
        <v>252</v>
      </c>
      <c r="AX205">
        <v>0.01</v>
      </c>
      <c r="AY205" t="s">
        <v>252</v>
      </c>
      <c r="AZ205">
        <v>0.01</v>
      </c>
      <c r="BA205" t="s">
        <v>252</v>
      </c>
      <c r="BB205" t="s">
        <v>252</v>
      </c>
      <c r="BC205">
        <v>1</v>
      </c>
      <c r="BD205" t="s">
        <v>252</v>
      </c>
      <c r="BE205" t="s">
        <v>252</v>
      </c>
      <c r="BF205" t="s">
        <v>252</v>
      </c>
    </row>
    <row r="206" spans="1:58" x14ac:dyDescent="0.25">
      <c r="A206" t="s">
        <v>444</v>
      </c>
      <c r="L206" t="s">
        <v>252</v>
      </c>
      <c r="M206" t="s">
        <v>252</v>
      </c>
      <c r="N206" t="s">
        <v>252</v>
      </c>
      <c r="O206" t="s">
        <v>252</v>
      </c>
      <c r="P206" t="s">
        <v>252</v>
      </c>
      <c r="Q206">
        <v>0.01</v>
      </c>
      <c r="R206" t="s">
        <v>252</v>
      </c>
      <c r="S206" t="s">
        <v>252</v>
      </c>
      <c r="T206" t="s">
        <v>252</v>
      </c>
      <c r="U206" t="s">
        <v>252</v>
      </c>
      <c r="V206" t="s">
        <v>252</v>
      </c>
      <c r="W206" t="s">
        <v>252</v>
      </c>
      <c r="X206" t="s">
        <v>252</v>
      </c>
      <c r="Y206"/>
      <c r="AA206"/>
      <c r="AB206" t="s">
        <v>252</v>
      </c>
      <c r="AC206" t="s">
        <v>252</v>
      </c>
      <c r="AD206" t="s">
        <v>252</v>
      </c>
      <c r="AE206" t="s">
        <v>252</v>
      </c>
      <c r="AF206" t="s">
        <v>252</v>
      </c>
      <c r="AG206">
        <v>0.03</v>
      </c>
      <c r="AH206" t="s">
        <v>252</v>
      </c>
      <c r="AI206" t="s">
        <v>252</v>
      </c>
      <c r="AJ206" t="s">
        <v>252</v>
      </c>
      <c r="AK206">
        <v>0.1</v>
      </c>
      <c r="AL206">
        <v>0.01</v>
      </c>
      <c r="AM206">
        <v>0.1</v>
      </c>
      <c r="AN206" t="s">
        <v>252</v>
      </c>
      <c r="AO206">
        <v>0.1</v>
      </c>
      <c r="AP206" t="s">
        <v>252</v>
      </c>
      <c r="AQ206" t="s">
        <v>252</v>
      </c>
      <c r="AR206" t="s">
        <v>252</v>
      </c>
      <c r="AS206" t="s">
        <v>252</v>
      </c>
      <c r="AU206">
        <v>1</v>
      </c>
      <c r="AV206">
        <v>0.1</v>
      </c>
      <c r="AW206" t="s">
        <v>252</v>
      </c>
      <c r="AX206" t="s">
        <v>252</v>
      </c>
      <c r="AY206" t="s">
        <v>252</v>
      </c>
      <c r="AZ206" t="s">
        <v>252</v>
      </c>
      <c r="BA206" t="s">
        <v>252</v>
      </c>
      <c r="BB206" t="s">
        <v>252</v>
      </c>
      <c r="BC206" t="s">
        <v>252</v>
      </c>
      <c r="BD206" t="s">
        <v>252</v>
      </c>
      <c r="BE206" t="s">
        <v>252</v>
      </c>
      <c r="BF206" t="s">
        <v>252</v>
      </c>
    </row>
    <row r="207" spans="1:58" x14ac:dyDescent="0.25">
      <c r="A207" t="s">
        <v>445</v>
      </c>
      <c r="L207" t="s">
        <v>252</v>
      </c>
      <c r="M207">
        <v>0.02</v>
      </c>
      <c r="N207">
        <v>0.02</v>
      </c>
      <c r="O207" t="s">
        <v>252</v>
      </c>
      <c r="P207">
        <v>0.01</v>
      </c>
      <c r="Q207">
        <v>0.01</v>
      </c>
      <c r="R207" t="s">
        <v>252</v>
      </c>
      <c r="S207" t="s">
        <v>252</v>
      </c>
      <c r="T207" t="s">
        <v>252</v>
      </c>
      <c r="U207" t="s">
        <v>252</v>
      </c>
      <c r="V207" t="s">
        <v>252</v>
      </c>
      <c r="W207" t="s">
        <v>252</v>
      </c>
      <c r="X207" t="s">
        <v>252</v>
      </c>
      <c r="Y207"/>
      <c r="AA207">
        <v>0.06</v>
      </c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</row>
    <row r="208" spans="1:58" x14ac:dyDescent="0.25">
      <c r="A208" t="s">
        <v>446</v>
      </c>
      <c r="L208" t="s">
        <v>252</v>
      </c>
      <c r="M208">
        <v>0.02</v>
      </c>
      <c r="N208">
        <v>0.01</v>
      </c>
      <c r="O208" t="s">
        <v>252</v>
      </c>
      <c r="P208">
        <v>0.01</v>
      </c>
      <c r="Q208">
        <v>0.02</v>
      </c>
      <c r="R208" t="s">
        <v>252</v>
      </c>
      <c r="S208" t="s">
        <v>252</v>
      </c>
      <c r="T208" t="s">
        <v>252</v>
      </c>
      <c r="U208" t="s">
        <v>252</v>
      </c>
      <c r="V208">
        <v>0.01</v>
      </c>
      <c r="W208" t="s">
        <v>252</v>
      </c>
      <c r="X208" t="s">
        <v>252</v>
      </c>
      <c r="Y208"/>
      <c r="AA208">
        <v>7.0000000000000007E-2</v>
      </c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</row>
    <row r="209" spans="1:58" x14ac:dyDescent="0.25">
      <c r="A209" t="s">
        <v>449</v>
      </c>
      <c r="AB209">
        <v>0.6</v>
      </c>
      <c r="AC209">
        <v>0.1</v>
      </c>
      <c r="AD209" t="s">
        <v>252</v>
      </c>
      <c r="AE209">
        <v>0.04</v>
      </c>
      <c r="AF209" t="s">
        <v>252</v>
      </c>
      <c r="AG209" t="s">
        <v>252</v>
      </c>
      <c r="AH209">
        <v>0.02</v>
      </c>
      <c r="AI209" t="s">
        <v>252</v>
      </c>
      <c r="AJ209" t="s">
        <v>252</v>
      </c>
      <c r="AK209">
        <v>0.1</v>
      </c>
      <c r="AL209">
        <v>0.01</v>
      </c>
      <c r="AM209">
        <v>0.1</v>
      </c>
      <c r="AN209">
        <v>0.02</v>
      </c>
      <c r="AO209" t="s">
        <v>252</v>
      </c>
      <c r="AP209" t="s">
        <v>252</v>
      </c>
      <c r="AQ209" t="s">
        <v>252</v>
      </c>
      <c r="AR209" t="s">
        <v>252</v>
      </c>
      <c r="AS209" t="s">
        <v>252</v>
      </c>
      <c r="AU209">
        <v>1</v>
      </c>
      <c r="AV209">
        <v>0.1</v>
      </c>
      <c r="AW209">
        <v>0.1</v>
      </c>
      <c r="AX209">
        <v>0.01</v>
      </c>
      <c r="AY209">
        <v>0.06</v>
      </c>
      <c r="AZ209" t="s">
        <v>252</v>
      </c>
      <c r="BA209" t="s">
        <v>252</v>
      </c>
      <c r="BB209" t="s">
        <v>252</v>
      </c>
      <c r="BC209" t="s">
        <v>252</v>
      </c>
      <c r="BD209" t="s">
        <v>252</v>
      </c>
      <c r="BE209">
        <v>0.04</v>
      </c>
      <c r="BF209" t="s">
        <v>252</v>
      </c>
    </row>
    <row r="210" spans="1:58" x14ac:dyDescent="0.25">
      <c r="A210" t="s">
        <v>450</v>
      </c>
      <c r="AB210">
        <v>0.9</v>
      </c>
      <c r="AC210">
        <v>0.1</v>
      </c>
      <c r="AD210" t="s">
        <v>252</v>
      </c>
      <c r="AE210" t="s">
        <v>252</v>
      </c>
      <c r="AF210" t="s">
        <v>252</v>
      </c>
      <c r="AG210" t="s">
        <v>252</v>
      </c>
      <c r="AH210" t="s">
        <v>252</v>
      </c>
      <c r="AI210" t="s">
        <v>252</v>
      </c>
      <c r="AJ210" t="s">
        <v>252</v>
      </c>
      <c r="AK210">
        <v>0.1</v>
      </c>
      <c r="AL210">
        <v>0.01</v>
      </c>
      <c r="AM210">
        <v>0.1</v>
      </c>
      <c r="AN210" t="s">
        <v>252</v>
      </c>
      <c r="AO210" t="s">
        <v>252</v>
      </c>
      <c r="AP210" t="s">
        <v>252</v>
      </c>
      <c r="AQ210" t="s">
        <v>252</v>
      </c>
      <c r="AR210" t="s">
        <v>252</v>
      </c>
      <c r="AS210" t="s">
        <v>252</v>
      </c>
      <c r="AU210">
        <v>1</v>
      </c>
      <c r="AV210">
        <v>0.1</v>
      </c>
      <c r="AW210">
        <v>0.1</v>
      </c>
      <c r="AX210">
        <v>0.01</v>
      </c>
      <c r="AY210">
        <v>0.06</v>
      </c>
      <c r="AZ210" t="s">
        <v>252</v>
      </c>
      <c r="BA210" t="s">
        <v>252</v>
      </c>
      <c r="BB210" t="s">
        <v>252</v>
      </c>
      <c r="BC210" t="s">
        <v>252</v>
      </c>
      <c r="BD210" t="s">
        <v>252</v>
      </c>
      <c r="BE210" t="s">
        <v>252</v>
      </c>
      <c r="BF210" t="s">
        <v>252</v>
      </c>
    </row>
  </sheetData>
  <phoneticPr fontId="17" type="noConversion"/>
  <conditionalFormatting sqref="AO34:AQ34 AT34:AU34 AT31 AW34 AZ34 BB34 AB34:AC35 AM34:AM35 L1:BS1 BV1:CE1 AO35:BF35 N71:BF71 O35:Y35 AA35 AZ25:AZ29 AW25:AW29 AT25:AU30 L87:BF87 O2:BF2 AD9:BE11 AD3:BF8 O3:AA11 L2:N11 BF9:BF24 AN33:AN35 AD33:AL35 BA33:BA34 AX25:AY34 AV25:AV34 AR32:AS34 BC33:BF34 AB25:AS31 AB32:AP32 BA25:BF32 L25:N35 O25:AA34 S12:S24 L88:BO88 AA36:AS70 AU36:BF70 Z35:Z70 N36:Y70 BV72:CE84 BU85:CD85 BT86:CC86 AM89:BF104 AD89:AL109 M94:BF102 BV2 BQ2 BY2:CE2 BT2 W105:AA105 AC105:AC109 AM105:AN109 AR105:AV105 AX105:BC109 BE105:BE109 AP105:AP109 N123:R123 T121:AA123 AN121:AN123 AR121:AT123 AX121:AY123 BE121:BE123 AV121:AV123 BA121:BA123 BC121:BC123 L129:BF129 L120:R122 T120:AC120 AM120:BF120 AD120:AL124 W106:X109 Z106:AA109 AR106:AS109 AU106:AV109 L110:BF113 S158 W158:AA158 Z142:Z157 AD158:AL158 W166:AA166 S161 AD166:AL167 S174 W174:AA174 Y167:AA167 Y159:AA159 AD129:AL137 S120:S141 W124:AA141 Y175:AA175 S176 Y170:AA170 AD170:AL170 AD140:AL141 W161:Y161 AG161 AU161 AK161:AM161 AY161:BA161 S166 W176:BF176 AD174:AL176 L86:BQ86 L85:BR85 L72:BS84 L89:AC104">
    <cfRule type="containsText" dxfId="194" priority="193" operator="containsText" text="&lt;">
      <formula>NOT(ISERROR(SEARCH("&lt;",L1)))</formula>
    </cfRule>
  </conditionalFormatting>
  <conditionalFormatting sqref="L88:BO88 W105:AA105 AC105:AN109 AR105:AV105 AX105:BC109 BE105:BE109 AP105:AP109 N123:AA123 L121:AA122 AD121:AL124 AR121:AT124 AX121:AY124 BE121:BE124 AN121:AN124 AV121:AV124 BA121:BA124 BC121:BC124 L120:BF120 W106:X109 Z106:AA109 AR106:AS109 AU106:AV109 L158:BF158 Z142:Z157 BF142:BF157 L129:BF137 L174:BF174 Y167:BF167 Y159:AA159 L124:AA128 Y175:BF175 Y170:BF170 L140:BF141 L138:AA139 L176:BF176 L161:BF166 L2:BF87 L89:BF104">
    <cfRule type="containsText" dxfId="193" priority="192" operator="containsText" text="NA">
      <formula>NOT(ISERROR(SEARCH("NA",L2)))</formula>
    </cfRule>
  </conditionalFormatting>
  <conditionalFormatting sqref="AB3:AC3">
    <cfRule type="containsText" dxfId="192" priority="191" operator="containsText" text="&lt;">
      <formula>NOT(ISERROR(SEARCH("&lt;",AB3)))</formula>
    </cfRule>
  </conditionalFormatting>
  <conditionalFormatting sqref="AB3:AC3 AB25:AC32 BB30:BB32 BV2 BQ2 BY2:CE2 BT2">
    <cfRule type="containsText" dxfId="191" priority="190" operator="containsText" text="NA">
      <formula>NOT(ISERROR(SEARCH("NA",AB2)))</formula>
    </cfRule>
  </conditionalFormatting>
  <conditionalFormatting sqref="AB4:AC4">
    <cfRule type="containsText" dxfId="190" priority="189" operator="containsText" text="&lt;">
      <formula>NOT(ISERROR(SEARCH("&lt;",AB4)))</formula>
    </cfRule>
  </conditionalFormatting>
  <conditionalFormatting sqref="AB4:AC4">
    <cfRule type="containsText" dxfId="189" priority="188" operator="containsText" text="NA">
      <formula>NOT(ISERROR(SEARCH("NA",AB4)))</formula>
    </cfRule>
  </conditionalFormatting>
  <conditionalFormatting sqref="AB5:AC5">
    <cfRule type="containsText" dxfId="188" priority="187" operator="containsText" text="&lt;">
      <formula>NOT(ISERROR(SEARCH("&lt;",AB5)))</formula>
    </cfRule>
  </conditionalFormatting>
  <conditionalFormatting sqref="AB5:AC5">
    <cfRule type="containsText" dxfId="187" priority="186" operator="containsText" text="NA">
      <formula>NOT(ISERROR(SEARCH("NA",AB5)))</formula>
    </cfRule>
  </conditionalFormatting>
  <conditionalFormatting sqref="AB8:AC8">
    <cfRule type="containsText" dxfId="186" priority="185" operator="containsText" text="&lt;">
      <formula>NOT(ISERROR(SEARCH("&lt;",AB8)))</formula>
    </cfRule>
  </conditionalFormatting>
  <conditionalFormatting sqref="AB8:AC8">
    <cfRule type="containsText" dxfId="185" priority="184" operator="containsText" text="NA">
      <formula>NOT(ISERROR(SEARCH("NA",AB8)))</formula>
    </cfRule>
  </conditionalFormatting>
  <conditionalFormatting sqref="AB7:AC7">
    <cfRule type="containsText" dxfId="184" priority="183" operator="containsText" text="&lt;">
      <formula>NOT(ISERROR(SEARCH("&lt;",AB7)))</formula>
    </cfRule>
  </conditionalFormatting>
  <conditionalFormatting sqref="AB7:AC7">
    <cfRule type="containsText" dxfId="183" priority="182" operator="containsText" text="NA">
      <formula>NOT(ISERROR(SEARCH("NA",AB7)))</formula>
    </cfRule>
  </conditionalFormatting>
  <conditionalFormatting sqref="AB6:AC6">
    <cfRule type="containsText" dxfId="182" priority="181" operator="containsText" text="&lt;">
      <formula>NOT(ISERROR(SEARCH("&lt;",AB6)))</formula>
    </cfRule>
  </conditionalFormatting>
  <conditionalFormatting sqref="AB6:AC6">
    <cfRule type="containsText" dxfId="181" priority="180" operator="containsText" text="NA">
      <formula>NOT(ISERROR(SEARCH("NA",AB6)))</formula>
    </cfRule>
  </conditionalFormatting>
  <conditionalFormatting sqref="AB9:AC9">
    <cfRule type="containsText" dxfId="180" priority="179" operator="containsText" text="&lt;">
      <formula>NOT(ISERROR(SEARCH("&lt;",AB9)))</formula>
    </cfRule>
  </conditionalFormatting>
  <conditionalFormatting sqref="AB9:AC9">
    <cfRule type="containsText" dxfId="179" priority="178" operator="containsText" text="NA">
      <formula>NOT(ISERROR(SEARCH("NA",AB9)))</formula>
    </cfRule>
  </conditionalFormatting>
  <conditionalFormatting sqref="AB10:AC11">
    <cfRule type="containsText" dxfId="178" priority="177" operator="containsText" text="&lt;">
      <formula>NOT(ISERROR(SEARCH("&lt;",AB10)))</formula>
    </cfRule>
  </conditionalFormatting>
  <conditionalFormatting sqref="AB10:AC11">
    <cfRule type="containsText" dxfId="177" priority="176" operator="containsText" text="NA">
      <formula>NOT(ISERROR(SEARCH("NA",AB10)))</formula>
    </cfRule>
  </conditionalFormatting>
  <conditionalFormatting sqref="AW30:AW31 AZ30:AZ31">
    <cfRule type="containsText" dxfId="176" priority="171" operator="containsText" text="&lt;">
      <formula>NOT(ISERROR(SEARCH("&lt;",AW30)))</formula>
    </cfRule>
  </conditionalFormatting>
  <conditionalFormatting sqref="AW30:AW31 AZ30:AZ31">
    <cfRule type="containsText" dxfId="175" priority="170" operator="containsText" text="NA">
      <formula>NOT(ISERROR(SEARCH("NA",AW30)))</formula>
    </cfRule>
  </conditionalFormatting>
  <conditionalFormatting sqref="B67:XFD70 A58:XFD66 A56:BV57 BX56:XFD57 BQ42:BT55 BY2:XFD55 BQ41:BQ50 A2:BV2 BT41:BT50 BV40:BV55 BU41:BU55 A68 BP3:BV39 BP40:BP55 A3:BO55">
    <cfRule type="containsText" dxfId="174" priority="169" operator="containsText" text="b.d.">
      <formula>NOT(ISERROR(SEARCH("b.d.",A2)))</formula>
    </cfRule>
  </conditionalFormatting>
  <conditionalFormatting sqref="O105:O109">
    <cfRule type="containsText" dxfId="173" priority="157" operator="containsText" text="&lt;">
      <formula>NOT(ISERROR(SEARCH("&lt;",O105)))</formula>
    </cfRule>
  </conditionalFormatting>
  <conditionalFormatting sqref="S105:S109">
    <cfRule type="containsText" dxfId="172" priority="155" operator="containsText" text="&lt;">
      <formula>NOT(ISERROR(SEARCH("&lt;",S105)))</formula>
    </cfRule>
  </conditionalFormatting>
  <conditionalFormatting sqref="L105:M109 Z130:Z139 BF130:BF139">
    <cfRule type="containsText" dxfId="171" priority="160" operator="containsText" text="&lt;">
      <formula>NOT(ISERROR(SEARCH("&lt;",L105)))</formula>
    </cfRule>
  </conditionalFormatting>
  <conditionalFormatting sqref="N105:N109">
    <cfRule type="containsText" dxfId="170" priority="159" operator="containsText" text="&lt;">
      <formula>NOT(ISERROR(SEARCH("&lt;",N105)))</formula>
    </cfRule>
  </conditionalFormatting>
  <conditionalFormatting sqref="P105:P109">
    <cfRule type="containsText" dxfId="169" priority="158" operator="containsText" text="&lt;">
      <formula>NOT(ISERROR(SEARCH("&lt;",P105)))</formula>
    </cfRule>
  </conditionalFormatting>
  <conditionalFormatting sqref="Q105:R109">
    <cfRule type="containsText" dxfId="168" priority="156" operator="containsText" text="&lt;">
      <formula>NOT(ISERROR(SEARCH("&lt;",Q105)))</formula>
    </cfRule>
  </conditionalFormatting>
  <conditionalFormatting sqref="T105:T109">
    <cfRule type="containsText" dxfId="167" priority="154" operator="containsText" text="&lt;">
      <formula>NOT(ISERROR(SEARCH("&lt;",T105)))</formula>
    </cfRule>
  </conditionalFormatting>
  <conditionalFormatting sqref="U105:U109">
    <cfRule type="containsText" dxfId="166" priority="153" operator="containsText" text="&lt;">
      <formula>NOT(ISERROR(SEARCH("&lt;",U105)))</formula>
    </cfRule>
  </conditionalFormatting>
  <conditionalFormatting sqref="V105:V109">
    <cfRule type="containsText" dxfId="165" priority="152" operator="containsText" text="&lt;">
      <formula>NOT(ISERROR(SEARCH("&lt;",V105)))</formula>
    </cfRule>
  </conditionalFormatting>
  <conditionalFormatting sqref="AB105:AB109">
    <cfRule type="containsText" dxfId="164" priority="151" operator="containsText" text="&lt;">
      <formula>NOT(ISERROR(SEARCH("&lt;",AB105)))</formula>
    </cfRule>
  </conditionalFormatting>
  <conditionalFormatting sqref="AQ105:AQ109">
    <cfRule type="containsText" dxfId="163" priority="150" operator="containsText" text="&lt;">
      <formula>NOT(ISERROR(SEARCH("&lt;",AQ105)))</formula>
    </cfRule>
  </conditionalFormatting>
  <conditionalFormatting sqref="AW105:AW109">
    <cfRule type="containsText" dxfId="162" priority="149" operator="containsText" text="&lt;">
      <formula>NOT(ISERROR(SEARCH("&lt;",AW105)))</formula>
    </cfRule>
  </conditionalFormatting>
  <conditionalFormatting sqref="BF105:BF109">
    <cfRule type="containsText" dxfId="161" priority="148" operator="containsText" text="&lt;">
      <formula>NOT(ISERROR(SEARCH("&lt;",BF105)))</formula>
    </cfRule>
  </conditionalFormatting>
  <conditionalFormatting sqref="BD105:BD109">
    <cfRule type="containsText" dxfId="160" priority="147" operator="containsText" text="&lt;">
      <formula>NOT(ISERROR(SEARCH("&lt;",BD105)))</formula>
    </cfRule>
  </conditionalFormatting>
  <conditionalFormatting sqref="AO105:AO109">
    <cfRule type="containsText" dxfId="159" priority="146" operator="containsText" text="&lt;">
      <formula>NOT(ISERROR(SEARCH("&lt;",AO105)))</formula>
    </cfRule>
  </conditionalFormatting>
  <conditionalFormatting sqref="L123:M123">
    <cfRule type="containsText" dxfId="158" priority="145" operator="containsText" text="&lt;">
      <formula>NOT(ISERROR(SEARCH("&lt;",L123)))</formula>
    </cfRule>
  </conditionalFormatting>
  <conditionalFormatting sqref="L123:M123">
    <cfRule type="containsText" dxfId="157" priority="144" operator="containsText" text="NA">
      <formula>NOT(ISERROR(SEARCH("NA",L123)))</formula>
    </cfRule>
  </conditionalFormatting>
  <conditionalFormatting sqref="L115">
    <cfRule type="containsText" dxfId="156" priority="143" operator="containsText" text="&lt;">
      <formula>NOT(ISERROR(SEARCH("&lt;",L115)))</formula>
    </cfRule>
  </conditionalFormatting>
  <conditionalFormatting sqref="M115:N115">
    <cfRule type="containsText" dxfId="155" priority="142" operator="containsText" text="&lt;">
      <formula>NOT(ISERROR(SEARCH("&lt;",M115)))</formula>
    </cfRule>
  </conditionalFormatting>
  <conditionalFormatting sqref="O115">
    <cfRule type="containsText" dxfId="154" priority="141" operator="containsText" text="&lt;">
      <formula>NOT(ISERROR(SEARCH("&lt;",O115)))</formula>
    </cfRule>
  </conditionalFormatting>
  <conditionalFormatting sqref="P115">
    <cfRule type="containsText" dxfId="153" priority="140" operator="containsText" text="&lt;">
      <formula>NOT(ISERROR(SEARCH("&lt;",P115)))</formula>
    </cfRule>
  </conditionalFormatting>
  <conditionalFormatting sqref="Q115:R115">
    <cfRule type="containsText" dxfId="152" priority="139" operator="containsText" text="&lt;">
      <formula>NOT(ISERROR(SEARCH("&lt;",Q115)))</formula>
    </cfRule>
  </conditionalFormatting>
  <conditionalFormatting sqref="S115">
    <cfRule type="containsText" dxfId="151" priority="138" operator="containsText" text="&lt;">
      <formula>NOT(ISERROR(SEARCH("&lt;",S115)))</formula>
    </cfRule>
  </conditionalFormatting>
  <conditionalFormatting sqref="T115">
    <cfRule type="containsText" dxfId="150" priority="137" operator="containsText" text="&lt;">
      <formula>NOT(ISERROR(SEARCH("&lt;",T115)))</formula>
    </cfRule>
  </conditionalFormatting>
  <conditionalFormatting sqref="U115">
    <cfRule type="containsText" dxfId="149" priority="136" operator="containsText" text="&lt;">
      <formula>NOT(ISERROR(SEARCH("&lt;",U115)))</formula>
    </cfRule>
  </conditionalFormatting>
  <conditionalFormatting sqref="V115">
    <cfRule type="containsText" dxfId="148" priority="135" operator="containsText" text="&lt;">
      <formula>NOT(ISERROR(SEARCH("&lt;",V115)))</formula>
    </cfRule>
  </conditionalFormatting>
  <conditionalFormatting sqref="Y106:Y109">
    <cfRule type="containsText" dxfId="147" priority="134" operator="containsText" text="&lt;">
      <formula>NOT(ISERROR(SEARCH("&lt;",Y106)))</formula>
    </cfRule>
  </conditionalFormatting>
  <conditionalFormatting sqref="AT106:AT109">
    <cfRule type="containsText" dxfId="146" priority="133" operator="containsText" text="&lt;">
      <formula>NOT(ISERROR(SEARCH("&lt;",AT106)))</formula>
    </cfRule>
  </conditionalFormatting>
  <conditionalFormatting sqref="Y115">
    <cfRule type="containsText" dxfId="145" priority="132" operator="containsText" text="&lt;">
      <formula>NOT(ISERROR(SEARCH("&lt;",Y115)))</formula>
    </cfRule>
  </conditionalFormatting>
  <conditionalFormatting sqref="AB115">
    <cfRule type="containsText" dxfId="144" priority="131" operator="containsText" text="&lt;">
      <formula>NOT(ISERROR(SEARCH("&lt;",AB115)))</formula>
    </cfRule>
  </conditionalFormatting>
  <conditionalFormatting sqref="AQ115">
    <cfRule type="containsText" dxfId="143" priority="130" operator="containsText" text="&lt;">
      <formula>NOT(ISERROR(SEARCH("&lt;",AQ115)))</formula>
    </cfRule>
  </conditionalFormatting>
  <conditionalFormatting sqref="L117:L118">
    <cfRule type="containsText" dxfId="142" priority="129" operator="containsText" text="&lt;">
      <formula>NOT(ISERROR(SEARCH("&lt;",L117)))</formula>
    </cfRule>
  </conditionalFormatting>
  <conditionalFormatting sqref="O135">
    <cfRule type="containsText" dxfId="141" priority="128" operator="containsText" text="&lt;">
      <formula>NOT(ISERROR(SEARCH("&lt;",O135)))</formula>
    </cfRule>
  </conditionalFormatting>
  <conditionalFormatting sqref="O134">
    <cfRule type="containsText" dxfId="140" priority="127" operator="containsText" text="&lt;">
      <formula>NOT(ISERROR(SEARCH("&lt;",O134)))</formula>
    </cfRule>
  </conditionalFormatting>
  <conditionalFormatting sqref="O131">
    <cfRule type="containsText" dxfId="139" priority="126" operator="containsText" text="&lt;">
      <formula>NOT(ISERROR(SEARCH("&lt;",O131)))</formula>
    </cfRule>
  </conditionalFormatting>
  <conditionalFormatting sqref="U130">
    <cfRule type="containsText" dxfId="138" priority="125" operator="containsText" text="&lt;">
      <formula>NOT(ISERROR(SEARCH("&lt;",U130)))</formula>
    </cfRule>
  </conditionalFormatting>
  <conditionalFormatting sqref="U131">
    <cfRule type="containsText" dxfId="137" priority="124" operator="containsText" text="&lt;">
      <formula>NOT(ISERROR(SEARCH("&lt;",U131)))</formula>
    </cfRule>
  </conditionalFormatting>
  <conditionalFormatting sqref="U134">
    <cfRule type="containsText" dxfId="136" priority="123" operator="containsText" text="&lt;">
      <formula>NOT(ISERROR(SEARCH("&lt;",U134)))</formula>
    </cfRule>
  </conditionalFormatting>
  <conditionalFormatting sqref="U135">
    <cfRule type="containsText" dxfId="135" priority="122" operator="containsText" text="&lt;">
      <formula>NOT(ISERROR(SEARCH("&lt;",U135)))</formula>
    </cfRule>
  </conditionalFormatting>
  <conditionalFormatting sqref="U137:U139">
    <cfRule type="containsText" dxfId="134" priority="121" operator="containsText" text="&lt;">
      <formula>NOT(ISERROR(SEARCH("&lt;",U137)))</formula>
    </cfRule>
  </conditionalFormatting>
  <conditionalFormatting sqref="V137:V139">
    <cfRule type="containsText" dxfId="133" priority="120" operator="containsText" text="&lt;">
      <formula>NOT(ISERROR(SEARCH("&lt;",V137)))</formula>
    </cfRule>
  </conditionalFormatting>
  <conditionalFormatting sqref="V135">
    <cfRule type="containsText" dxfId="132" priority="119" operator="containsText" text="&lt;">
      <formula>NOT(ISERROR(SEARCH("&lt;",V135)))</formula>
    </cfRule>
  </conditionalFormatting>
  <conditionalFormatting sqref="V134">
    <cfRule type="containsText" dxfId="131" priority="118" operator="containsText" text="&lt;">
      <formula>NOT(ISERROR(SEARCH("&lt;",V134)))</formula>
    </cfRule>
  </conditionalFormatting>
  <conditionalFormatting sqref="V132">
    <cfRule type="containsText" dxfId="130" priority="117" operator="containsText" text="&lt;">
      <formula>NOT(ISERROR(SEARCH("&lt;",V132)))</formula>
    </cfRule>
  </conditionalFormatting>
  <conditionalFormatting sqref="V130">
    <cfRule type="containsText" dxfId="129" priority="116" operator="containsText" text="&lt;">
      <formula>NOT(ISERROR(SEARCH("&lt;",V130)))</formula>
    </cfRule>
  </conditionalFormatting>
  <conditionalFormatting sqref="BB134">
    <cfRule type="containsText" dxfId="128" priority="115" operator="containsText" text="&lt;">
      <formula>NOT(ISERROR(SEARCH("&lt;",BB134)))</formula>
    </cfRule>
  </conditionalFormatting>
  <conditionalFormatting sqref="BB135">
    <cfRule type="containsText" dxfId="127" priority="113" operator="containsText" text="&lt;">
      <formula>NOT(ISERROR(SEARCH("&lt;",BB135)))</formula>
    </cfRule>
  </conditionalFormatting>
  <conditionalFormatting sqref="BB130">
    <cfRule type="containsText" dxfId="126" priority="114" operator="containsText" text="&lt;">
      <formula>NOT(ISERROR(SEARCH("&lt;",BB130)))</formula>
    </cfRule>
  </conditionalFormatting>
  <conditionalFormatting sqref="L199">
    <cfRule type="containsText" dxfId="125" priority="112" operator="containsText" text="&lt;">
      <formula>NOT(ISERROR(SEARCH("&lt;",L199)))</formula>
    </cfRule>
  </conditionalFormatting>
  <conditionalFormatting sqref="L199">
    <cfRule type="containsText" dxfId="124" priority="111" operator="containsText" text="NA">
      <formula>NOT(ISERROR(SEARCH("NA",L199)))</formula>
    </cfRule>
  </conditionalFormatting>
  <conditionalFormatting sqref="M199">
    <cfRule type="containsText" dxfId="123" priority="110" operator="containsText" text="&lt;">
      <formula>NOT(ISERROR(SEARCH("&lt;",M199)))</formula>
    </cfRule>
  </conditionalFormatting>
  <conditionalFormatting sqref="M199">
    <cfRule type="containsText" dxfId="122" priority="109" operator="containsText" text="NA">
      <formula>NOT(ISERROR(SEARCH("NA",M199)))</formula>
    </cfRule>
  </conditionalFormatting>
  <conditionalFormatting sqref="N198">
    <cfRule type="containsText" dxfId="121" priority="108" operator="containsText" text="&lt;">
      <formula>NOT(ISERROR(SEARCH("&lt;",N198)))</formula>
    </cfRule>
  </conditionalFormatting>
  <conditionalFormatting sqref="N198">
    <cfRule type="containsText" dxfId="120" priority="107" operator="containsText" text="NA">
      <formula>NOT(ISERROR(SEARCH("NA",N198)))</formula>
    </cfRule>
  </conditionalFormatting>
  <conditionalFormatting sqref="N199">
    <cfRule type="containsText" dxfId="119" priority="106" operator="containsText" text="&lt;">
      <formula>NOT(ISERROR(SEARCH("&lt;",N199)))</formula>
    </cfRule>
  </conditionalFormatting>
  <conditionalFormatting sqref="N199">
    <cfRule type="containsText" dxfId="118" priority="105" operator="containsText" text="NA">
      <formula>NOT(ISERROR(SEARCH("NA",N199)))</formula>
    </cfRule>
  </conditionalFormatting>
  <conditionalFormatting sqref="O198">
    <cfRule type="containsText" dxfId="117" priority="104" operator="containsText" text="&lt;">
      <formula>NOT(ISERROR(SEARCH("&lt;",O198)))</formula>
    </cfRule>
  </conditionalFormatting>
  <conditionalFormatting sqref="O198">
    <cfRule type="containsText" dxfId="116" priority="103" operator="containsText" text="NA">
      <formula>NOT(ISERROR(SEARCH("NA",O198)))</formula>
    </cfRule>
  </conditionalFormatting>
  <conditionalFormatting sqref="O199">
    <cfRule type="containsText" dxfId="115" priority="102" operator="containsText" text="&lt;">
      <formula>NOT(ISERROR(SEARCH("&lt;",O199)))</formula>
    </cfRule>
  </conditionalFormatting>
  <conditionalFormatting sqref="O199">
    <cfRule type="containsText" dxfId="114" priority="101" operator="containsText" text="NA">
      <formula>NOT(ISERROR(SEARCH("NA",O199)))</formula>
    </cfRule>
  </conditionalFormatting>
  <conditionalFormatting sqref="O200">
    <cfRule type="containsText" dxfId="113" priority="100" operator="containsText" text="&lt;">
      <formula>NOT(ISERROR(SEARCH("&lt;",O200)))</formula>
    </cfRule>
  </conditionalFormatting>
  <conditionalFormatting sqref="O200">
    <cfRule type="containsText" dxfId="112" priority="99" operator="containsText" text="NA">
      <formula>NOT(ISERROR(SEARCH("NA",O200)))</formula>
    </cfRule>
  </conditionalFormatting>
  <conditionalFormatting sqref="O201">
    <cfRule type="containsText" dxfId="111" priority="98" operator="containsText" text="&lt;">
      <formula>NOT(ISERROR(SEARCH("&lt;",O201)))</formula>
    </cfRule>
  </conditionalFormatting>
  <conditionalFormatting sqref="O201">
    <cfRule type="containsText" dxfId="110" priority="97" operator="containsText" text="NA">
      <formula>NOT(ISERROR(SEARCH("NA",O201)))</formula>
    </cfRule>
  </conditionalFormatting>
  <conditionalFormatting sqref="P198">
    <cfRule type="containsText" dxfId="109" priority="96" operator="containsText" text="&lt;">
      <formula>NOT(ISERROR(SEARCH("&lt;",P198)))</formula>
    </cfRule>
  </conditionalFormatting>
  <conditionalFormatting sqref="P198">
    <cfRule type="containsText" dxfId="108" priority="95" operator="containsText" text="NA">
      <formula>NOT(ISERROR(SEARCH("NA",P198)))</formula>
    </cfRule>
  </conditionalFormatting>
  <conditionalFormatting sqref="Q200">
    <cfRule type="containsText" dxfId="107" priority="94" operator="containsText" text="&lt;">
      <formula>NOT(ISERROR(SEARCH("&lt;",Q200)))</formula>
    </cfRule>
  </conditionalFormatting>
  <conditionalFormatting sqref="Q200">
    <cfRule type="containsText" dxfId="106" priority="93" operator="containsText" text="NA">
      <formula>NOT(ISERROR(SEARCH("NA",Q200)))</formula>
    </cfRule>
  </conditionalFormatting>
  <conditionalFormatting sqref="R198">
    <cfRule type="containsText" dxfId="105" priority="92" operator="containsText" text="&lt;">
      <formula>NOT(ISERROR(SEARCH("&lt;",R198)))</formula>
    </cfRule>
  </conditionalFormatting>
  <conditionalFormatting sqref="R198">
    <cfRule type="containsText" dxfId="104" priority="91" operator="containsText" text="NA">
      <formula>NOT(ISERROR(SEARCH("NA",R198)))</formula>
    </cfRule>
  </conditionalFormatting>
  <conditionalFormatting sqref="R199">
    <cfRule type="containsText" dxfId="103" priority="90" operator="containsText" text="&lt;">
      <formula>NOT(ISERROR(SEARCH("&lt;",R199)))</formula>
    </cfRule>
  </conditionalFormatting>
  <conditionalFormatting sqref="R199">
    <cfRule type="containsText" dxfId="102" priority="89" operator="containsText" text="NA">
      <formula>NOT(ISERROR(SEARCH("NA",R199)))</formula>
    </cfRule>
  </conditionalFormatting>
  <conditionalFormatting sqref="R200">
    <cfRule type="containsText" dxfId="101" priority="88" operator="containsText" text="&lt;">
      <formula>NOT(ISERROR(SEARCH("&lt;",R200)))</formula>
    </cfRule>
  </conditionalFormatting>
  <conditionalFormatting sqref="R200">
    <cfRule type="containsText" dxfId="100" priority="87" operator="containsText" text="NA">
      <formula>NOT(ISERROR(SEARCH("NA",R200)))</formula>
    </cfRule>
  </conditionalFormatting>
  <conditionalFormatting sqref="R201">
    <cfRule type="containsText" dxfId="99" priority="86" operator="containsText" text="&lt;">
      <formula>NOT(ISERROR(SEARCH("&lt;",R201)))</formula>
    </cfRule>
  </conditionalFormatting>
  <conditionalFormatting sqref="R201">
    <cfRule type="containsText" dxfId="98" priority="85" operator="containsText" text="NA">
      <formula>NOT(ISERROR(SEARCH("NA",R201)))</formula>
    </cfRule>
  </conditionalFormatting>
  <conditionalFormatting sqref="S198">
    <cfRule type="containsText" dxfId="97" priority="84" operator="containsText" text="&lt;">
      <formula>NOT(ISERROR(SEARCH("&lt;",S198)))</formula>
    </cfRule>
  </conditionalFormatting>
  <conditionalFormatting sqref="S198">
    <cfRule type="containsText" dxfId="96" priority="83" operator="containsText" text="NA">
      <formula>NOT(ISERROR(SEARCH("NA",S198)))</formula>
    </cfRule>
  </conditionalFormatting>
  <conditionalFormatting sqref="S199">
    <cfRule type="containsText" dxfId="95" priority="82" operator="containsText" text="&lt;">
      <formula>NOT(ISERROR(SEARCH("&lt;",S199)))</formula>
    </cfRule>
  </conditionalFormatting>
  <conditionalFormatting sqref="S199">
    <cfRule type="containsText" dxfId="94" priority="81" operator="containsText" text="NA">
      <formula>NOT(ISERROR(SEARCH("NA",S199)))</formula>
    </cfRule>
  </conditionalFormatting>
  <conditionalFormatting sqref="S200">
    <cfRule type="containsText" dxfId="93" priority="80" operator="containsText" text="&lt;">
      <formula>NOT(ISERROR(SEARCH("&lt;",S200)))</formula>
    </cfRule>
  </conditionalFormatting>
  <conditionalFormatting sqref="S200">
    <cfRule type="containsText" dxfId="92" priority="79" operator="containsText" text="NA">
      <formula>NOT(ISERROR(SEARCH("NA",S200)))</formula>
    </cfRule>
  </conditionalFormatting>
  <conditionalFormatting sqref="S201">
    <cfRule type="containsText" dxfId="91" priority="78" operator="containsText" text="&lt;">
      <formula>NOT(ISERROR(SEARCH("&lt;",S201)))</formula>
    </cfRule>
  </conditionalFormatting>
  <conditionalFormatting sqref="S201">
    <cfRule type="containsText" dxfId="90" priority="77" operator="containsText" text="NA">
      <formula>NOT(ISERROR(SEARCH("NA",S201)))</formula>
    </cfRule>
  </conditionalFormatting>
  <conditionalFormatting sqref="T198:X198">
    <cfRule type="containsText" dxfId="89" priority="76" operator="containsText" text="&lt;">
      <formula>NOT(ISERROR(SEARCH("&lt;",T198)))</formula>
    </cfRule>
  </conditionalFormatting>
  <conditionalFormatting sqref="T198:X198">
    <cfRule type="containsText" dxfId="88" priority="75" operator="containsText" text="NA">
      <formula>NOT(ISERROR(SEARCH("NA",T198)))</formula>
    </cfRule>
  </conditionalFormatting>
  <conditionalFormatting sqref="T199:X199">
    <cfRule type="containsText" dxfId="87" priority="74" operator="containsText" text="&lt;">
      <formula>NOT(ISERROR(SEARCH("&lt;",T199)))</formula>
    </cfRule>
  </conditionalFormatting>
  <conditionalFormatting sqref="T199:X199">
    <cfRule type="containsText" dxfId="86" priority="73" operator="containsText" text="NA">
      <formula>NOT(ISERROR(SEARCH("NA",T199)))</formula>
    </cfRule>
  </conditionalFormatting>
  <conditionalFormatting sqref="T201:X201">
    <cfRule type="containsText" dxfId="85" priority="72" operator="containsText" text="&lt;">
      <formula>NOT(ISERROR(SEARCH("&lt;",T201)))</formula>
    </cfRule>
  </conditionalFormatting>
  <conditionalFormatting sqref="T201:X201">
    <cfRule type="containsText" dxfId="84" priority="71" operator="containsText" text="NA">
      <formula>NOT(ISERROR(SEARCH("NA",T201)))</formula>
    </cfRule>
  </conditionalFormatting>
  <conditionalFormatting sqref="T200:X200">
    <cfRule type="containsText" dxfId="83" priority="70" operator="containsText" text="&lt;">
      <formula>NOT(ISERROR(SEARCH("&lt;",T200)))</formula>
    </cfRule>
  </conditionalFormatting>
  <conditionalFormatting sqref="T200:X200">
    <cfRule type="containsText" dxfId="82" priority="69" operator="containsText" text="NA">
      <formula>NOT(ISERROR(SEARCH("NA",T200)))</formula>
    </cfRule>
  </conditionalFormatting>
  <conditionalFormatting sqref="L205:L208">
    <cfRule type="containsText" dxfId="81" priority="68" operator="containsText" text="&lt;">
      <formula>NOT(ISERROR(SEARCH("&lt;",L205)))</formula>
    </cfRule>
  </conditionalFormatting>
  <conditionalFormatting sqref="L205:L208">
    <cfRule type="containsText" dxfId="80" priority="67" operator="containsText" text="NA">
      <formula>NOT(ISERROR(SEARCH("NA",L205)))</formula>
    </cfRule>
  </conditionalFormatting>
  <conditionalFormatting sqref="M206">
    <cfRule type="containsText" dxfId="79" priority="66" operator="containsText" text="&lt;">
      <formula>NOT(ISERROR(SEARCH("&lt;",M206)))</formula>
    </cfRule>
  </conditionalFormatting>
  <conditionalFormatting sqref="M206">
    <cfRule type="containsText" dxfId="78" priority="65" operator="containsText" text="NA">
      <formula>NOT(ISERROR(SEARCH("NA",M206)))</formula>
    </cfRule>
  </conditionalFormatting>
  <conditionalFormatting sqref="N205">
    <cfRule type="containsText" dxfId="77" priority="64" operator="containsText" text="&lt;">
      <formula>NOT(ISERROR(SEARCH("&lt;",N205)))</formula>
    </cfRule>
  </conditionalFormatting>
  <conditionalFormatting sqref="N205">
    <cfRule type="containsText" dxfId="76" priority="63" operator="containsText" text="NA">
      <formula>NOT(ISERROR(SEARCH("NA",N205)))</formula>
    </cfRule>
  </conditionalFormatting>
  <conditionalFormatting sqref="N206">
    <cfRule type="containsText" dxfId="75" priority="62" operator="containsText" text="&lt;">
      <formula>NOT(ISERROR(SEARCH("&lt;",N206)))</formula>
    </cfRule>
  </conditionalFormatting>
  <conditionalFormatting sqref="N206">
    <cfRule type="containsText" dxfId="74" priority="61" operator="containsText" text="NA">
      <formula>NOT(ISERROR(SEARCH("NA",N206)))</formula>
    </cfRule>
  </conditionalFormatting>
  <conditionalFormatting sqref="O205:O208">
    <cfRule type="containsText" dxfId="73" priority="60" operator="containsText" text="&lt;">
      <formula>NOT(ISERROR(SEARCH("&lt;",O205)))</formula>
    </cfRule>
  </conditionalFormatting>
  <conditionalFormatting sqref="O205:O208">
    <cfRule type="containsText" dxfId="72" priority="59" operator="containsText" text="NA">
      <formula>NOT(ISERROR(SEARCH("NA",O205)))</formula>
    </cfRule>
  </conditionalFormatting>
  <conditionalFormatting sqref="P206">
    <cfRule type="containsText" dxfId="71" priority="58" operator="containsText" text="&lt;">
      <formula>NOT(ISERROR(SEARCH("&lt;",P206)))</formula>
    </cfRule>
  </conditionalFormatting>
  <conditionalFormatting sqref="P206">
    <cfRule type="containsText" dxfId="70" priority="57" operator="containsText" text="NA">
      <formula>NOT(ISERROR(SEARCH("NA",P206)))</formula>
    </cfRule>
  </conditionalFormatting>
  <conditionalFormatting sqref="Q205">
    <cfRule type="containsText" dxfId="69" priority="56" operator="containsText" text="&lt;">
      <formula>NOT(ISERROR(SEARCH("&lt;",Q205)))</formula>
    </cfRule>
  </conditionalFormatting>
  <conditionalFormatting sqref="Q205">
    <cfRule type="containsText" dxfId="68" priority="55" operator="containsText" text="NA">
      <formula>NOT(ISERROR(SEARCH("NA",Q205)))</formula>
    </cfRule>
  </conditionalFormatting>
  <conditionalFormatting sqref="R205:U208 V205:X207 W208:X208">
    <cfRule type="containsText" dxfId="67" priority="54" operator="containsText" text="&lt;">
      <formula>NOT(ISERROR(SEARCH("&lt;",R205)))</formula>
    </cfRule>
  </conditionalFormatting>
  <conditionalFormatting sqref="R205:U208 V205:X207 W208:X208">
    <cfRule type="containsText" dxfId="66" priority="53" operator="containsText" text="NA">
      <formula>NOT(ISERROR(SEARCH("NA",R205)))</formula>
    </cfRule>
  </conditionalFormatting>
  <conditionalFormatting sqref="AB198:AJ198 AJ199">
    <cfRule type="containsText" dxfId="65" priority="52" operator="containsText" text="&lt;">
      <formula>NOT(ISERROR(SEARCH("&lt;",AB198)))</formula>
    </cfRule>
  </conditionalFormatting>
  <conditionalFormatting sqref="AB198:AJ198 AJ199">
    <cfRule type="containsText" dxfId="64" priority="51" operator="containsText" text="NA">
      <formula>NOT(ISERROR(SEARCH("NA",AB198)))</formula>
    </cfRule>
  </conditionalFormatting>
  <conditionalFormatting sqref="AC199:AG199">
    <cfRule type="containsText" dxfId="63" priority="50" operator="containsText" text="&lt;">
      <formula>NOT(ISERROR(SEARCH("&lt;",AC199)))</formula>
    </cfRule>
  </conditionalFormatting>
  <conditionalFormatting sqref="AC199:AG199">
    <cfRule type="containsText" dxfId="62" priority="49" operator="containsText" text="NA">
      <formula>NOT(ISERROR(SEARCH("NA",AC199)))</formula>
    </cfRule>
  </conditionalFormatting>
  <conditionalFormatting sqref="AN198:AS198">
    <cfRule type="containsText" dxfId="61" priority="48" operator="containsText" text="&lt;">
      <formula>NOT(ISERROR(SEARCH("&lt;",AN198)))</formula>
    </cfRule>
  </conditionalFormatting>
  <conditionalFormatting sqref="AN198:AS198">
    <cfRule type="containsText" dxfId="60" priority="47" operator="containsText" text="NA">
      <formula>NOT(ISERROR(SEARCH("NA",AN198)))</formula>
    </cfRule>
  </conditionalFormatting>
  <conditionalFormatting sqref="AP199">
    <cfRule type="containsText" dxfId="59" priority="46" operator="containsText" text="&lt;">
      <formula>NOT(ISERROR(SEARCH("&lt;",AP199)))</formula>
    </cfRule>
  </conditionalFormatting>
  <conditionalFormatting sqref="AP199">
    <cfRule type="containsText" dxfId="58" priority="45" operator="containsText" text="NA">
      <formula>NOT(ISERROR(SEARCH("NA",AP199)))</formula>
    </cfRule>
  </conditionalFormatting>
  <conditionalFormatting sqref="AY198:AY199">
    <cfRule type="containsText" dxfId="57" priority="44" operator="containsText" text="&lt;">
      <formula>NOT(ISERROR(SEARCH("&lt;",AY198)))</formula>
    </cfRule>
  </conditionalFormatting>
  <conditionalFormatting sqref="AY198:AY199">
    <cfRule type="containsText" dxfId="56" priority="43" operator="containsText" text="NA">
      <formula>NOT(ISERROR(SEARCH("NA",AY198)))</formula>
    </cfRule>
  </conditionalFormatting>
  <conditionalFormatting sqref="BF205">
    <cfRule type="containsText" dxfId="55" priority="11" operator="containsText" text="NA">
      <formula>NOT(ISERROR(SEARCH("NA",BF205)))</formula>
    </cfRule>
  </conditionalFormatting>
  <conditionalFormatting sqref="BA198:BB199 BC198:BF198 BD199 BF199">
    <cfRule type="containsText" dxfId="54" priority="42" operator="containsText" text="&lt;">
      <formula>NOT(ISERROR(SEARCH("&lt;",BA198)))</formula>
    </cfRule>
  </conditionalFormatting>
  <conditionalFormatting sqref="BA198:BB199 BC198:BF198 BD199 BF199">
    <cfRule type="containsText" dxfId="53" priority="41" operator="containsText" text="NA">
      <formula>NOT(ISERROR(SEARCH("NA",BA198)))</formula>
    </cfRule>
  </conditionalFormatting>
  <conditionalFormatting sqref="AC205:AD205">
    <cfRule type="containsText" dxfId="52" priority="40" operator="containsText" text="&lt;">
      <formula>NOT(ISERROR(SEARCH("&lt;",AC205)))</formula>
    </cfRule>
  </conditionalFormatting>
  <conditionalFormatting sqref="AC205:AD205">
    <cfRule type="containsText" dxfId="51" priority="39" operator="containsText" text="NA">
      <formula>NOT(ISERROR(SEARCH("NA",AC205)))</formula>
    </cfRule>
  </conditionalFormatting>
  <conditionalFormatting sqref="AB206:AF206">
    <cfRule type="containsText" dxfId="50" priority="38" operator="containsText" text="&lt;">
      <formula>NOT(ISERROR(SEARCH("&lt;",AB206)))</formula>
    </cfRule>
  </conditionalFormatting>
  <conditionalFormatting sqref="AB206:AF206">
    <cfRule type="containsText" dxfId="49" priority="37" operator="containsText" text="NA">
      <formula>NOT(ISERROR(SEARCH("NA",AB206)))</formula>
    </cfRule>
  </conditionalFormatting>
  <conditionalFormatting sqref="AF205:AJ205 AH206:AJ206">
    <cfRule type="containsText" dxfId="48" priority="36" operator="containsText" text="&lt;">
      <formula>NOT(ISERROR(SEARCH("&lt;",AF205)))</formula>
    </cfRule>
  </conditionalFormatting>
  <conditionalFormatting sqref="AF205:AJ205 AH206:AJ206">
    <cfRule type="containsText" dxfId="47" priority="35" operator="containsText" text="NA">
      <formula>NOT(ISERROR(SEARCH("NA",AF205)))</formula>
    </cfRule>
  </conditionalFormatting>
  <conditionalFormatting sqref="AN205:AN206 AO205">
    <cfRule type="containsText" dxfId="46" priority="34" operator="containsText" text="&lt;">
      <formula>NOT(ISERROR(SEARCH("&lt;",AN205)))</formula>
    </cfRule>
  </conditionalFormatting>
  <conditionalFormatting sqref="AN205:AN206 AO205">
    <cfRule type="containsText" dxfId="45" priority="33" operator="containsText" text="NA">
      <formula>NOT(ISERROR(SEARCH("NA",AN205)))</formula>
    </cfRule>
  </conditionalFormatting>
  <conditionalFormatting sqref="AP206">
    <cfRule type="containsText" dxfId="44" priority="32" operator="containsText" text="&lt;">
      <formula>NOT(ISERROR(SEARCH("&lt;",AP206)))</formula>
    </cfRule>
  </conditionalFormatting>
  <conditionalFormatting sqref="AP206">
    <cfRule type="containsText" dxfId="43" priority="31" operator="containsText" text="NA">
      <formula>NOT(ISERROR(SEARCH("NA",AP206)))</formula>
    </cfRule>
  </conditionalFormatting>
  <conditionalFormatting sqref="AQ206:AS206">
    <cfRule type="containsText" dxfId="42" priority="30" operator="containsText" text="&lt;">
      <formula>NOT(ISERROR(SEARCH("&lt;",AQ206)))</formula>
    </cfRule>
  </conditionalFormatting>
  <conditionalFormatting sqref="AQ206:AS206">
    <cfRule type="containsText" dxfId="41" priority="29" operator="containsText" text="NA">
      <formula>NOT(ISERROR(SEARCH("NA",AQ206)))</formula>
    </cfRule>
  </conditionalFormatting>
  <conditionalFormatting sqref="AQ205:AS205">
    <cfRule type="containsText" dxfId="40" priority="28" operator="containsText" text="&lt;">
      <formula>NOT(ISERROR(SEARCH("&lt;",AQ205)))</formula>
    </cfRule>
  </conditionalFormatting>
  <conditionalFormatting sqref="AQ205:AS205">
    <cfRule type="containsText" dxfId="39" priority="27" operator="containsText" text="NA">
      <formula>NOT(ISERROR(SEARCH("NA",AQ205)))</formula>
    </cfRule>
  </conditionalFormatting>
  <conditionalFormatting sqref="AW206:BF206">
    <cfRule type="containsText" dxfId="38" priority="26" operator="containsText" text="&lt;">
      <formula>NOT(ISERROR(SEARCH("&lt;",AW206)))</formula>
    </cfRule>
  </conditionalFormatting>
  <conditionalFormatting sqref="AW206:BF206">
    <cfRule type="containsText" dxfId="37" priority="25" operator="containsText" text="NA">
      <formula>NOT(ISERROR(SEARCH("NA",AW206)))</formula>
    </cfRule>
  </conditionalFormatting>
  <conditionalFormatting sqref="AW205">
    <cfRule type="containsText" dxfId="36" priority="24" operator="containsText" text="&lt;">
      <formula>NOT(ISERROR(SEARCH("&lt;",AW205)))</formula>
    </cfRule>
  </conditionalFormatting>
  <conditionalFormatting sqref="AW205">
    <cfRule type="containsText" dxfId="35" priority="23" operator="containsText" text="NA">
      <formula>NOT(ISERROR(SEARCH("NA",AW205)))</formula>
    </cfRule>
  </conditionalFormatting>
  <conditionalFormatting sqref="AY205">
    <cfRule type="containsText" dxfId="34" priority="22" operator="containsText" text="&lt;">
      <formula>NOT(ISERROR(SEARCH("&lt;",AY205)))</formula>
    </cfRule>
  </conditionalFormatting>
  <conditionalFormatting sqref="AY205">
    <cfRule type="containsText" dxfId="33" priority="21" operator="containsText" text="NA">
      <formula>NOT(ISERROR(SEARCH("NA",AY205)))</formula>
    </cfRule>
  </conditionalFormatting>
  <conditionalFormatting sqref="BA205">
    <cfRule type="containsText" dxfId="32" priority="20" operator="containsText" text="&lt;">
      <formula>NOT(ISERROR(SEARCH("&lt;",BA205)))</formula>
    </cfRule>
  </conditionalFormatting>
  <conditionalFormatting sqref="BA205">
    <cfRule type="containsText" dxfId="31" priority="19" operator="containsText" text="NA">
      <formula>NOT(ISERROR(SEARCH("NA",BA205)))</formula>
    </cfRule>
  </conditionalFormatting>
  <conditionalFormatting sqref="BB205">
    <cfRule type="containsText" dxfId="30" priority="18" operator="containsText" text="&lt;">
      <formula>NOT(ISERROR(SEARCH("&lt;",BB205)))</formula>
    </cfRule>
  </conditionalFormatting>
  <conditionalFormatting sqref="BB205">
    <cfRule type="containsText" dxfId="29" priority="17" operator="containsText" text="NA">
      <formula>NOT(ISERROR(SEARCH("NA",BB205)))</formula>
    </cfRule>
  </conditionalFormatting>
  <conditionalFormatting sqref="BD205">
    <cfRule type="containsText" dxfId="28" priority="16" operator="containsText" text="&lt;">
      <formula>NOT(ISERROR(SEARCH("&lt;",BD205)))</formula>
    </cfRule>
  </conditionalFormatting>
  <conditionalFormatting sqref="BD205">
    <cfRule type="containsText" dxfId="27" priority="15" operator="containsText" text="NA">
      <formula>NOT(ISERROR(SEARCH("NA",BD205)))</formula>
    </cfRule>
  </conditionalFormatting>
  <conditionalFormatting sqref="BE205">
    <cfRule type="containsText" dxfId="26" priority="14" operator="containsText" text="&lt;">
      <formula>NOT(ISERROR(SEARCH("&lt;",BE205)))</formula>
    </cfRule>
  </conditionalFormatting>
  <conditionalFormatting sqref="BE205">
    <cfRule type="containsText" dxfId="25" priority="13" operator="containsText" text="NA">
      <formula>NOT(ISERROR(SEARCH("NA",BE205)))</formula>
    </cfRule>
  </conditionalFormatting>
  <conditionalFormatting sqref="BF205">
    <cfRule type="containsText" dxfId="24" priority="12" operator="containsText" text="&lt;">
      <formula>NOT(ISERROR(SEARCH("&lt;",BF205)))</formula>
    </cfRule>
  </conditionalFormatting>
  <conditionalFormatting sqref="L171:BF173">
    <cfRule type="containsText" dxfId="23" priority="10" operator="containsText" text="NA">
      <formula>NOT(ISERROR(SEARCH("NA",L171)))</formula>
    </cfRule>
  </conditionalFormatting>
  <conditionalFormatting sqref="L179:X181">
    <cfRule type="containsText" dxfId="22" priority="9" operator="containsText" text="NA">
      <formula>NOT(ISERROR(SEARCH("NA",L179)))</formula>
    </cfRule>
  </conditionalFormatting>
  <conditionalFormatting sqref="L187:X195">
    <cfRule type="containsText" dxfId="21" priority="8" operator="containsText" text="NA">
      <formula>NOT(ISERROR(SEARCH("NA",L187)))</formula>
    </cfRule>
  </conditionalFormatting>
  <conditionalFormatting sqref="W147">
    <cfRule type="containsText" dxfId="20" priority="7" operator="containsText" text="&lt;">
      <formula>NOT(ISERROR(SEARCH("&lt;",W147)))</formula>
    </cfRule>
  </conditionalFormatting>
  <conditionalFormatting sqref="W147">
    <cfRule type="containsText" dxfId="19" priority="6" operator="containsText" text="NA">
      <formula>NOT(ISERROR(SEARCH("NA",W147)))</formula>
    </cfRule>
  </conditionalFormatting>
  <conditionalFormatting sqref="W148">
    <cfRule type="containsText" dxfId="18" priority="5" operator="containsText" text="&lt;">
      <formula>NOT(ISERROR(SEARCH("&lt;",W148)))</formula>
    </cfRule>
  </conditionalFormatting>
  <conditionalFormatting sqref="W148">
    <cfRule type="containsText" dxfId="17" priority="4" operator="containsText" text="NA">
      <formula>NOT(ISERROR(SEARCH("NA",W148)))</formula>
    </cfRule>
  </conditionalFormatting>
  <conditionalFormatting sqref="BH89:BO89">
    <cfRule type="containsText" dxfId="16" priority="3" operator="containsText" text="b.d.">
      <formula>NOT(ISERROR(SEARCH("b.d.",BH89)))</formula>
    </cfRule>
  </conditionalFormatting>
  <conditionalFormatting sqref="BH90:BM90">
    <cfRule type="containsText" dxfId="15" priority="2" operator="containsText" text="b.d.">
      <formula>NOT(ISERROR(SEARCH("b.d.",BH90)))</formula>
    </cfRule>
  </conditionalFormatting>
  <conditionalFormatting sqref="BN90:BO92">
    <cfRule type="containsText" dxfId="14" priority="1" operator="containsText" text="b.d.">
      <formula>NOT(ISERROR(SEARCH("b.d.",BN90)))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449BC-1CFC-4D7A-A1E1-D59A06332672}">
  <sheetPr>
    <pageSetUpPr fitToPage="1"/>
  </sheetPr>
  <dimension ref="A1:AC40"/>
  <sheetViews>
    <sheetView zoomScale="70" zoomScaleNormal="70"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V32" sqref="V32"/>
    </sheetView>
  </sheetViews>
  <sheetFormatPr defaultRowHeight="15" x14ac:dyDescent="0.25"/>
  <cols>
    <col min="1" max="1" width="27" style="87" customWidth="1"/>
    <col min="2" max="2" width="9.7109375" style="51" bestFit="1" customWidth="1"/>
    <col min="3" max="3" width="11.7109375" style="51" bestFit="1" customWidth="1"/>
    <col min="4" max="4" width="8.140625" style="51" customWidth="1"/>
    <col min="5" max="5" width="9.85546875" style="56" customWidth="1"/>
    <col min="6" max="6" width="9.7109375" style="56" customWidth="1"/>
    <col min="7" max="7" width="8.7109375" style="56" bestFit="1" customWidth="1"/>
    <col min="8" max="9" width="8.7109375" style="56" customWidth="1"/>
    <col min="10" max="11" width="7.85546875" style="56" customWidth="1"/>
    <col min="12" max="12" width="8.5703125" style="56" bestFit="1" customWidth="1"/>
    <col min="13" max="13" width="10" style="56" customWidth="1"/>
    <col min="14" max="14" width="9" style="56" bestFit="1" customWidth="1"/>
    <col min="15" max="15" width="8.140625" style="56" bestFit="1" customWidth="1"/>
    <col min="16" max="16" width="11.5703125" customWidth="1"/>
    <col min="17" max="17" width="11.28515625" bestFit="1" customWidth="1"/>
    <col min="19" max="19" width="12.5703125" customWidth="1"/>
    <col min="20" max="20" width="12.42578125" customWidth="1"/>
    <col min="21" max="21" width="10.140625" bestFit="1" customWidth="1"/>
    <col min="22" max="22" width="11.7109375" customWidth="1"/>
    <col min="23" max="23" width="11.5703125" customWidth="1"/>
    <col min="24" max="24" width="12" customWidth="1"/>
    <col min="26" max="26" width="10.140625" customWidth="1"/>
    <col min="27" max="27" width="10.5703125" customWidth="1"/>
    <col min="29" max="29" width="11.42578125" customWidth="1"/>
  </cols>
  <sheetData>
    <row r="1" spans="1:29" ht="43.5" customHeight="1" x14ac:dyDescent="0.35">
      <c r="B1" s="13" t="s">
        <v>345</v>
      </c>
      <c r="C1" s="13" t="s">
        <v>346</v>
      </c>
      <c r="E1" s="13" t="s">
        <v>223</v>
      </c>
      <c r="F1" s="13" t="s">
        <v>222</v>
      </c>
      <c r="G1" s="13" t="s">
        <v>221</v>
      </c>
      <c r="H1" s="13" t="s">
        <v>534</v>
      </c>
      <c r="I1" s="13" t="s">
        <v>358</v>
      </c>
      <c r="J1" s="13" t="s">
        <v>359</v>
      </c>
      <c r="K1" s="13"/>
      <c r="L1" s="13" t="s">
        <v>349</v>
      </c>
      <c r="M1" s="1" t="s">
        <v>365</v>
      </c>
      <c r="N1" s="13" t="s">
        <v>350</v>
      </c>
      <c r="O1" s="13" t="s">
        <v>344</v>
      </c>
      <c r="P1" s="13" t="s">
        <v>340</v>
      </c>
      <c r="Q1" s="13" t="s">
        <v>360</v>
      </c>
      <c r="S1" s="13" t="s">
        <v>349</v>
      </c>
      <c r="T1" s="13" t="s">
        <v>361</v>
      </c>
      <c r="U1" s="13" t="s">
        <v>350</v>
      </c>
      <c r="V1" s="13" t="s">
        <v>344</v>
      </c>
      <c r="W1" s="1" t="s">
        <v>357</v>
      </c>
      <c r="X1" s="13" t="s">
        <v>356</v>
      </c>
      <c r="Z1" s="13" t="s">
        <v>36</v>
      </c>
      <c r="AA1" s="13" t="s">
        <v>37</v>
      </c>
      <c r="AB1" s="13" t="s">
        <v>84</v>
      </c>
      <c r="AC1" s="13" t="s">
        <v>34</v>
      </c>
    </row>
    <row r="2" spans="1:29" s="119" customFormat="1" ht="12.75" x14ac:dyDescent="0.2">
      <c r="B2" s="119" t="s">
        <v>351</v>
      </c>
      <c r="C2" s="119" t="s">
        <v>362</v>
      </c>
      <c r="E2" s="119" t="s">
        <v>235</v>
      </c>
      <c r="F2" s="119" t="s">
        <v>235</v>
      </c>
      <c r="G2" s="119" t="s">
        <v>235</v>
      </c>
      <c r="H2" s="119" t="s">
        <v>235</v>
      </c>
      <c r="I2" s="119" t="s">
        <v>235</v>
      </c>
      <c r="J2" s="119" t="s">
        <v>235</v>
      </c>
      <c r="L2" s="119" t="s">
        <v>235</v>
      </c>
      <c r="M2" s="119" t="s">
        <v>364</v>
      </c>
      <c r="N2" s="119" t="s">
        <v>235</v>
      </c>
      <c r="O2" s="119" t="s">
        <v>235</v>
      </c>
      <c r="P2" s="119" t="s">
        <v>235</v>
      </c>
      <c r="Q2" s="119" t="s">
        <v>235</v>
      </c>
      <c r="S2" s="119" t="s">
        <v>234</v>
      </c>
      <c r="T2" s="119" t="s">
        <v>234</v>
      </c>
      <c r="U2" s="119" t="s">
        <v>234</v>
      </c>
      <c r="V2" s="119" t="s">
        <v>234</v>
      </c>
      <c r="W2" s="119" t="s">
        <v>234</v>
      </c>
      <c r="X2" s="119" t="s">
        <v>234</v>
      </c>
      <c r="Z2" s="119" t="s">
        <v>234</v>
      </c>
      <c r="AA2" s="119" t="s">
        <v>234</v>
      </c>
      <c r="AB2" s="119" t="s">
        <v>234</v>
      </c>
      <c r="AC2" s="119" t="s">
        <v>234</v>
      </c>
    </row>
    <row r="3" spans="1:29" ht="18.75" x14ac:dyDescent="0.3">
      <c r="A3" s="207" t="s">
        <v>16</v>
      </c>
      <c r="B3" s="121"/>
      <c r="C3" s="121"/>
      <c r="E3"/>
      <c r="F3"/>
      <c r="G3"/>
      <c r="H3"/>
      <c r="I3"/>
      <c r="J3"/>
      <c r="K3"/>
      <c r="L3"/>
      <c r="M3"/>
      <c r="N3"/>
      <c r="O3"/>
      <c r="S3" s="51"/>
      <c r="T3" s="51"/>
      <c r="U3" s="51"/>
      <c r="V3" s="51"/>
      <c r="W3" s="51"/>
      <c r="X3" s="51"/>
    </row>
    <row r="4" spans="1:29" s="15" customFormat="1" x14ac:dyDescent="0.25">
      <c r="A4" s="195" t="s">
        <v>491</v>
      </c>
      <c r="B4" s="139"/>
      <c r="C4" s="139"/>
      <c r="D4" s="139"/>
      <c r="E4" s="196">
        <f>'DR2.2 Illerfissalik'!AQ13</f>
        <v>2.5090695000000002E-3</v>
      </c>
      <c r="F4" s="196">
        <f>'DR2.2 Illerfissalik'!AS13</f>
        <v>4.1972800000000002E-4</v>
      </c>
      <c r="G4" s="196">
        <f>'DR2.2 Illerfissalik'!AF13</f>
        <v>8.174512777777778E-3</v>
      </c>
      <c r="H4" s="196" t="s">
        <v>253</v>
      </c>
      <c r="I4" s="196">
        <f>'DR2.2 Illerfissalik'!AW13</f>
        <v>4.3521275111111118E-2</v>
      </c>
      <c r="J4" s="196">
        <f>'DR2.2 Illerfissalik'!M13</f>
        <v>0.75777777777777777</v>
      </c>
      <c r="K4" s="196"/>
      <c r="L4" s="196">
        <f>'DR2.2 Illerfissalik'!AY13</f>
        <v>4.2283462250000001E-2</v>
      </c>
      <c r="M4" s="196" t="s">
        <v>253</v>
      </c>
      <c r="N4" s="196" t="s">
        <v>253</v>
      </c>
      <c r="O4" s="196">
        <v>4.2299999999999997E-2</v>
      </c>
      <c r="P4" s="197">
        <f>E4+F4+G4+I4+L4</f>
        <v>9.6908047638888897E-2</v>
      </c>
      <c r="Q4" s="198">
        <f>E4+F4+G4+I4+L4+J4</f>
        <v>0.85468582541666671</v>
      </c>
      <c r="Z4" s="24"/>
      <c r="AA4" s="24"/>
      <c r="AB4" s="24"/>
      <c r="AC4" s="24"/>
    </row>
    <row r="5" spans="1:29" x14ac:dyDescent="0.25">
      <c r="A5" s="87" t="s">
        <v>508</v>
      </c>
      <c r="B5" s="55">
        <f>'DR2.1 Rock volumes'!M2</f>
        <v>219.59339949510954</v>
      </c>
      <c r="C5" s="117">
        <f>'DR2.2 Illerfissalik'!D54</f>
        <v>570.94283868728473</v>
      </c>
      <c r="S5" s="55">
        <f>'DR2.2 Illerfissalik'!C59</f>
        <v>235.52201835531463</v>
      </c>
      <c r="T5" s="55" t="s">
        <v>253</v>
      </c>
      <c r="U5" s="51" t="s">
        <v>253</v>
      </c>
      <c r="V5" s="55">
        <f>S5</f>
        <v>235.52201835531463</v>
      </c>
      <c r="W5" s="55">
        <f>'DR2.2 Illerfissalik'!C58</f>
        <v>592.34506285029704</v>
      </c>
      <c r="X5" s="55">
        <f>'DR2.2 Illerfissalik'!C57</f>
        <v>4918.8230182361658</v>
      </c>
      <c r="Z5" s="8">
        <f>'DR2.2 Illerfissalik'!J39</f>
        <v>40302.220602003559</v>
      </c>
      <c r="AA5" s="8">
        <f>'DR2.2 Illerfissalik'!K39</f>
        <v>16341.652805093843</v>
      </c>
      <c r="AB5" s="8">
        <f>'DR2.2 Illerfissalik'!S39</f>
        <v>484.42533916108232</v>
      </c>
      <c r="AC5" s="8">
        <f>'DR2.2 Illerfissalik'!H39</f>
        <v>26409.278193946291</v>
      </c>
    </row>
    <row r="6" spans="1:29" x14ac:dyDescent="0.25">
      <c r="A6" s="87" t="s">
        <v>509</v>
      </c>
      <c r="B6" s="55">
        <f>'DR2.1 Rock volumes'!M3</f>
        <v>267.98209450129161</v>
      </c>
      <c r="C6" s="55">
        <f>'DR2.2 Illerfissalik'!D40</f>
        <v>1141.8856773745695</v>
      </c>
      <c r="S6" s="55">
        <f>'DR2.2 Illerfissalik'!BC40</f>
        <v>482.82879933083285</v>
      </c>
      <c r="T6" s="55" t="s">
        <v>253</v>
      </c>
      <c r="U6" s="55" t="s">
        <v>253</v>
      </c>
      <c r="V6" s="55">
        <f>S6</f>
        <v>482.82879933083285</v>
      </c>
      <c r="W6" s="55">
        <f>'DR2.2 Illerfissalik'!BB40</f>
        <v>1184.6901257005941</v>
      </c>
      <c r="X6" s="55">
        <f>'DR2.2 Illerfissalik'!BA40</f>
        <v>9837.6460364723316</v>
      </c>
      <c r="Z6" s="8">
        <f>'DR2.2 Illerfissalik'!J40</f>
        <v>80604.441204007118</v>
      </c>
      <c r="AA6" s="8">
        <f>'DR2.2 Illerfissalik'!K40</f>
        <v>32683.305610187686</v>
      </c>
      <c r="AB6" s="8">
        <f>'DR2.2 Illerfissalik'!S40</f>
        <v>968.85067832216464</v>
      </c>
      <c r="AC6" s="8">
        <f>'DR2.2 Illerfissalik'!H40</f>
        <v>52818.556387892582</v>
      </c>
    </row>
    <row r="7" spans="1:29" x14ac:dyDescent="0.25">
      <c r="A7" s="87" t="s">
        <v>512</v>
      </c>
      <c r="B7" s="55">
        <f>'DR2.1 Rock volumes'!M5</f>
        <v>164.69504962133217</v>
      </c>
      <c r="C7" s="55">
        <f>'DR2.2 Illerfissalik'!D41</f>
        <v>428.20712901546364</v>
      </c>
      <c r="S7" s="8">
        <f>'DR2.2 Illerfissalik'!BC41</f>
        <v>181.06079974906234</v>
      </c>
      <c r="T7" s="55" t="s">
        <v>253</v>
      </c>
      <c r="U7" s="55" t="s">
        <v>253</v>
      </c>
      <c r="V7" s="55">
        <f>S7</f>
        <v>181.06079974906234</v>
      </c>
      <c r="W7" s="55">
        <f>'DR2.2 Illerfissalik'!BB41</f>
        <v>444.25879713772281</v>
      </c>
      <c r="X7" s="55">
        <f>'DR2.2 Illerfissalik'!BA41</f>
        <v>3689.1172636771248</v>
      </c>
      <c r="Z7" s="8">
        <f>'DR2.2 Illerfissalik'!J41</f>
        <v>30226.665451502675</v>
      </c>
      <c r="AA7" s="8">
        <f>'DR2.2 Illerfissalik'!K41</f>
        <v>12256.239603820384</v>
      </c>
      <c r="AB7" s="8">
        <f>'DR2.2 Illerfissalik'!S41</f>
        <v>363.3190043708118</v>
      </c>
      <c r="AC7" s="8">
        <f>'DR2.2 Illerfissalik'!H41</f>
        <v>19806.958645459723</v>
      </c>
    </row>
    <row r="8" spans="1:29" x14ac:dyDescent="0.25">
      <c r="A8" s="87" t="s">
        <v>533</v>
      </c>
      <c r="B8" s="55">
        <f>AVERAGE(B5:B7)</f>
        <v>217.42351453924445</v>
      </c>
      <c r="C8" s="55">
        <f>AVERAGE(C5:C7)</f>
        <v>713.678548359106</v>
      </c>
      <c r="S8" s="8">
        <f>AVERAGE(S5:S7)</f>
        <v>299.80387247840326</v>
      </c>
      <c r="T8" s="55" t="s">
        <v>253</v>
      </c>
      <c r="U8" s="55" t="s">
        <v>253</v>
      </c>
      <c r="V8" s="8">
        <f t="shared" ref="V8:AC8" si="0">AVERAGE(V5:V7)</f>
        <v>299.80387247840326</v>
      </c>
      <c r="W8" s="8">
        <f t="shared" si="0"/>
        <v>740.43132856287139</v>
      </c>
      <c r="X8" s="8">
        <f t="shared" si="0"/>
        <v>6148.5287727952082</v>
      </c>
      <c r="Z8" s="8">
        <f t="shared" si="0"/>
        <v>50377.775752504451</v>
      </c>
      <c r="AA8" s="8">
        <f t="shared" si="0"/>
        <v>20427.066006367302</v>
      </c>
      <c r="AB8" s="8">
        <f t="shared" si="0"/>
        <v>605.5316739513529</v>
      </c>
      <c r="AC8" s="8">
        <f t="shared" si="0"/>
        <v>33011.597742432867</v>
      </c>
    </row>
    <row r="9" spans="1:29" x14ac:dyDescent="0.25">
      <c r="A9" s="120" t="s">
        <v>511</v>
      </c>
      <c r="E9" s="123">
        <f>'DR2.2 Illerfissalik'!AQ14</f>
        <v>4.8815909999999993E-4</v>
      </c>
      <c r="F9" s="123">
        <f>'DR2.2 Illerfissalik'!AS14</f>
        <v>1.7088925714285716E-4</v>
      </c>
      <c r="G9" s="123">
        <f>'DR2.2 Illerfissalik'!AF14</f>
        <v>5.4379435714285709E-3</v>
      </c>
      <c r="H9" s="123">
        <f>'DR2.2 Illerfissalik'!AO14</f>
        <v>1.8786153846153843E-4</v>
      </c>
      <c r="I9" s="123">
        <f>'DR2.2 Illerfissalik'!AW14</f>
        <v>1.5257285999999998E-2</v>
      </c>
      <c r="J9" s="123">
        <f>'DR2.2 Illerfissalik'!M14</f>
        <v>9.4285714285714306E-2</v>
      </c>
      <c r="K9" s="123"/>
      <c r="L9" s="123">
        <f>'DR2.2 Illerfissalik'!AY14</f>
        <v>2.0481515342857144E-2</v>
      </c>
      <c r="M9" s="123">
        <f>'DR2.2 Illerfissalik'!BA14</f>
        <v>1.9884001461538464E-3</v>
      </c>
      <c r="N9" s="123">
        <f>'DR2.2 Illerfissalik'!AZ14</f>
        <v>3.8352761296703295E-3</v>
      </c>
      <c r="O9" s="123">
        <f>'DR2.2 Illerfissalik'!BB14</f>
        <v>2.630519161868132E-2</v>
      </c>
      <c r="P9" s="64">
        <f>E9+F9+G9+I9+L9</f>
        <v>4.183579327142857E-2</v>
      </c>
      <c r="Q9" s="56">
        <f>E9+F9+G9+I9+L9+J9</f>
        <v>0.13612150755714286</v>
      </c>
      <c r="Z9" s="8"/>
      <c r="AA9" s="8"/>
      <c r="AB9" s="8"/>
      <c r="AC9" s="8"/>
    </row>
    <row r="10" spans="1:29" x14ac:dyDescent="0.25">
      <c r="A10" s="87" t="s">
        <v>508</v>
      </c>
      <c r="B10" s="55">
        <f>'DR2.1 Rock volumes'!M21</f>
        <v>45.496623349103658</v>
      </c>
      <c r="C10" s="117">
        <f>'DR2.2 Illerfissalik'!D55</f>
        <v>144.80022299209085</v>
      </c>
      <c r="S10" s="55">
        <f>'DR2.2 Illerfissalik'!BC23</f>
        <v>29.657279888616447</v>
      </c>
      <c r="T10" s="86">
        <f>'DR2.2 Illerfissalik'!BE23</f>
        <v>2.8792078456058299</v>
      </c>
      <c r="U10" s="55">
        <f>'DR2.2 Illerfissalik'!BD23</f>
        <v>5.603864563919676</v>
      </c>
      <c r="V10" s="55">
        <f>SUM(S10:U10)</f>
        <v>38.140352298141956</v>
      </c>
      <c r="W10" s="55">
        <f>'DR2.2 Illerfissalik'!C61</f>
        <v>64.379421507511125</v>
      </c>
      <c r="X10" s="55">
        <f>'DR2.2 Illerfissalik'!BA23</f>
        <v>200.90534604291108</v>
      </c>
      <c r="Z10" s="8">
        <f>'DR2.2 Illerfissalik'!J23</f>
        <v>925.68713984229498</v>
      </c>
      <c r="AA10" s="8">
        <f>'DR2.2 Illerfissalik'!K23</f>
        <v>2718.1070430229624</v>
      </c>
      <c r="AB10" s="8">
        <f>'DR2.2 Illerfissalik'!S23</f>
        <v>43.833206743061936</v>
      </c>
      <c r="AC10" s="8">
        <f>'DR2.2 Illerfissalik'!H23</f>
        <v>635.05240655102716</v>
      </c>
    </row>
    <row r="11" spans="1:29" x14ac:dyDescent="0.25">
      <c r="A11" s="87" t="s">
        <v>509</v>
      </c>
      <c r="B11" s="55">
        <f>'DR2.1 Rock volumes'!M25</f>
        <v>59.806185187123504</v>
      </c>
      <c r="C11" s="117">
        <f>'DR2.2 Illerfissalik'!D29</f>
        <v>205.39537990425549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64"/>
      <c r="Q11" s="56"/>
      <c r="S11" s="55">
        <f>'DR2.2 Illerfissalik'!BC29</f>
        <v>42.068086248609809</v>
      </c>
      <c r="T11" s="55">
        <f>'DR2.2 Illerfissalik'!BE29</f>
        <v>4.0840820342094641</v>
      </c>
      <c r="U11" s="55">
        <f>'DR2.2 Illerfissalik'!BD29</f>
        <v>7.9489372823766047</v>
      </c>
      <c r="V11" s="55">
        <f t="shared" ref="V11:V12" si="1">SUM(S11:U11)</f>
        <v>54.10110556519588</v>
      </c>
      <c r="W11" s="55">
        <f>'DR2.2 Illerfissalik'!BB29</f>
        <v>91.320548168449378</v>
      </c>
      <c r="X11" s="55">
        <f>'DR2.2 Illerfissalik'!BA29</f>
        <v>284.97904922103316</v>
      </c>
      <c r="Z11" s="8">
        <f>'DR2.2 Illerfissalik'!J29</f>
        <v>1313.063321530776</v>
      </c>
      <c r="AA11" s="8">
        <f>'DR2.2 Illerfissalik'!K29</f>
        <v>3855.5647027741675</v>
      </c>
      <c r="AB11" s="8">
        <f>'DR2.2 Illerfissalik'!S29</f>
        <v>62.176272697485707</v>
      </c>
      <c r="AC11" s="8">
        <f>'DR2.2 Illerfissalik'!H29</f>
        <v>900.80545186580639</v>
      </c>
    </row>
    <row r="12" spans="1:29" x14ac:dyDescent="0.25">
      <c r="A12" s="87" t="s">
        <v>127</v>
      </c>
      <c r="B12" s="55">
        <f>'DR2.1 Rock volumes'!M28</f>
        <v>34.122467511827779</v>
      </c>
      <c r="C12" s="117">
        <f>'DR2.2 Illerfissalik'!D26</f>
        <v>108.60016724406823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64"/>
      <c r="Q12" s="56"/>
      <c r="S12" s="55">
        <f>'DR2.2 Illerfissalik'!BC26</f>
        <v>22.24295991646235</v>
      </c>
      <c r="T12" s="86">
        <f>'DR2.2 Illerfissalik'!BE26</f>
        <v>2.1594058842043737</v>
      </c>
      <c r="U12" s="55">
        <f>'DR2.2 Illerfissalik'!BD26</f>
        <v>4.2028984229397608</v>
      </c>
      <c r="V12" s="55">
        <f t="shared" si="1"/>
        <v>28.605264223606486</v>
      </c>
      <c r="W12" s="55">
        <f>'DR2.2 Illerfissalik'!BB26</f>
        <v>48.28456613063338</v>
      </c>
      <c r="X12" s="55">
        <f>'DR2.2 Illerfissalik'!BA26</f>
        <v>150.67900953218341</v>
      </c>
      <c r="Z12" s="8">
        <f>'DR2.2 Illerfissalik'!J26</f>
        <v>694.26535488172181</v>
      </c>
      <c r="AA12" s="8">
        <f>'DR2.2 Illerfissalik'!K26</f>
        <v>2038.5802822672235</v>
      </c>
      <c r="AB12" s="8">
        <f>'DR2.2 Illerfissalik'!S26</f>
        <v>32.87490505729648</v>
      </c>
      <c r="AC12" s="8">
        <f>'DR2.2 Illerfissalik'!H26</f>
        <v>476.28930491327071</v>
      </c>
    </row>
    <row r="13" spans="1:29" x14ac:dyDescent="0.25">
      <c r="A13" s="120" t="s">
        <v>517</v>
      </c>
      <c r="E13" s="123">
        <f>'DR2.2 Illerfissalik'!AQ15</f>
        <v>1.7242978000000001E-4</v>
      </c>
      <c r="F13" s="123">
        <f>'DR2.2 Illerfissalik'!AS15</f>
        <v>2.8813760000000009E-5</v>
      </c>
      <c r="G13" s="123">
        <f>'DR2.2 Illerfissalik'!AF15</f>
        <v>4.7301866666666655E-4</v>
      </c>
      <c r="H13" s="123">
        <f>'DR2.2 Illerfissalik'!AO15</f>
        <v>9.1989533333333351E-5</v>
      </c>
      <c r="I13" s="123">
        <f>'DR2.2 Illerfissalik'!AW15</f>
        <v>8.6991520000000017E-3</v>
      </c>
      <c r="J13" s="123">
        <f>'DR2.2 Illerfissalik'!M15</f>
        <v>2.466666666666667E-2</v>
      </c>
      <c r="K13" s="123"/>
      <c r="L13" s="123">
        <f>'DR2.2 Illerfissalik'!AY15</f>
        <v>1.66397756E-3</v>
      </c>
      <c r="M13" s="123">
        <f>'DR2.2 Illerfissalik'!BA15</f>
        <v>2.3046046666666667E-4</v>
      </c>
      <c r="N13" s="123">
        <f>'DR2.2 Illerfissalik'!AZ15</f>
        <v>9.1187356000000004E-4</v>
      </c>
      <c r="O13" s="123">
        <f>'DR2.2 Illerfissalik'!BB15</f>
        <v>2.8063115866666668E-3</v>
      </c>
      <c r="P13" s="64">
        <f>E13+F13+G13+I13+L13</f>
        <v>1.1037391766666668E-2</v>
      </c>
      <c r="Q13" s="56">
        <f>E13+F13+G13+I13+L13+J13</f>
        <v>3.5704058433333338E-2</v>
      </c>
      <c r="S13" s="55"/>
      <c r="T13" s="55"/>
      <c r="U13" s="55"/>
      <c r="V13" s="55"/>
      <c r="W13" s="55"/>
      <c r="X13" s="55"/>
      <c r="Z13" s="8"/>
      <c r="AA13" s="8"/>
      <c r="AB13" s="8"/>
      <c r="AC13" s="8"/>
    </row>
    <row r="14" spans="1:29" x14ac:dyDescent="0.25">
      <c r="A14" s="87" t="s">
        <v>508</v>
      </c>
      <c r="B14" s="55">
        <f t="shared" ref="B14:C16" si="2">B10</f>
        <v>45.496623349103658</v>
      </c>
      <c r="C14" s="117">
        <f t="shared" si="2"/>
        <v>144.80022299209085</v>
      </c>
      <c r="S14" s="55">
        <f>'DR2.2 Illerfissalik'!BC33</f>
        <v>2.4094432174183518</v>
      </c>
      <c r="T14" s="123">
        <f>'DR2.2 Illerfissalik'!BE33</f>
        <v>0.33370726964194658</v>
      </c>
      <c r="U14" s="55">
        <f>'DR2.2 Illerfissalik'!BD33</f>
        <v>1.3331840515011142</v>
      </c>
      <c r="V14" s="55">
        <f>SUM(S14:U14)</f>
        <v>4.0763345385614125</v>
      </c>
      <c r="W14" s="55">
        <f>'DR2.2 Illerfissalik'!BB33</f>
        <v>16.918739208162208</v>
      </c>
      <c r="X14" s="55">
        <f>'DR2.2 Illerfissalik'!BA33</f>
        <v>52.636127546211291</v>
      </c>
      <c r="Z14" s="8">
        <f>'DR2.2 Illerfissalik'!J33</f>
        <v>185.34428542987635</v>
      </c>
      <c r="AA14" s="8">
        <f>'DR2.2 Illerfissalik'!K33</f>
        <v>497.14743227284532</v>
      </c>
      <c r="AB14" s="8">
        <f>'DR2.2 Illerfissalik'!S33</f>
        <v>3.9339565916196233</v>
      </c>
      <c r="AC14" s="8">
        <f>'DR2.2 Illerfissalik'!H33</f>
        <v>86.880133795254537</v>
      </c>
    </row>
    <row r="15" spans="1:29" x14ac:dyDescent="0.25">
      <c r="A15" s="87" t="s">
        <v>509</v>
      </c>
      <c r="B15" s="55">
        <f t="shared" si="2"/>
        <v>59.806185187123504</v>
      </c>
      <c r="C15" s="117">
        <f t="shared" si="2"/>
        <v>205.39537990425549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64"/>
      <c r="Q15" s="56"/>
      <c r="S15" s="55">
        <f>'DR2.2 Illerfissalik'!BC34</f>
        <v>3.4177330308835607</v>
      </c>
      <c r="T15" s="123">
        <f>'DR2.2 Illerfissalik'!BE34</f>
        <v>0.47335515103912013</v>
      </c>
      <c r="U15" s="55">
        <f>'DR2.2 Illerfissalik'!BD34</f>
        <v>1.891087175710515</v>
      </c>
      <c r="V15" s="55">
        <f t="shared" ref="V15:V16" si="3">SUM(S15:U15)</f>
        <v>5.7821753576331956</v>
      </c>
      <c r="W15" s="55">
        <f>'DR2.2 Illerfissalik'!BB34</f>
        <v>23.998794997375864</v>
      </c>
      <c r="X15" s="55">
        <f>'DR2.2 Illerfissalik'!BA34</f>
        <v>74.662988707092211</v>
      </c>
      <c r="Z15" s="8">
        <f>'DR2.2 Illerfissalik'!J34</f>
        <v>262.90608627744712</v>
      </c>
      <c r="AA15" s="8">
        <f>'DR2.2 Illerfissalik'!K34</f>
        <v>705.19080433794397</v>
      </c>
      <c r="AB15" s="8">
        <f>'DR2.2 Illerfissalik'!S34</f>
        <v>5.5802159138021317</v>
      </c>
      <c r="AC15" s="8">
        <f>'DR2.2 Illerfissalik'!H34</f>
        <v>123.23722794255333</v>
      </c>
    </row>
    <row r="16" spans="1:29" x14ac:dyDescent="0.25">
      <c r="A16" s="87" t="s">
        <v>127</v>
      </c>
      <c r="B16" s="55">
        <f t="shared" si="2"/>
        <v>34.122467511827779</v>
      </c>
      <c r="C16" s="117">
        <f t="shared" si="2"/>
        <v>108.60016724406823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64"/>
      <c r="Q16" s="56"/>
      <c r="S16" s="55">
        <f>'DR2.2 Illerfissalik'!BC35</f>
        <v>1.8070824130637657</v>
      </c>
      <c r="T16" s="123">
        <f>'DR2.2 Illerfissalik'!BE35</f>
        <v>0.25028045223146012</v>
      </c>
      <c r="U16" s="55">
        <f>'DR2.2 Illerfissalik'!BD35</f>
        <v>0.99988803862583642</v>
      </c>
      <c r="V16" s="55">
        <f t="shared" si="3"/>
        <v>3.0572509039210622</v>
      </c>
      <c r="W16" s="55">
        <f>'DR2.2 Illerfissalik'!BB35</f>
        <v>12.689054406121667</v>
      </c>
      <c r="X16" s="55">
        <f>'DR2.2 Illerfissalik'!BA35</f>
        <v>39.477095659658495</v>
      </c>
      <c r="Z16" s="8">
        <f>'DR2.2 Illerfissalik'!J35</f>
        <v>139.00821407240738</v>
      </c>
      <c r="AA16" s="8">
        <f>'DR2.2 Illerfissalik'!K35</f>
        <v>372.8605742046343</v>
      </c>
      <c r="AB16" s="8">
        <f>'DR2.2 Illerfissalik'!S35</f>
        <v>2.9504674437147198</v>
      </c>
      <c r="AC16" s="8">
        <f>'DR2.2 Illerfissalik'!H35</f>
        <v>65.160100346440956</v>
      </c>
    </row>
    <row r="17" spans="1:29" x14ac:dyDescent="0.25">
      <c r="A17" s="87" t="s">
        <v>533</v>
      </c>
      <c r="B17" s="55">
        <f>AVERAGE(B14:B16)</f>
        <v>46.475092016018316</v>
      </c>
      <c r="C17" s="55">
        <f>AVERAGE(C14:C16)</f>
        <v>152.93192338013822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64"/>
      <c r="Q17" s="56"/>
      <c r="S17" s="55">
        <f>AVERAGE(S14:S16)</f>
        <v>2.5447528871218927</v>
      </c>
      <c r="T17" s="55">
        <f t="shared" ref="T17:AC17" si="4">AVERAGE(T14:T16)</f>
        <v>0.35244762430417564</v>
      </c>
      <c r="U17" s="55">
        <f t="shared" si="4"/>
        <v>1.4080530886124885</v>
      </c>
      <c r="V17" s="55">
        <f t="shared" si="4"/>
        <v>4.3052536000385571</v>
      </c>
      <c r="W17" s="55">
        <f t="shared" si="4"/>
        <v>17.868862870553247</v>
      </c>
      <c r="X17" s="55">
        <f t="shared" si="4"/>
        <v>55.592070637653997</v>
      </c>
      <c r="Z17" s="55">
        <f t="shared" si="4"/>
        <v>195.75286192657691</v>
      </c>
      <c r="AA17" s="55">
        <f t="shared" si="4"/>
        <v>525.06627027180787</v>
      </c>
      <c r="AB17" s="55">
        <f t="shared" si="4"/>
        <v>4.1548799830454914</v>
      </c>
      <c r="AC17" s="55">
        <f t="shared" si="4"/>
        <v>91.759154028082946</v>
      </c>
    </row>
    <row r="18" spans="1:29" s="205" customFormat="1" ht="58.5" customHeight="1" x14ac:dyDescent="0.25">
      <c r="A18" s="229" t="s">
        <v>536</v>
      </c>
      <c r="B18" s="230">
        <f>AVERAGE('DR2.1 Rock volumes'!M20,'DR2.1 Rock volumes'!M21,'DR2.1 Rock volumes'!M22,'DR2.1 Rock volumes'!M24,'DR2.1 Rock volumes'!M25,'DR2.1 Rock volumes'!M26,'DR2.1 Rock volumes'!M27,'DR2.1 Rock volumes'!M28,'DR2.1 Rock volumes'!M30)</f>
        <v>55.741806414742413</v>
      </c>
      <c r="C18" s="200">
        <f>'DR2.2 Illerfissalik'!D32</f>
        <v>177.95205225669329</v>
      </c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>
        <f>AVERAGE('DR2.2 Illerfissalik'!BC$22:BC$30)</f>
        <v>36.447276885883802</v>
      </c>
      <c r="T18" s="200">
        <f>AVERAGE('DR2.2 Illerfissalik'!BE$22:BE$30)</f>
        <v>3.5383988671558586</v>
      </c>
      <c r="U18" s="200">
        <f>AVERAGE('DR2.2 Illerfissalik'!BD22:BD30)</f>
        <v>6.8868623204574426</v>
      </c>
      <c r="V18" s="200">
        <f>AVERAGE('DR2.2 Illerfissalik'!AZ22:AZ30)</f>
        <v>46.872538073497104</v>
      </c>
      <c r="W18" s="200">
        <f>AVERAGE('DR2.2 Illerfissalik'!BB22:BB30)</f>
        <v>79.119009236512483</v>
      </c>
      <c r="X18" s="200">
        <f>AVERAGE('DR2.2 Illerfissalik'!BA22:BA30)</f>
        <v>246.90237279282331</v>
      </c>
      <c r="Z18" s="200">
        <f>'DR2.2 Illerfissalik'!J32</f>
        <v>1137.6220483552891</v>
      </c>
      <c r="AA18" s="200">
        <f>'DR2.2 Illerfissalik'!K32</f>
        <v>3340.4142380756425</v>
      </c>
      <c r="AB18" s="200">
        <f>'DR2.2 Illerfissalik'!S32</f>
        <v>53.868764396487535</v>
      </c>
      <c r="AC18" s="200">
        <f>'DR2.2 Illerfissalik'!H32</f>
        <v>780.44685775435505</v>
      </c>
    </row>
    <row r="19" spans="1:29" s="163" customFormat="1" x14ac:dyDescent="0.25">
      <c r="A19" s="213" t="s">
        <v>518</v>
      </c>
      <c r="B19" s="167"/>
      <c r="C19" s="210"/>
      <c r="D19" s="166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191"/>
      <c r="Q19" s="212"/>
      <c r="S19" s="167">
        <f>MIN('DR2.2 Illerfissalik'!BC$22:BC$30)</f>
        <v>12.362773132415176</v>
      </c>
      <c r="T19" s="167">
        <f>MIN(('DR2.2 Illerfissalik'!BE$22:BE$30))</f>
        <v>1.2002109947364863</v>
      </c>
      <c r="U19" s="167">
        <f>MIN('DR2.2 Illerfissalik'!BD$22:BD$30)</f>
        <v>2.3359966432764994</v>
      </c>
      <c r="V19" s="167">
        <f>MIN('DR2.2 Illerfissalik'!AZ$22:AZ$30)</f>
        <v>15.898980770428166</v>
      </c>
      <c r="W19" s="167">
        <f>MIN('DR2.2 Illerfissalik'!BB$22:BB$30)</f>
        <v>26.836857104989896</v>
      </c>
      <c r="X19" s="167">
        <f>MIN('DR2.2 Illerfissalik'!BA$22:BA$30)</f>
        <v>83.748314867245398</v>
      </c>
      <c r="Z19" s="167">
        <f>MIN('DR2.2 Illerfissalik'!J22:J30)</f>
        <v>385.8769295243838</v>
      </c>
      <c r="AA19" s="167">
        <f>MIN('DR2.2 Illerfissalik'!K22:K30)</f>
        <v>1133.0553863576322</v>
      </c>
      <c r="AB19" s="167">
        <f>MIN('DR2.2 Illerfissalik'!S22:S30)</f>
        <v>18.272073253714915</v>
      </c>
      <c r="AC19" s="167">
        <f>MIN('DR2.2 Illerfissalik'!T22:T30)</f>
        <v>5.9337847583630756</v>
      </c>
    </row>
    <row r="20" spans="1:29" s="163" customFormat="1" ht="15.75" thickBot="1" x14ac:dyDescent="0.3">
      <c r="A20" s="213" t="s">
        <v>519</v>
      </c>
      <c r="B20" s="167"/>
      <c r="C20" s="210"/>
      <c r="D20" s="166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191"/>
      <c r="Q20" s="212"/>
      <c r="S20" s="167">
        <f>MAX('DR2.2 Illerfissalik'!BC$22:BC$30)</f>
        <v>79.126075220336674</v>
      </c>
      <c r="T20" s="167">
        <f>MAX(('DR2.2 Illerfissalik'!BE$22:BE$30))</f>
        <v>7.6817704597998624</v>
      </c>
      <c r="U20" s="167">
        <f>MAX('DR2.2 Illerfissalik'!BD$22:BD$30)</f>
        <v>14.951196154016984</v>
      </c>
      <c r="V20" s="167">
        <f>MAX('DR2.2 Illerfissalik'!AZ$22:AZ$30)</f>
        <v>101.75904183415351</v>
      </c>
      <c r="W20" s="167">
        <f>MAX('DR2.2 Illerfissalik'!BB$22:BB$30)</f>
        <v>171.76527881103434</v>
      </c>
      <c r="X20" s="167">
        <f>MAX('DR2.2 Illerfissalik'!BA$22:BA$30)</f>
        <v>536.01852843088773</v>
      </c>
      <c r="Z20" s="167">
        <f>MAX('DR2.2 Illerfissalik'!J22:J30)</f>
        <v>2469.7474121952177</v>
      </c>
      <c r="AA20" s="167">
        <f>MAX('DR2.2 Illerfissalik'!K22:K30)</f>
        <v>7251.9510606134445</v>
      </c>
      <c r="AB20" s="167">
        <f>MAX('DR2.2 Illerfissalik'!S22:S30)</f>
        <v>116.94766434838709</v>
      </c>
      <c r="AC20" s="167">
        <f>MAX('DR2.2 Illerfissalik'!T22:T30)</f>
        <v>37.978299375279384</v>
      </c>
    </row>
    <row r="21" spans="1:29" ht="15.75" thickBot="1" x14ac:dyDescent="0.3">
      <c r="A21" s="87" t="s">
        <v>537</v>
      </c>
      <c r="B21" s="55"/>
      <c r="C21" s="55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64"/>
      <c r="Q21" s="56"/>
      <c r="S21" s="55">
        <f>S18-S17</f>
        <v>33.902523998761907</v>
      </c>
      <c r="T21" s="55">
        <f t="shared" ref="T21:AB21" si="5">T18-T17</f>
        <v>3.185951242851683</v>
      </c>
      <c r="U21" s="55">
        <f t="shared" si="5"/>
        <v>5.4788092318449539</v>
      </c>
      <c r="V21" s="244">
        <f t="shared" si="5"/>
        <v>42.56728447345855</v>
      </c>
      <c r="W21" s="244">
        <f t="shared" si="5"/>
        <v>61.250146365959239</v>
      </c>
      <c r="X21" s="55">
        <f t="shared" si="5"/>
        <v>191.31030215516932</v>
      </c>
      <c r="Z21" s="55">
        <f t="shared" si="5"/>
        <v>941.86918642871217</v>
      </c>
      <c r="AA21" s="55">
        <f t="shared" si="5"/>
        <v>2815.3479678038348</v>
      </c>
      <c r="AB21" s="55">
        <f t="shared" si="5"/>
        <v>49.713884413442045</v>
      </c>
      <c r="AC21" s="55">
        <f t="shared" ref="AC21" si="6">AC18-AC17</f>
        <v>688.68770372627205</v>
      </c>
    </row>
    <row r="22" spans="1:29" s="205" customFormat="1" ht="18" x14ac:dyDescent="0.35">
      <c r="A22" s="214" t="s">
        <v>541</v>
      </c>
      <c r="B22" s="201"/>
      <c r="C22" s="201"/>
      <c r="D22" s="201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3"/>
      <c r="Q22" s="204"/>
      <c r="S22" s="200"/>
      <c r="T22" s="200"/>
      <c r="U22" s="200"/>
      <c r="V22" s="216"/>
      <c r="W22" s="216"/>
      <c r="X22" s="200"/>
      <c r="Z22" s="230"/>
      <c r="AA22" s="230"/>
      <c r="AB22" s="230"/>
      <c r="AC22" s="230"/>
    </row>
    <row r="23" spans="1:29" x14ac:dyDescent="0.25">
      <c r="A23" s="87" t="s">
        <v>508</v>
      </c>
      <c r="B23" s="55"/>
      <c r="C23" s="55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64"/>
      <c r="Q23" s="56"/>
      <c r="S23" s="55">
        <f>S5+(S10-S14)</f>
        <v>262.76985502651274</v>
      </c>
      <c r="T23" s="55"/>
      <c r="U23" s="55"/>
      <c r="V23" s="55">
        <f t="shared" ref="V23:X25" si="7">V5+(V10-V14)</f>
        <v>269.58603611489519</v>
      </c>
      <c r="W23" s="55">
        <f t="shared" si="7"/>
        <v>639.80574514964599</v>
      </c>
      <c r="X23" s="55">
        <f t="shared" si="7"/>
        <v>5067.0922367328658</v>
      </c>
      <c r="Z23" s="55">
        <f t="shared" ref="Z23:AB23" si="8">Z5+(Z10-Z14)</f>
        <v>41042.563456415977</v>
      </c>
      <c r="AA23" s="55">
        <f t="shared" si="8"/>
        <v>18562.61241584396</v>
      </c>
      <c r="AB23" s="55">
        <f t="shared" si="8"/>
        <v>524.32458931252461</v>
      </c>
      <c r="AC23" s="55">
        <f t="shared" ref="AC23" si="9">AC5+(AC10-AC14)</f>
        <v>26957.450466702063</v>
      </c>
    </row>
    <row r="24" spans="1:29" x14ac:dyDescent="0.25">
      <c r="A24" s="87" t="s">
        <v>509</v>
      </c>
      <c r="B24" s="55"/>
      <c r="C24" s="55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64"/>
      <c r="Q24" s="56"/>
      <c r="S24" s="55">
        <f>S6+(S11-S15)</f>
        <v>521.47915254855911</v>
      </c>
      <c r="T24" s="55"/>
      <c r="U24" s="55"/>
      <c r="V24" s="55">
        <f t="shared" si="7"/>
        <v>531.14772953839554</v>
      </c>
      <c r="W24" s="55">
        <f t="shared" si="7"/>
        <v>1252.0118788716677</v>
      </c>
      <c r="X24" s="55">
        <f t="shared" si="7"/>
        <v>10047.962096986272</v>
      </c>
      <c r="Z24" s="55">
        <f t="shared" ref="Z24:AB24" si="10">Z6+(Z11-Z15)</f>
        <v>81654.598439260444</v>
      </c>
      <c r="AA24" s="55">
        <f t="shared" si="10"/>
        <v>35833.679508623907</v>
      </c>
      <c r="AB24" s="55">
        <f t="shared" si="10"/>
        <v>1025.4467351058481</v>
      </c>
      <c r="AC24" s="55">
        <f t="shared" ref="AC24" si="11">AC6+(AC11-AC15)</f>
        <v>53596.124611815838</v>
      </c>
    </row>
    <row r="25" spans="1:29" ht="15.75" thickBot="1" x14ac:dyDescent="0.3">
      <c r="A25" s="87" t="s">
        <v>127</v>
      </c>
      <c r="B25" s="55"/>
      <c r="C25" s="55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64"/>
      <c r="Q25" s="56"/>
      <c r="S25" s="55">
        <f>S7+(S12-S16)</f>
        <v>201.49667725246093</v>
      </c>
      <c r="T25" s="55"/>
      <c r="U25" s="55"/>
      <c r="V25" s="55">
        <f t="shared" si="7"/>
        <v>206.60881306874776</v>
      </c>
      <c r="W25" s="55">
        <f t="shared" si="7"/>
        <v>479.85430886223452</v>
      </c>
      <c r="X25" s="55">
        <f t="shared" si="7"/>
        <v>3800.3191775496498</v>
      </c>
      <c r="Z25" s="55">
        <f t="shared" ref="Z25:AB25" si="12">Z7+(Z12-Z16)</f>
        <v>30781.922592311988</v>
      </c>
      <c r="AA25" s="55">
        <f t="shared" si="12"/>
        <v>13921.959311882973</v>
      </c>
      <c r="AB25" s="55">
        <f t="shared" si="12"/>
        <v>393.24344198439354</v>
      </c>
      <c r="AC25" s="55">
        <f t="shared" ref="AC25" si="13">AC7+(AC12-AC16)</f>
        <v>20218.087850026553</v>
      </c>
    </row>
    <row r="26" spans="1:29" ht="15.75" thickBot="1" x14ac:dyDescent="0.3">
      <c r="A26" s="87" t="s">
        <v>533</v>
      </c>
      <c r="B26" s="55"/>
      <c r="C26" s="55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64"/>
      <c r="Q26" s="56"/>
      <c r="S26" s="55">
        <f>S8+(S18-S17)</f>
        <v>333.70639647716519</v>
      </c>
      <c r="T26" s="55"/>
      <c r="U26" s="55"/>
      <c r="V26" s="55">
        <f>V8+(V18-V17)</f>
        <v>342.37115695186179</v>
      </c>
      <c r="W26" s="244">
        <f>W8+(W18-W17)</f>
        <v>801.68147492883065</v>
      </c>
      <c r="X26" s="55">
        <f>X8+(X18-X17)</f>
        <v>6339.8390749503778</v>
      </c>
      <c r="Z26" s="55">
        <f>Z8+(Z18-Z17)</f>
        <v>51319.644938933161</v>
      </c>
      <c r="AA26" s="55">
        <f t="shared" ref="AA26:AB26" si="14">AA8+(AA18-AA17)</f>
        <v>23242.413974171137</v>
      </c>
      <c r="AB26" s="55">
        <f t="shared" si="14"/>
        <v>655.24555836479499</v>
      </c>
      <c r="AC26" s="55">
        <f t="shared" ref="AC26" si="15">AC8+(AC18-AC17)</f>
        <v>33700.285446159141</v>
      </c>
    </row>
    <row r="27" spans="1:29" ht="15.75" thickBot="1" x14ac:dyDescent="0.3">
      <c r="A27" s="87" t="s">
        <v>538</v>
      </c>
      <c r="B27" s="55"/>
      <c r="C27" s="55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64"/>
      <c r="Q27" s="56"/>
      <c r="S27" s="231">
        <f>S21/S26</f>
        <v>0.1015938692115594</v>
      </c>
      <c r="T27" s="231"/>
      <c r="U27" s="231"/>
      <c r="V27" s="245">
        <f t="shared" ref="V27:Z27" si="16">V21/V26</f>
        <v>0.12433081353124502</v>
      </c>
      <c r="W27" s="231">
        <f t="shared" si="16"/>
        <v>7.6402097692723561E-2</v>
      </c>
      <c r="X27" s="231">
        <f t="shared" si="16"/>
        <v>3.0175892462486E-2</v>
      </c>
      <c r="Z27" s="243">
        <f t="shared" si="16"/>
        <v>1.8352994989530257E-2</v>
      </c>
      <c r="AA27" s="243">
        <f t="shared" ref="AA27:AB27" si="17">AA21/AA26</f>
        <v>0.12112975747409364</v>
      </c>
      <c r="AB27" s="243">
        <f t="shared" si="17"/>
        <v>7.5870616410595837E-2</v>
      </c>
      <c r="AC27" s="243">
        <f t="shared" ref="AC27" si="18">AC21/AC26</f>
        <v>2.0435663811410314E-2</v>
      </c>
    </row>
    <row r="28" spans="1:29" s="205" customFormat="1" ht="18.75" x14ac:dyDescent="0.3">
      <c r="A28" s="208" t="s">
        <v>21</v>
      </c>
      <c r="B28" s="201"/>
      <c r="C28" s="209"/>
      <c r="D28" s="201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3"/>
      <c r="Q28" s="204"/>
      <c r="S28" s="201"/>
      <c r="T28" s="201"/>
      <c r="U28" s="201"/>
      <c r="V28" s="74"/>
      <c r="W28" s="201"/>
      <c r="X28" s="201"/>
      <c r="Z28" s="230"/>
      <c r="AA28" s="230"/>
      <c r="AB28" s="230"/>
      <c r="AC28" s="230"/>
    </row>
    <row r="29" spans="1:29" ht="15.75" thickBot="1" x14ac:dyDescent="0.3">
      <c r="A29" s="87" t="s">
        <v>520</v>
      </c>
      <c r="B29" s="55">
        <f>'DR2.1 Rock volumes'!M32</f>
        <v>5.0123704837369498</v>
      </c>
      <c r="C29" s="55">
        <f>'DR2.3 Ilimaussaq'!C64/1000</f>
        <v>13.032163257716071</v>
      </c>
      <c r="E29" s="123">
        <f>'DR2.3 Ilimaussaq'!AU38</f>
        <v>7.1687699999999997E-3</v>
      </c>
      <c r="F29" s="123">
        <f>'DR2.3 Ilimaussaq'!AW38</f>
        <v>3.2897600000000005E-3</v>
      </c>
      <c r="G29" s="123">
        <f>'DR2.3 Ilimaussaq'!AJ38</f>
        <v>0.12402435000000001</v>
      </c>
      <c r="H29" s="123"/>
      <c r="I29" s="123">
        <f>'DR2.3 Ilimaussaq'!BA38</f>
        <v>0.57152347999999997</v>
      </c>
      <c r="J29" s="123">
        <f>'DR2.3 Ilimaussaq'!M38</f>
        <v>0.55000000000000004</v>
      </c>
      <c r="K29" s="123"/>
      <c r="L29" s="123">
        <f>'DR2.3 Ilimaussaq'!BC38</f>
        <v>0.19493703800000001</v>
      </c>
      <c r="M29" s="123">
        <f>'DR2.3 Ilimaussaq'!BD38</f>
        <v>4.5505469999999994E-3</v>
      </c>
      <c r="N29" s="123">
        <f>'DR2.3 Ilimaussaq'!BE38</f>
        <v>4.6680418000000001E-2</v>
      </c>
      <c r="O29" s="123">
        <f>'DR2.3 Ilimaussaq'!BB38</f>
        <v>0.24616800299999997</v>
      </c>
      <c r="P29" s="64">
        <f>E29+F29+G29+I29+L29</f>
        <v>0.9009433979999999</v>
      </c>
      <c r="Q29" s="56">
        <f>E29+F29+G29+I29+L29+J29</f>
        <v>1.4509433979999999</v>
      </c>
      <c r="S29" s="55">
        <f>'DR2.3 Ilimaussaq'!BE64</f>
        <v>42.118809965874703</v>
      </c>
      <c r="T29" s="55">
        <f>'DR2.3 Ilimaussaq'!BF64</f>
        <v>0.35077382731348244</v>
      </c>
      <c r="U29" s="55">
        <f>'DR2.3 Ilimaussaq'!BG64</f>
        <v>13.228076238268292</v>
      </c>
      <c r="V29" s="55">
        <f>'DR2.3 Ilimaussaq'!BD64</f>
        <v>55.697660031456472</v>
      </c>
      <c r="W29" s="55">
        <f>'DR2.3 Ilimaussaq'!BC64</f>
        <v>280.8988612249471</v>
      </c>
      <c r="X29" s="55">
        <f>'DR2.3 Ilimaussaq'!BB64</f>
        <v>315.32983655183295</v>
      </c>
      <c r="Z29" s="8"/>
      <c r="AA29" s="8"/>
      <c r="AB29" s="8"/>
      <c r="AC29" s="8"/>
    </row>
    <row r="30" spans="1:29" ht="15.75" thickBot="1" x14ac:dyDescent="0.3">
      <c r="A30" s="87" t="s">
        <v>341</v>
      </c>
      <c r="B30" s="55">
        <f>'DR2.1 Rock volumes'!M33</f>
        <v>19.026270508303185</v>
      </c>
      <c r="C30" s="55">
        <f>'DR2.3 Ilimaussaq'!C65/1000</f>
        <v>36.436140063872209</v>
      </c>
      <c r="E30" s="123">
        <f>'DR2.3 Ilimaussaq'!AU43</f>
        <v>1.2582898199999999E-3</v>
      </c>
      <c r="F30" s="123">
        <f>'DR2.3 Ilimaussaq'!AW43</f>
        <v>2.29080736E-3</v>
      </c>
      <c r="G30" s="123">
        <f>'DR2.3 Ilimaussaq'!AJ43</f>
        <v>0.13119687700000002</v>
      </c>
      <c r="H30" s="123"/>
      <c r="I30" s="123">
        <f>'DR2.3 Ilimaussaq'!BA43</f>
        <v>1.593295616</v>
      </c>
      <c r="J30" s="123">
        <f>'DR2.3 Ilimaussaq'!M43</f>
        <v>0.26419999999999999</v>
      </c>
      <c r="K30" s="123"/>
      <c r="L30" s="123">
        <f>'DR2.3 Ilimaussaq'!BC43</f>
        <v>0.32319123949691958</v>
      </c>
      <c r="M30" s="123">
        <f>'DR2.3 Ilimaussaq'!BD43</f>
        <v>2.6916009289999999E-3</v>
      </c>
      <c r="N30" s="123">
        <f>'DR2.3 Ilimaussaq'!BE43</f>
        <v>0.10078330360875601</v>
      </c>
      <c r="O30" s="123">
        <f>'DR2.3 Ilimaussaq'!BB43</f>
        <v>0.42738614403467562</v>
      </c>
      <c r="P30" s="64">
        <f>E30+F30+G30+I30+L30</f>
        <v>2.0512328296769198</v>
      </c>
      <c r="Q30" s="56">
        <f>E30+F30+G30+I30+L30+J30</f>
        <v>2.3154328296769195</v>
      </c>
      <c r="S30" s="55">
        <f>'DR2.3 Ilimaussaq'!BE65</f>
        <v>117.75841269726232</v>
      </c>
      <c r="T30" s="55">
        <f>'DR2.3 Ilimaussaq'!BF65</f>
        <v>0.9807154844509256</v>
      </c>
      <c r="U30" s="55">
        <f>'DR2.3 Ilimaussaq'!BG65</f>
        <v>36.983885872343791</v>
      </c>
      <c r="V30" s="246">
        <f>'DR2.3 Ilimaussaq'!BD65</f>
        <v>155.72301405405705</v>
      </c>
      <c r="W30" s="55">
        <f>'DR2.3 Ilimaussaq'!BC65</f>
        <v>785.35466821400667</v>
      </c>
      <c r="X30" s="55">
        <f>'DR2.3 Ilimaussaq'!BB65</f>
        <v>881.61895026275693</v>
      </c>
    </row>
    <row r="31" spans="1:29" x14ac:dyDescent="0.25">
      <c r="A31" s="87" t="s">
        <v>342</v>
      </c>
      <c r="B31" s="55">
        <f>'DR2.1 Rock volumes'!P34</f>
        <v>5.5892657969269841</v>
      </c>
      <c r="C31" s="55">
        <f>'DR2.3 Ilimaussaq'!C66/1000</f>
        <v>14.532091072010161</v>
      </c>
      <c r="E31" s="123">
        <f>'DR2.3 Ilimaussaq'!AU44</f>
        <v>6.2914490999999993E-4</v>
      </c>
      <c r="F31" s="123">
        <f>'DR2.3 Ilimaussaq'!AW44</f>
        <v>2.4726516800000001E-3</v>
      </c>
      <c r="G31" s="123">
        <f>'DR2.3 Ilimaussaq'!AJ44</f>
        <v>6.5598438500000009E-2</v>
      </c>
      <c r="H31" s="123"/>
      <c r="I31" s="123">
        <f>'DR2.3 Ilimaussaq'!BA44</f>
        <v>0.79664780800000001</v>
      </c>
      <c r="J31" s="123">
        <f>'DR2.3 Ilimaussaq'!M44</f>
        <v>0.2571</v>
      </c>
      <c r="K31" s="123"/>
      <c r="L31" s="123">
        <f>'DR2.3 Ilimaussaq'!BC44</f>
        <v>0.16159561974845979</v>
      </c>
      <c r="M31" s="123">
        <f>'DR2.3 Ilimaussaq'!BD44</f>
        <v>1.3458004645E-3</v>
      </c>
      <c r="N31" s="123">
        <f>'DR2.3 Ilimaussaq'!BE44</f>
        <v>0.11160083180437801</v>
      </c>
      <c r="O31" s="123">
        <f>'DR2.3 Ilimaussaq'!BB44</f>
        <v>0.27490225201733776</v>
      </c>
      <c r="P31" s="64">
        <f>E31+F31+G31+I31+L31</f>
        <v>1.0269436628384598</v>
      </c>
      <c r="Q31" s="56">
        <f>E31+F31+G31+I31+L31+J31</f>
        <v>1.2840436628384597</v>
      </c>
      <c r="S31" s="55">
        <f>'DR2.3 Ilimaussaq'!BE66</f>
        <v>46.966445260450826</v>
      </c>
      <c r="T31" s="55">
        <f>'DR2.3 Ilimaussaq'!BF66</f>
        <v>0.39114589829735158</v>
      </c>
      <c r="U31" s="55">
        <f>'DR2.3 Ilimaussaq'!BG66</f>
        <v>14.750552521523396</v>
      </c>
      <c r="V31" s="55">
        <f>'DR2.3 Ilimaussaq'!BD66</f>
        <v>62.108143680271567</v>
      </c>
      <c r="W31" s="55">
        <f>'DR2.3 Ilimaussaq'!BC66</f>
        <v>313.22872132744186</v>
      </c>
      <c r="X31" s="55">
        <f>'DR2.3 Ilimaussaq'!BB66</f>
        <v>351.6225059396927</v>
      </c>
    </row>
    <row r="32" spans="1:29" x14ac:dyDescent="0.25">
      <c r="A32" s="87" t="s">
        <v>343</v>
      </c>
      <c r="B32" s="55">
        <f>'DR2.1 Rock volumes'!M36</f>
        <v>121.76813125314035</v>
      </c>
      <c r="C32" s="55">
        <f>'DR2.3 Ilimaussaq'!C67/1000</f>
        <v>170.51600653837556</v>
      </c>
      <c r="E32" s="123">
        <f>'DR2.3 Ilimaussaq'!AU55</f>
        <v>2.54309271E-2</v>
      </c>
      <c r="F32" s="123">
        <f>'DR2.3 Ilimaussaq'!AW55</f>
        <v>1.6042117599999999E-2</v>
      </c>
      <c r="G32" s="123">
        <f>'DR2.3 Ilimaussaq'!AJ55</f>
        <v>6.1618787500000008E-2</v>
      </c>
      <c r="H32" s="123"/>
      <c r="I32" s="123">
        <f>'DR2.3 Ilimaussaq'!BA55</f>
        <v>0.25049235200000003</v>
      </c>
      <c r="J32" s="123">
        <f>'DR2.3 Ilimaussaq'!M55</f>
        <v>0.23500000000000001</v>
      </c>
      <c r="K32" s="123"/>
      <c r="L32" s="123">
        <f>'DR2.3 Ilimaussaq'!BC55</f>
        <v>0.68381533166720943</v>
      </c>
      <c r="M32" s="123">
        <f>'DR2.3 Ilimaussaq'!BD55</f>
        <v>6.3148614099999998E-3</v>
      </c>
      <c r="N32" s="123">
        <f>'DR2.3 Ilimaussaq'!BE55</f>
        <v>9.2684599916343979E-2</v>
      </c>
      <c r="O32" s="123">
        <f>'DR2.3 Ilimaussaq'!BB55</f>
        <v>0.78353479299355333</v>
      </c>
      <c r="P32" s="64">
        <f>E32+F32+G32+I32+L32</f>
        <v>1.0373995158672096</v>
      </c>
      <c r="Q32" s="56">
        <f>E32+F32+G32+I32+L32+J32</f>
        <v>1.2723995158672097</v>
      </c>
      <c r="S32" s="55">
        <f>'DR2.3 Ilimaussaq'!BE67</f>
        <v>1166.0145956560734</v>
      </c>
      <c r="T32" s="55">
        <f>'DR2.3 Ilimaussaq'!BF67</f>
        <v>10.767849494764954</v>
      </c>
      <c r="U32" s="55">
        <f>'DR2.3 Ilimaussaq'!BG67</f>
        <v>159.26979370049665</v>
      </c>
      <c r="V32" s="55">
        <f>'DR2.3 Ilimaussaq'!BD67</f>
        <v>1336.052238851335</v>
      </c>
      <c r="W32" s="55">
        <f>'DR2.3 Ilimaussaq'!BC67</f>
        <v>1938.9698695004683</v>
      </c>
      <c r="X32" s="55">
        <f>'DR2.3 Ilimaussaq'!BB67</f>
        <v>2339.6824848656511</v>
      </c>
    </row>
    <row r="33" spans="1:24" s="220" customFormat="1" x14ac:dyDescent="0.25">
      <c r="A33" s="215" t="s">
        <v>175</v>
      </c>
      <c r="B33" s="216">
        <f>'DR2.1 Rock volumes'!M37</f>
        <v>31.56951551007343</v>
      </c>
      <c r="C33" s="216">
        <f>'DR2.3 Ilimaussaq'!C68/1000</f>
        <v>82.08074032619092</v>
      </c>
      <c r="D33" s="74"/>
      <c r="E33" s="217">
        <f>'DR2.3 Ilimaussaq'!AU60</f>
        <v>4.6653899999999992E-4</v>
      </c>
      <c r="F33" s="217">
        <f>'DR2.3 Ilimaussaq'!AW60</f>
        <v>2.2120800000000003E-4</v>
      </c>
      <c r="G33" s="217">
        <f>'DR2.3 Ilimaussaq'!AJ60</f>
        <v>1.061431E-2</v>
      </c>
      <c r="H33" s="217"/>
      <c r="I33" s="217">
        <f>'DR2.3 Ilimaussaq'!BA60</f>
        <v>5.8894880000000004E-2</v>
      </c>
      <c r="J33" s="217">
        <f>'DR2.3 Ilimaussaq'!M60</f>
        <v>0.32</v>
      </c>
      <c r="K33" s="217"/>
      <c r="L33" s="217">
        <f>'DR2.3 Ilimaussaq'!BC60</f>
        <v>2.82007076E-2</v>
      </c>
      <c r="M33" s="217">
        <f>'DR2.3 Ilimaussaq'!BD60</f>
        <v>1.1150577E-4</v>
      </c>
      <c r="N33" s="217">
        <f>'DR2.3 Ilimaussaq'!BE60</f>
        <v>6.53525614E-3</v>
      </c>
      <c r="O33" s="217">
        <f>'DR2.3 Ilimaussaq'!BB60</f>
        <v>3.484746951E-2</v>
      </c>
      <c r="P33" s="218">
        <f>E33+F33+G33+I33+L33</f>
        <v>9.83976446E-2</v>
      </c>
      <c r="Q33" s="219">
        <f>E33+F33+G33+I33+L33+J33</f>
        <v>0.41839764460000001</v>
      </c>
      <c r="S33" s="216">
        <f>'DR2.3 Ilimaussaq'!BE68</f>
        <v>23.147349575304389</v>
      </c>
      <c r="T33" s="216">
        <f>'DR2.3 Ilimaussaq'!BF68</f>
        <v>9.1524761522419701E-2</v>
      </c>
      <c r="U33" s="216">
        <f>'DR2.3 Ilimaussaq'!BG68</f>
        <v>5.3641866219248477</v>
      </c>
      <c r="V33" s="216">
        <f>'DR2.3 Ilimaussaq'!BD68</f>
        <v>28.603060958751655</v>
      </c>
      <c r="W33" s="216">
        <f>'DR2.3 Ilimaussaq'!BC68</f>
        <v>86.221226534661497</v>
      </c>
      <c r="X33" s="216">
        <f>'DR2.3 Ilimaussaq'!BB68</f>
        <v>348.87959557847256</v>
      </c>
    </row>
    <row r="34" spans="1:24" x14ac:dyDescent="0.25">
      <c r="A34" s="13" t="s">
        <v>197</v>
      </c>
      <c r="B34" s="85">
        <f>SUM(B29:B33)</f>
        <v>182.96555355218089</v>
      </c>
      <c r="C34" s="85">
        <f t="shared" ref="C34" si="19">SUM(C29:C33)</f>
        <v>316.59714125816492</v>
      </c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S34" s="85">
        <f t="shared" ref="S34:X34" si="20">SUM(S29:S33)</f>
        <v>1396.0056131549657</v>
      </c>
      <c r="T34" s="85">
        <f t="shared" si="20"/>
        <v>12.582009466349133</v>
      </c>
      <c r="U34" s="85">
        <f t="shared" si="20"/>
        <v>229.59649495455699</v>
      </c>
      <c r="V34" s="85">
        <f t="shared" si="20"/>
        <v>1638.1841175758718</v>
      </c>
      <c r="W34" s="85">
        <f t="shared" si="20"/>
        <v>3404.6733468015254</v>
      </c>
      <c r="X34" s="85">
        <f t="shared" si="20"/>
        <v>4237.1333731984059</v>
      </c>
    </row>
    <row r="35" spans="1:24" x14ac:dyDescent="0.25">
      <c r="A35" s="87" t="s">
        <v>492</v>
      </c>
      <c r="S35" s="29">
        <f t="shared" ref="S35:X35" si="21">(S34/1000)/$C$34*100</f>
        <v>0.44094068809566778</v>
      </c>
      <c r="T35" s="124">
        <f t="shared" si="21"/>
        <v>3.9741386850013598E-3</v>
      </c>
      <c r="U35" s="29">
        <f t="shared" si="21"/>
        <v>7.2520078369038593E-2</v>
      </c>
      <c r="V35" s="29">
        <f t="shared" si="21"/>
        <v>0.51743490514970769</v>
      </c>
      <c r="W35" s="29">
        <f t="shared" si="21"/>
        <v>1.0753961116866908</v>
      </c>
      <c r="X35" s="29">
        <f t="shared" si="21"/>
        <v>1.3383359547593929</v>
      </c>
    </row>
    <row r="36" spans="1:24" x14ac:dyDescent="0.25">
      <c r="S36" s="60"/>
      <c r="T36" s="60"/>
      <c r="U36" s="60"/>
      <c r="V36" s="60"/>
      <c r="W36" s="60"/>
      <c r="X36" s="60"/>
    </row>
    <row r="37" spans="1:24" x14ac:dyDescent="0.25">
      <c r="A37" s="87" t="s">
        <v>363</v>
      </c>
    </row>
    <row r="38" spans="1:24" x14ac:dyDescent="0.25">
      <c r="A38" s="15" t="s">
        <v>540</v>
      </c>
    </row>
    <row r="39" spans="1:24" x14ac:dyDescent="0.25">
      <c r="A39" t="s">
        <v>129</v>
      </c>
    </row>
    <row r="40" spans="1:24" x14ac:dyDescent="0.25">
      <c r="A40" t="s">
        <v>539</v>
      </c>
    </row>
  </sheetData>
  <pageMargins left="0.7" right="0.7" top="0.75" bottom="0.75" header="0.3" footer="0.3"/>
  <pageSetup scale="5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D186B-0032-413C-A355-E2525501EC3D}">
  <dimension ref="A1:T45"/>
  <sheetViews>
    <sheetView topLeftCell="A5" zoomScale="55" zoomScaleNormal="55" workbookViewId="0"/>
  </sheetViews>
  <sheetFormatPr defaultRowHeight="15" x14ac:dyDescent="0.25"/>
  <cols>
    <col min="1" max="1" width="15.7109375" customWidth="1"/>
    <col min="2" max="2" width="43.140625" style="12" customWidth="1"/>
    <col min="3" max="3" width="13.7109375" style="6" customWidth="1"/>
    <col min="4" max="5" width="12.42578125" customWidth="1"/>
    <col min="6" max="6" width="6.28515625" style="6" customWidth="1"/>
    <col min="7" max="7" width="6" customWidth="1"/>
    <col min="8" max="8" width="5.7109375" customWidth="1"/>
    <col min="9" max="9" width="10.7109375" customWidth="1"/>
    <col min="10" max="10" width="6.140625" style="7" customWidth="1"/>
    <col min="11" max="11" width="7.7109375" customWidth="1"/>
    <col min="12" max="12" width="8.7109375" customWidth="1"/>
    <col min="13" max="13" width="9.28515625" style="8" bestFit="1" customWidth="1"/>
    <col min="14" max="14" width="11.140625" style="9" bestFit="1" customWidth="1"/>
    <col min="15" max="15" width="15" style="8" customWidth="1"/>
    <col min="16" max="16" width="9.42578125" style="8" customWidth="1"/>
    <col min="17" max="17" width="16.42578125" customWidth="1"/>
    <col min="18" max="18" width="15.42578125" bestFit="1" customWidth="1"/>
  </cols>
  <sheetData>
    <row r="1" spans="1:17" s="1" customFormat="1" ht="70.5" customHeight="1" x14ac:dyDescent="0.25">
      <c r="B1" s="2" t="s">
        <v>0</v>
      </c>
      <c r="C1" s="3" t="s">
        <v>1</v>
      </c>
      <c r="D1" s="2" t="s">
        <v>2</v>
      </c>
      <c r="E1" s="2" t="s">
        <v>3</v>
      </c>
      <c r="F1" s="3" t="s">
        <v>4</v>
      </c>
      <c r="G1" s="2" t="s">
        <v>5</v>
      </c>
      <c r="H1" s="2" t="s">
        <v>6</v>
      </c>
      <c r="I1" s="2" t="s">
        <v>7</v>
      </c>
      <c r="J1" s="4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</row>
    <row r="2" spans="1:17" ht="14.45" customHeight="1" x14ac:dyDescent="0.25">
      <c r="A2" s="250" t="s">
        <v>16</v>
      </c>
      <c r="B2" s="5" t="s">
        <v>17</v>
      </c>
      <c r="C2" s="6">
        <v>14.05</v>
      </c>
      <c r="D2">
        <v>9.9499999999999993</v>
      </c>
      <c r="E2">
        <v>3</v>
      </c>
      <c r="F2" s="6">
        <f>C2/2</f>
        <v>7.0250000000000004</v>
      </c>
      <c r="G2">
        <f t="shared" ref="G2:H6" si="0">D2/2</f>
        <v>4.9749999999999996</v>
      </c>
      <c r="H2">
        <f t="shared" si="0"/>
        <v>1.5</v>
      </c>
      <c r="K2">
        <v>2.6</v>
      </c>
      <c r="L2">
        <f>K2*10^9</f>
        <v>2600000000</v>
      </c>
      <c r="M2" s="8">
        <f>(4/3)*PI()*F2*G2*H2</f>
        <v>219.59339949510954</v>
      </c>
      <c r="N2" s="9">
        <f t="shared" ref="N2:N6" si="1">(M2*L2)</f>
        <v>570942838687.28479</v>
      </c>
      <c r="O2" s="10">
        <f t="shared" ref="O2:O6" si="2">(M2*L2)/1000000</f>
        <v>570942.83868728473</v>
      </c>
      <c r="Q2" s="11">
        <f>M21/M2</f>
        <v>0.20718575081814739</v>
      </c>
    </row>
    <row r="3" spans="1:17" x14ac:dyDescent="0.25">
      <c r="A3" s="250"/>
      <c r="B3" s="12" t="s">
        <v>480</v>
      </c>
      <c r="C3" s="6">
        <v>17.146000000000001</v>
      </c>
      <c r="D3">
        <v>9.9499999999999993</v>
      </c>
      <c r="E3">
        <v>3</v>
      </c>
      <c r="F3" s="6">
        <f t="shared" ref="F3:F6" si="3">C3/2</f>
        <v>8.5730000000000004</v>
      </c>
      <c r="G3">
        <f t="shared" si="0"/>
        <v>4.9749999999999996</v>
      </c>
      <c r="H3">
        <f t="shared" si="0"/>
        <v>1.5</v>
      </c>
      <c r="K3">
        <v>2.6</v>
      </c>
      <c r="L3">
        <f t="shared" ref="L3:L37" si="4">K3*10^9</f>
        <v>2600000000</v>
      </c>
      <c r="M3" s="8">
        <f>(4/3)*PI()*F3*G3*H3</f>
        <v>267.98209450129161</v>
      </c>
      <c r="N3" s="9">
        <f t="shared" si="1"/>
        <v>696753445703.35815</v>
      </c>
      <c r="O3" s="10">
        <f t="shared" si="2"/>
        <v>696753.44570335816</v>
      </c>
      <c r="Q3" s="11">
        <f>M23/M3</f>
        <v>0.20115176371769045</v>
      </c>
    </row>
    <row r="4" spans="1:17" x14ac:dyDescent="0.25">
      <c r="A4" s="250"/>
      <c r="B4" s="5" t="s">
        <v>499</v>
      </c>
      <c r="C4" s="6">
        <v>14.05</v>
      </c>
      <c r="D4">
        <v>9.9499999999999993</v>
      </c>
      <c r="E4">
        <v>6</v>
      </c>
      <c r="F4" s="6">
        <f t="shared" si="3"/>
        <v>7.0250000000000004</v>
      </c>
      <c r="G4">
        <f t="shared" si="0"/>
        <v>4.9749999999999996</v>
      </c>
      <c r="H4">
        <f t="shared" si="0"/>
        <v>3</v>
      </c>
      <c r="K4">
        <v>2.6</v>
      </c>
      <c r="L4">
        <f t="shared" si="4"/>
        <v>2600000000</v>
      </c>
      <c r="M4" s="8">
        <f>(4/3)*PI()*F4*G4*H4</f>
        <v>439.18679899021907</v>
      </c>
      <c r="N4" s="9">
        <f t="shared" si="1"/>
        <v>1141885677374.5696</v>
      </c>
      <c r="O4" s="10">
        <f t="shared" si="2"/>
        <v>1141885.6773745695</v>
      </c>
      <c r="Q4" s="11">
        <f>M25/M4</f>
        <v>0.13617482429943306</v>
      </c>
    </row>
    <row r="5" spans="1:17" x14ac:dyDescent="0.25">
      <c r="A5" s="250"/>
      <c r="B5" s="5" t="s">
        <v>18</v>
      </c>
      <c r="C5" s="6">
        <v>14.05</v>
      </c>
      <c r="D5">
        <v>9.9499999999999993</v>
      </c>
      <c r="E5">
        <v>3</v>
      </c>
      <c r="F5" s="6">
        <f t="shared" si="3"/>
        <v>7.0250000000000004</v>
      </c>
      <c r="G5">
        <f t="shared" si="0"/>
        <v>4.9749999999999996</v>
      </c>
      <c r="H5">
        <f t="shared" si="0"/>
        <v>1.5</v>
      </c>
      <c r="K5">
        <v>2.6</v>
      </c>
      <c r="L5">
        <f t="shared" si="4"/>
        <v>2600000000</v>
      </c>
      <c r="M5" s="8">
        <f>H5*PI()*F5*G5</f>
        <v>164.69504962133217</v>
      </c>
      <c r="N5" s="9">
        <f t="shared" si="1"/>
        <v>428207129015.46362</v>
      </c>
      <c r="O5" s="10">
        <f t="shared" si="2"/>
        <v>428207.12901546364</v>
      </c>
      <c r="Q5" s="11">
        <f>M28/M5</f>
        <v>0.20718575081814758</v>
      </c>
    </row>
    <row r="6" spans="1:17" x14ac:dyDescent="0.25">
      <c r="A6" s="250"/>
      <c r="B6" s="12" t="s">
        <v>482</v>
      </c>
      <c r="C6" s="6">
        <v>17.146000000000001</v>
      </c>
      <c r="D6">
        <v>9.9499999999999993</v>
      </c>
      <c r="E6">
        <v>3</v>
      </c>
      <c r="F6" s="6">
        <f t="shared" si="3"/>
        <v>8.5730000000000004</v>
      </c>
      <c r="G6">
        <f t="shared" si="0"/>
        <v>4.9749999999999996</v>
      </c>
      <c r="H6">
        <f t="shared" si="0"/>
        <v>1.5</v>
      </c>
      <c r="K6">
        <v>2.6</v>
      </c>
      <c r="L6">
        <f t="shared" si="4"/>
        <v>2600000000</v>
      </c>
      <c r="M6" s="8">
        <f>H6*PI()*F6*G6</f>
        <v>200.98657087596877</v>
      </c>
      <c r="N6" s="9">
        <f t="shared" si="1"/>
        <v>522565084277.5188</v>
      </c>
      <c r="O6" s="10">
        <f t="shared" si="2"/>
        <v>522565.08427751879</v>
      </c>
      <c r="Q6" s="11">
        <f>M29/M6</f>
        <v>0.20115176371769036</v>
      </c>
    </row>
    <row r="7" spans="1:17" x14ac:dyDescent="0.25">
      <c r="A7" s="250"/>
      <c r="L7">
        <f t="shared" si="4"/>
        <v>0</v>
      </c>
      <c r="O7" s="10"/>
    </row>
    <row r="8" spans="1:17" x14ac:dyDescent="0.25">
      <c r="A8" s="250"/>
      <c r="B8" s="12" t="s">
        <v>493</v>
      </c>
      <c r="C8" s="6">
        <v>14.25</v>
      </c>
      <c r="D8">
        <v>10.105</v>
      </c>
      <c r="E8">
        <v>3.2</v>
      </c>
      <c r="F8" s="6">
        <f t="shared" ref="F8" si="5">C8/2</f>
        <v>7.125</v>
      </c>
      <c r="G8">
        <f t="shared" ref="G8" si="6">D8/2</f>
        <v>5.0525000000000002</v>
      </c>
      <c r="H8">
        <f t="shared" ref="H8" si="7">E8/2</f>
        <v>1.6</v>
      </c>
      <c r="K8">
        <v>2.7</v>
      </c>
      <c r="L8">
        <f t="shared" ref="L8" si="8">K8*10^9</f>
        <v>2700000000</v>
      </c>
      <c r="M8" s="8">
        <f t="shared" ref="M8:M14" si="9">(4/3)*PI()*F8*G8*H8</f>
        <v>241.26803261038896</v>
      </c>
      <c r="N8" s="9">
        <f t="shared" ref="N8" si="10">(M8*L8)</f>
        <v>651423688048.05017</v>
      </c>
      <c r="O8" s="10">
        <f t="shared" ref="O8" si="11">(M8*L8)/1000000</f>
        <v>651423.68804805016</v>
      </c>
    </row>
    <row r="9" spans="1:17" x14ac:dyDescent="0.25">
      <c r="A9" s="250"/>
      <c r="B9" s="12" t="s">
        <v>19</v>
      </c>
      <c r="C9" s="6">
        <v>14.45</v>
      </c>
      <c r="D9">
        <v>10.305</v>
      </c>
      <c r="E9">
        <v>3.4</v>
      </c>
      <c r="F9" s="6">
        <f t="shared" ref="F9:H10" si="12">C9/2</f>
        <v>7.2249999999999996</v>
      </c>
      <c r="G9">
        <f t="shared" si="12"/>
        <v>5.1524999999999999</v>
      </c>
      <c r="H9">
        <f t="shared" si="12"/>
        <v>1.7</v>
      </c>
      <c r="K9">
        <v>2.7</v>
      </c>
      <c r="L9">
        <f t="shared" si="4"/>
        <v>2700000000</v>
      </c>
      <c r="M9" s="8">
        <f t="shared" si="9"/>
        <v>265.09002284421319</v>
      </c>
      <c r="N9" s="9">
        <f t="shared" ref="N9:N18" si="13">(M9*L9)</f>
        <v>715743061679.37561</v>
      </c>
      <c r="O9" s="10">
        <f t="shared" ref="O9:O18" si="14">(M9*L9)/1000000</f>
        <v>715743.06167937559</v>
      </c>
    </row>
    <row r="10" spans="1:17" x14ac:dyDescent="0.25">
      <c r="A10" s="250"/>
      <c r="B10" s="12" t="s">
        <v>489</v>
      </c>
      <c r="C10" s="6">
        <v>14.85</v>
      </c>
      <c r="D10">
        <v>10.705</v>
      </c>
      <c r="E10">
        <v>3.8</v>
      </c>
      <c r="F10" s="6">
        <f t="shared" si="12"/>
        <v>7.4249999999999998</v>
      </c>
      <c r="G10">
        <f t="shared" si="12"/>
        <v>5.3525</v>
      </c>
      <c r="H10">
        <f t="shared" si="12"/>
        <v>1.9</v>
      </c>
      <c r="K10">
        <v>2.7</v>
      </c>
      <c r="L10">
        <f t="shared" si="4"/>
        <v>2700000000</v>
      </c>
      <c r="M10" s="8">
        <f t="shared" si="9"/>
        <v>316.29719769956347</v>
      </c>
      <c r="N10" s="9">
        <f t="shared" si="13"/>
        <v>854002433788.82141</v>
      </c>
      <c r="O10" s="10">
        <f t="shared" si="14"/>
        <v>854002.43378882145</v>
      </c>
    </row>
    <row r="11" spans="1:17" x14ac:dyDescent="0.25">
      <c r="A11" s="250"/>
      <c r="B11" s="12" t="s">
        <v>481</v>
      </c>
      <c r="C11" s="6">
        <v>17.545999999999999</v>
      </c>
      <c r="D11">
        <v>10.305</v>
      </c>
      <c r="E11">
        <v>3.4</v>
      </c>
      <c r="F11" s="6">
        <f t="shared" ref="F11:H17" si="15">C11/2</f>
        <v>8.7729999999999997</v>
      </c>
      <c r="G11">
        <f t="shared" si="15"/>
        <v>5.1524999999999999</v>
      </c>
      <c r="H11">
        <f t="shared" si="15"/>
        <v>1.7</v>
      </c>
      <c r="K11">
        <v>2.7</v>
      </c>
      <c r="L11">
        <f t="shared" si="4"/>
        <v>2700000000</v>
      </c>
      <c r="M11" s="8">
        <f t="shared" si="9"/>
        <v>321.88716545498721</v>
      </c>
      <c r="N11" s="9">
        <f t="shared" si="13"/>
        <v>869095346728.46545</v>
      </c>
      <c r="O11" s="10">
        <f t="shared" si="14"/>
        <v>869095.3467284654</v>
      </c>
    </row>
    <row r="12" spans="1:17" x14ac:dyDescent="0.25">
      <c r="A12" s="250"/>
      <c r="B12" s="12" t="s">
        <v>494</v>
      </c>
      <c r="C12" s="6">
        <v>14.25</v>
      </c>
      <c r="D12">
        <v>10.105</v>
      </c>
      <c r="E12">
        <v>6.2</v>
      </c>
      <c r="F12" s="6">
        <f t="shared" ref="F12" si="16">C12/2</f>
        <v>7.125</v>
      </c>
      <c r="G12">
        <f t="shared" ref="G12" si="17">D12/2</f>
        <v>5.0525000000000002</v>
      </c>
      <c r="H12">
        <f t="shared" ref="H12" si="18">E12/2</f>
        <v>3.1</v>
      </c>
      <c r="K12">
        <v>2.7</v>
      </c>
      <c r="L12">
        <f t="shared" ref="L12" si="19">K12*10^9</f>
        <v>2700000000</v>
      </c>
      <c r="M12" s="8">
        <f t="shared" si="9"/>
        <v>467.45681318262859</v>
      </c>
      <c r="N12" s="9">
        <f t="shared" ref="N12" si="20">(M12*L12)</f>
        <v>1262133395593.0972</v>
      </c>
      <c r="O12" s="10">
        <f t="shared" ref="O12" si="21">(M12*L12)/1000000</f>
        <v>1262133.3955930972</v>
      </c>
    </row>
    <row r="13" spans="1:17" x14ac:dyDescent="0.25">
      <c r="A13" s="250"/>
      <c r="B13" s="12" t="s">
        <v>488</v>
      </c>
      <c r="C13" s="6">
        <v>14.45</v>
      </c>
      <c r="D13">
        <v>10.305</v>
      </c>
      <c r="E13">
        <v>6.4</v>
      </c>
      <c r="F13" s="6">
        <f t="shared" si="15"/>
        <v>7.2249999999999996</v>
      </c>
      <c r="G13">
        <f t="shared" si="15"/>
        <v>5.1524999999999999</v>
      </c>
      <c r="H13">
        <f t="shared" si="15"/>
        <v>3.2</v>
      </c>
      <c r="K13">
        <v>2.7</v>
      </c>
      <c r="L13">
        <f t="shared" si="4"/>
        <v>2700000000</v>
      </c>
      <c r="M13" s="8">
        <f t="shared" si="9"/>
        <v>498.99298417734258</v>
      </c>
      <c r="N13" s="9">
        <f t="shared" si="13"/>
        <v>1347281057278.825</v>
      </c>
      <c r="O13" s="10">
        <f t="shared" si="14"/>
        <v>1347281.057278825</v>
      </c>
    </row>
    <row r="14" spans="1:17" x14ac:dyDescent="0.25">
      <c r="A14" s="250"/>
      <c r="B14" s="12" t="s">
        <v>487</v>
      </c>
      <c r="C14" s="6">
        <v>14.85</v>
      </c>
      <c r="D14">
        <v>10.705</v>
      </c>
      <c r="E14">
        <v>6.8</v>
      </c>
      <c r="F14" s="6">
        <f t="shared" si="15"/>
        <v>7.4249999999999998</v>
      </c>
      <c r="G14">
        <f t="shared" si="15"/>
        <v>5.3525</v>
      </c>
      <c r="H14">
        <f t="shared" si="15"/>
        <v>3.4</v>
      </c>
      <c r="K14">
        <v>2.7</v>
      </c>
      <c r="L14">
        <f t="shared" ref="L14:L15" si="22">K14*10^9</f>
        <v>2700000000</v>
      </c>
      <c r="M14" s="8">
        <f t="shared" si="9"/>
        <v>566.00551167290303</v>
      </c>
      <c r="N14" s="9">
        <f t="shared" ref="N14:N15" si="23">(M14*L14)</f>
        <v>1528214881516.8381</v>
      </c>
      <c r="O14" s="10">
        <f t="shared" ref="O14:O15" si="24">(M14*L14)/1000000</f>
        <v>1528214.8815168382</v>
      </c>
    </row>
    <row r="15" spans="1:17" x14ac:dyDescent="0.25">
      <c r="A15" s="250"/>
      <c r="B15" s="12" t="s">
        <v>495</v>
      </c>
      <c r="C15" s="6">
        <v>14.25</v>
      </c>
      <c r="D15">
        <v>10.105</v>
      </c>
      <c r="E15">
        <v>3.2</v>
      </c>
      <c r="F15" s="6">
        <f t="shared" ref="F15" si="25">C15/2</f>
        <v>7.125</v>
      </c>
      <c r="G15">
        <f t="shared" ref="G15" si="26">D15/2</f>
        <v>5.0525000000000002</v>
      </c>
      <c r="H15">
        <f t="shared" ref="H15" si="27">E15/2</f>
        <v>1.6</v>
      </c>
      <c r="K15">
        <v>2.7</v>
      </c>
      <c r="L15">
        <f t="shared" si="22"/>
        <v>2700000000</v>
      </c>
      <c r="M15" s="8">
        <f>H15*PI()*F15*G15</f>
        <v>180.95102445779173</v>
      </c>
      <c r="N15" s="9">
        <f t="shared" si="23"/>
        <v>488567766036.03766</v>
      </c>
      <c r="O15" s="10">
        <f t="shared" si="24"/>
        <v>488567.76603603765</v>
      </c>
    </row>
    <row r="16" spans="1:17" x14ac:dyDescent="0.25">
      <c r="A16" s="250"/>
      <c r="B16" s="12" t="s">
        <v>490</v>
      </c>
      <c r="C16" s="6">
        <v>14.45</v>
      </c>
      <c r="D16">
        <v>10.305</v>
      </c>
      <c r="E16">
        <v>3.4</v>
      </c>
      <c r="F16" s="6">
        <f t="shared" si="15"/>
        <v>7.2249999999999996</v>
      </c>
      <c r="G16">
        <f t="shared" si="15"/>
        <v>5.1524999999999999</v>
      </c>
      <c r="H16">
        <f t="shared" si="15"/>
        <v>1.7</v>
      </c>
      <c r="K16">
        <v>2.7</v>
      </c>
      <c r="L16">
        <f t="shared" si="4"/>
        <v>2700000000</v>
      </c>
      <c r="M16" s="8">
        <f>H16*PI()*F16*G16</f>
        <v>198.81751713315995</v>
      </c>
      <c r="N16" s="9">
        <f t="shared" si="13"/>
        <v>536807296259.53186</v>
      </c>
      <c r="O16" s="10">
        <f t="shared" si="14"/>
        <v>536807.29625953187</v>
      </c>
    </row>
    <row r="17" spans="1:18" x14ac:dyDescent="0.25">
      <c r="A17" s="250"/>
      <c r="B17" s="12" t="s">
        <v>484</v>
      </c>
      <c r="C17" s="6">
        <v>17.545999999999999</v>
      </c>
      <c r="D17">
        <v>10.305</v>
      </c>
      <c r="E17">
        <v>3.4</v>
      </c>
      <c r="F17" s="6">
        <f t="shared" si="15"/>
        <v>8.7729999999999997</v>
      </c>
      <c r="G17">
        <f t="shared" si="15"/>
        <v>5.1524999999999999</v>
      </c>
      <c r="H17">
        <f t="shared" si="15"/>
        <v>1.7</v>
      </c>
      <c r="K17">
        <v>2.7</v>
      </c>
      <c r="L17">
        <f t="shared" si="4"/>
        <v>2700000000</v>
      </c>
      <c r="M17" s="8">
        <f>H17*PI()*F17*G17</f>
        <v>241.41537409124047</v>
      </c>
      <c r="N17" s="9">
        <f t="shared" si="13"/>
        <v>651821510046.34924</v>
      </c>
      <c r="O17" s="10">
        <f t="shared" si="14"/>
        <v>651821.51004634926</v>
      </c>
    </row>
    <row r="18" spans="1:18" ht="13.5" customHeight="1" x14ac:dyDescent="0.25">
      <c r="A18" s="250"/>
      <c r="B18" s="12" t="s">
        <v>468</v>
      </c>
      <c r="C18" s="6">
        <v>14.85</v>
      </c>
      <c r="D18">
        <v>10.705</v>
      </c>
      <c r="E18">
        <v>3.8</v>
      </c>
      <c r="F18" s="6">
        <f t="shared" ref="F18" si="28">C18/2</f>
        <v>7.4249999999999998</v>
      </c>
      <c r="G18">
        <f t="shared" ref="G18" si="29">D18/2</f>
        <v>5.3525</v>
      </c>
      <c r="H18">
        <f t="shared" ref="H18" si="30">E18/2</f>
        <v>1.9</v>
      </c>
      <c r="K18">
        <v>2.7</v>
      </c>
      <c r="L18">
        <f t="shared" si="4"/>
        <v>2700000000</v>
      </c>
      <c r="M18" s="8">
        <f>H18*PI()*F18*G18</f>
        <v>237.22289827467262</v>
      </c>
      <c r="N18" s="9">
        <f t="shared" si="13"/>
        <v>640501825341.61609</v>
      </c>
      <c r="O18" s="10">
        <f t="shared" si="14"/>
        <v>640501.82534161606</v>
      </c>
    </row>
    <row r="19" spans="1:18" ht="13.5" customHeight="1" x14ac:dyDescent="0.25">
      <c r="A19" s="250"/>
      <c r="O19" s="10"/>
    </row>
    <row r="20" spans="1:18" ht="13.5" customHeight="1" x14ac:dyDescent="0.25">
      <c r="A20" s="250"/>
      <c r="B20" s="12" t="s">
        <v>500</v>
      </c>
      <c r="K20">
        <v>2.6</v>
      </c>
      <c r="L20">
        <f t="shared" ref="L20" si="31">K20*10^9</f>
        <v>2600000000</v>
      </c>
      <c r="M20" s="8">
        <f>M8-M2</f>
        <v>21.67463311527942</v>
      </c>
      <c r="N20" s="9">
        <f>N8-N2</f>
        <v>80480849360.765381</v>
      </c>
      <c r="O20" s="10">
        <f>O8-O2</f>
        <v>80480.849360765424</v>
      </c>
    </row>
    <row r="21" spans="1:18" x14ac:dyDescent="0.25">
      <c r="A21" s="250"/>
      <c r="B21" s="12" t="s">
        <v>501</v>
      </c>
      <c r="K21">
        <v>2.6</v>
      </c>
      <c r="L21">
        <f t="shared" si="4"/>
        <v>2600000000</v>
      </c>
      <c r="M21" s="8">
        <f>M9-M2</f>
        <v>45.496623349103658</v>
      </c>
      <c r="N21" s="9">
        <f>N9-N2</f>
        <v>144800222992.09082</v>
      </c>
      <c r="O21" s="10">
        <f>O9-O2</f>
        <v>144800.22299209086</v>
      </c>
    </row>
    <row r="22" spans="1:18" x14ac:dyDescent="0.25">
      <c r="A22" s="250"/>
      <c r="B22" s="12" t="s">
        <v>502</v>
      </c>
      <c r="K22">
        <v>2.6</v>
      </c>
      <c r="L22">
        <f t="shared" ref="L22" si="32">K22*10^9</f>
        <v>2600000000</v>
      </c>
      <c r="M22" s="8">
        <f t="shared" ref="M22:O24" si="33">M10-M2</f>
        <v>96.703798204453932</v>
      </c>
      <c r="N22" s="9">
        <f t="shared" si="33"/>
        <v>283059595101.53662</v>
      </c>
      <c r="O22" s="10">
        <f t="shared" si="33"/>
        <v>283059.59510153672</v>
      </c>
    </row>
    <row r="23" spans="1:18" x14ac:dyDescent="0.25">
      <c r="A23" s="250"/>
      <c r="B23" s="12" t="s">
        <v>503</v>
      </c>
      <c r="K23">
        <v>2.6</v>
      </c>
      <c r="L23">
        <f t="shared" si="4"/>
        <v>2600000000</v>
      </c>
      <c r="M23" s="8">
        <f t="shared" si="33"/>
        <v>53.905070953695599</v>
      </c>
      <c r="N23" s="9">
        <f t="shared" si="33"/>
        <v>172341901025.1073</v>
      </c>
      <c r="O23" s="10">
        <f t="shared" si="33"/>
        <v>172341.90102510725</v>
      </c>
    </row>
    <row r="24" spans="1:18" x14ac:dyDescent="0.25">
      <c r="A24" s="250"/>
      <c r="B24" s="12" t="s">
        <v>504</v>
      </c>
      <c r="K24">
        <v>2.6</v>
      </c>
      <c r="L24">
        <f t="shared" ref="L24" si="34">K24*10^9</f>
        <v>2600000000</v>
      </c>
      <c r="M24" s="8">
        <f t="shared" si="33"/>
        <v>28.270014192409519</v>
      </c>
      <c r="N24" s="9">
        <f t="shared" si="33"/>
        <v>120247718218.52759</v>
      </c>
      <c r="O24" s="10">
        <f t="shared" si="33"/>
        <v>120247.71821852773</v>
      </c>
    </row>
    <row r="25" spans="1:18" x14ac:dyDescent="0.25">
      <c r="A25" s="250"/>
      <c r="B25" s="12" t="s">
        <v>505</v>
      </c>
      <c r="K25">
        <v>2.6</v>
      </c>
      <c r="L25">
        <f t="shared" si="4"/>
        <v>2600000000</v>
      </c>
      <c r="M25" s="8">
        <f>M13-M4</f>
        <v>59.806185187123504</v>
      </c>
      <c r="N25" s="9">
        <f>N13-N4</f>
        <v>205395379904.25537</v>
      </c>
      <c r="O25" s="10">
        <f>O13-O4</f>
        <v>205395.3799042555</v>
      </c>
    </row>
    <row r="26" spans="1:18" x14ac:dyDescent="0.25">
      <c r="A26" s="250"/>
      <c r="B26" s="12" t="s">
        <v>506</v>
      </c>
      <c r="K26">
        <v>2.6</v>
      </c>
      <c r="L26">
        <f t="shared" ref="L26:L27" si="35">K26*10^9</f>
        <v>2600000000</v>
      </c>
      <c r="M26" s="8">
        <f t="shared" ref="M26:O27" si="36">M14-M4</f>
        <v>126.81871268268395</v>
      </c>
      <c r="N26" s="9">
        <f t="shared" si="36"/>
        <v>386329204142.26855</v>
      </c>
      <c r="O26" s="10">
        <f t="shared" si="36"/>
        <v>386329.20414226875</v>
      </c>
    </row>
    <row r="27" spans="1:18" x14ac:dyDescent="0.25">
      <c r="A27" s="250"/>
      <c r="B27" s="12" t="s">
        <v>496</v>
      </c>
      <c r="K27">
        <v>2.6</v>
      </c>
      <c r="L27">
        <f t="shared" si="35"/>
        <v>2600000000</v>
      </c>
      <c r="M27" s="8">
        <f t="shared" si="36"/>
        <v>16.255974836459558</v>
      </c>
      <c r="N27" s="9">
        <f t="shared" si="36"/>
        <v>60360637020.574036</v>
      </c>
      <c r="O27" s="10">
        <f t="shared" si="36"/>
        <v>60360.63702057401</v>
      </c>
    </row>
    <row r="28" spans="1:18" ht="28.9" customHeight="1" x14ac:dyDescent="0.25">
      <c r="A28" s="250"/>
      <c r="B28" s="12" t="s">
        <v>470</v>
      </c>
      <c r="K28">
        <v>2.6</v>
      </c>
      <c r="L28">
        <f t="shared" si="4"/>
        <v>2600000000</v>
      </c>
      <c r="M28" s="8">
        <f t="shared" ref="M28:N29" si="37">M16-M5</f>
        <v>34.122467511827779</v>
      </c>
      <c r="N28" s="9">
        <f t="shared" si="37"/>
        <v>108600167244.06824</v>
      </c>
      <c r="O28" s="10">
        <f>O16-O5</f>
        <v>108600.16724406823</v>
      </c>
    </row>
    <row r="29" spans="1:18" x14ac:dyDescent="0.25">
      <c r="A29" s="250"/>
      <c r="B29" s="12" t="s">
        <v>483</v>
      </c>
      <c r="K29">
        <v>2.6</v>
      </c>
      <c r="L29">
        <f t="shared" si="4"/>
        <v>2600000000</v>
      </c>
      <c r="M29" s="8">
        <f t="shared" si="37"/>
        <v>40.428803215271699</v>
      </c>
      <c r="N29" s="9">
        <f t="shared" si="37"/>
        <v>129256425768.83044</v>
      </c>
      <c r="O29" s="10">
        <f>O17-O6</f>
        <v>129256.42576883046</v>
      </c>
    </row>
    <row r="30" spans="1:18" x14ac:dyDescent="0.25">
      <c r="A30" s="250"/>
      <c r="B30" s="12" t="s">
        <v>469</v>
      </c>
      <c r="K30">
        <v>2.6</v>
      </c>
      <c r="L30">
        <f t="shared" ref="L30" si="38">K30*10^9</f>
        <v>2600000000</v>
      </c>
      <c r="M30" s="8">
        <f>M18-M5</f>
        <v>72.527848653340442</v>
      </c>
      <c r="N30" s="9">
        <f>N18-N5</f>
        <v>212294696326.15247</v>
      </c>
      <c r="O30" s="10">
        <f>O18-O5</f>
        <v>212294.69632615242</v>
      </c>
    </row>
    <row r="31" spans="1:18" x14ac:dyDescent="0.25">
      <c r="A31" s="250"/>
      <c r="L31">
        <f t="shared" si="4"/>
        <v>0</v>
      </c>
      <c r="O31" s="10"/>
    </row>
    <row r="32" spans="1:18" s="15" customFormat="1" x14ac:dyDescent="0.25">
      <c r="A32" s="251" t="s">
        <v>21</v>
      </c>
      <c r="B32" s="14" t="s">
        <v>22</v>
      </c>
      <c r="C32" s="15">
        <v>17</v>
      </c>
      <c r="D32" s="15">
        <v>7.6</v>
      </c>
      <c r="E32" s="15">
        <v>1.8</v>
      </c>
      <c r="F32" s="6">
        <f t="shared" ref="F32:H37" si="39">C32/2</f>
        <v>8.5</v>
      </c>
      <c r="G32">
        <f t="shared" si="39"/>
        <v>3.8</v>
      </c>
      <c r="H32">
        <f t="shared" si="39"/>
        <v>0.9</v>
      </c>
      <c r="I32" s="15">
        <v>0.22</v>
      </c>
      <c r="J32" s="7">
        <f t="shared" ref="J32:J33" si="40">H32-I32</f>
        <v>0.68</v>
      </c>
      <c r="K32">
        <v>2.6</v>
      </c>
      <c r="L32">
        <f t="shared" si="4"/>
        <v>2600000000</v>
      </c>
      <c r="M32" s="8">
        <f>((PI()*F32*G32)/(3*H32^2))*I32^2*(3*H32-I32)</f>
        <v>5.0123704837369498</v>
      </c>
      <c r="N32" s="9">
        <f>(M32*L32)</f>
        <v>13032163257.71607</v>
      </c>
      <c r="O32" s="10">
        <f>(M32*L32)/1000000</f>
        <v>13032.163257716071</v>
      </c>
      <c r="P32" s="8">
        <f>PI()*F32*G32*(((2*H32)/3)-J32+((J32^3)/(3*H32^2)))</f>
        <v>5.0123704837369472</v>
      </c>
      <c r="Q32" s="16"/>
      <c r="R32" s="17">
        <f>O32</f>
        <v>13032.163257716071</v>
      </c>
    </row>
    <row r="33" spans="1:20" x14ac:dyDescent="0.25">
      <c r="A33" s="251"/>
      <c r="B33" s="12" t="s">
        <v>23</v>
      </c>
      <c r="C33" s="6">
        <v>17</v>
      </c>
      <c r="D33">
        <v>7.6</v>
      </c>
      <c r="E33">
        <v>1.8</v>
      </c>
      <c r="F33" s="6">
        <f t="shared" si="39"/>
        <v>8.5</v>
      </c>
      <c r="G33">
        <f t="shared" si="39"/>
        <v>3.8</v>
      </c>
      <c r="H33">
        <f t="shared" si="39"/>
        <v>0.9</v>
      </c>
      <c r="I33">
        <v>0.45</v>
      </c>
      <c r="J33" s="7">
        <f t="shared" si="40"/>
        <v>0.45</v>
      </c>
      <c r="K33">
        <v>2.6</v>
      </c>
      <c r="L33">
        <f t="shared" si="4"/>
        <v>2600000000</v>
      </c>
      <c r="M33" s="8">
        <f>((PI()*F33*G33)/(3*H33^2))*I33^2*(3*H33-I33)</f>
        <v>19.026270508303185</v>
      </c>
      <c r="N33" s="9">
        <f>(M33*L33)</f>
        <v>49468303321.58828</v>
      </c>
      <c r="O33" s="10">
        <f>(M33*L33)/1000000</f>
        <v>49468.303321588282</v>
      </c>
      <c r="Q33" s="8">
        <f>M33-P32</f>
        <v>14.013900024566237</v>
      </c>
      <c r="R33" s="10">
        <f>O33-O32</f>
        <v>36436.140063872212</v>
      </c>
    </row>
    <row r="34" spans="1:20" ht="30" x14ac:dyDescent="0.25">
      <c r="A34" s="251"/>
      <c r="B34" s="12" t="s">
        <v>24</v>
      </c>
      <c r="C34" s="6">
        <v>17</v>
      </c>
      <c r="D34">
        <v>7.6</v>
      </c>
      <c r="E34">
        <v>1.8</v>
      </c>
      <c r="F34" s="6">
        <f t="shared" si="39"/>
        <v>8.5</v>
      </c>
      <c r="G34">
        <f t="shared" si="39"/>
        <v>3.8</v>
      </c>
      <c r="H34">
        <f t="shared" si="39"/>
        <v>0.9</v>
      </c>
      <c r="K34">
        <v>2.6</v>
      </c>
      <c r="L34">
        <f t="shared" si="4"/>
        <v>2600000000</v>
      </c>
      <c r="M34" s="8">
        <f>((PI()*F34*G34)/(3*H34^2))*I34^2*(3*H34-I34)</f>
        <v>0</v>
      </c>
      <c r="N34" s="9">
        <f>(P34*L34)</f>
        <v>14532091072.010159</v>
      </c>
      <c r="O34" s="10">
        <f>(P34*L34)/1000000</f>
        <v>14532.091072010158</v>
      </c>
      <c r="P34" s="8">
        <f>M35-M33</f>
        <v>5.5892657969269841</v>
      </c>
      <c r="Q34" s="8"/>
      <c r="R34" s="10">
        <f>O35-R33-R32</f>
        <v>14532.09107201016</v>
      </c>
    </row>
    <row r="35" spans="1:20" x14ac:dyDescent="0.25">
      <c r="A35" s="251"/>
      <c r="B35" s="12" t="s">
        <v>25</v>
      </c>
      <c r="C35" s="6">
        <v>17</v>
      </c>
      <c r="D35">
        <v>7.6</v>
      </c>
      <c r="E35">
        <v>1.8</v>
      </c>
      <c r="F35" s="6">
        <f t="shared" si="39"/>
        <v>8.5</v>
      </c>
      <c r="G35">
        <f t="shared" si="39"/>
        <v>3.8</v>
      </c>
      <c r="H35">
        <f t="shared" si="39"/>
        <v>0.9</v>
      </c>
      <c r="I35">
        <v>0.52</v>
      </c>
      <c r="J35" s="7">
        <f t="shared" ref="J35" si="41">H35-I35</f>
        <v>0.38</v>
      </c>
      <c r="K35">
        <v>2.6</v>
      </c>
      <c r="L35">
        <f t="shared" si="4"/>
        <v>2600000000</v>
      </c>
      <c r="M35" s="8">
        <f>((PI()*F35*G35)/(3*H35^2))*I35^2*(3*H35-I35)</f>
        <v>24.615536305230169</v>
      </c>
      <c r="N35" s="9">
        <f>(M35*L35)</f>
        <v>64000394393.598442</v>
      </c>
      <c r="O35" s="10">
        <f>(M35*L35)/1000000</f>
        <v>64000.394393598443</v>
      </c>
      <c r="P35" s="8">
        <f>PI()*F35*G35*(((2*H35)/3)-J35+((J35^3)/(3*H35^2)))</f>
        <v>24.615536305230165</v>
      </c>
      <c r="Q35" s="8"/>
      <c r="R35" s="10">
        <f>R34+R33+R32</f>
        <v>64000.394393598443</v>
      </c>
    </row>
    <row r="36" spans="1:20" x14ac:dyDescent="0.25">
      <c r="A36" s="251"/>
      <c r="B36" s="12" t="s">
        <v>26</v>
      </c>
      <c r="C36" s="6">
        <v>17</v>
      </c>
      <c r="D36">
        <v>7.6</v>
      </c>
      <c r="E36">
        <v>1.8</v>
      </c>
      <c r="F36" s="6">
        <f t="shared" si="39"/>
        <v>8.5</v>
      </c>
      <c r="G36">
        <f t="shared" si="39"/>
        <v>3.8</v>
      </c>
      <c r="H36">
        <f t="shared" si="39"/>
        <v>0.9</v>
      </c>
      <c r="K36">
        <v>2.6</v>
      </c>
      <c r="L36">
        <f t="shared" si="4"/>
        <v>2600000000</v>
      </c>
      <c r="M36" s="8">
        <f>(4/3)*PI()*F36*G36*H36</f>
        <v>121.76813125314035</v>
      </c>
      <c r="N36" s="9">
        <f>(M36*L36)</f>
        <v>316597141258.16492</v>
      </c>
      <c r="O36" s="10">
        <f>(M36*L36)/1000000</f>
        <v>316597.14125816489</v>
      </c>
      <c r="Q36" s="8">
        <f>M36-P37-P35</f>
        <v>65.583079437836759</v>
      </c>
      <c r="R36" s="10">
        <f>(Q36*L36)/1000000</f>
        <v>170516.00653837557</v>
      </c>
    </row>
    <row r="37" spans="1:20" x14ac:dyDescent="0.25">
      <c r="A37" s="251"/>
      <c r="B37" s="12" t="s">
        <v>27</v>
      </c>
      <c r="C37" s="6">
        <v>17</v>
      </c>
      <c r="D37">
        <v>7.6</v>
      </c>
      <c r="E37">
        <v>1.8</v>
      </c>
      <c r="F37" s="6">
        <f t="shared" si="39"/>
        <v>8.5</v>
      </c>
      <c r="G37">
        <f t="shared" si="39"/>
        <v>3.8</v>
      </c>
      <c r="H37">
        <f t="shared" si="39"/>
        <v>0.9</v>
      </c>
      <c r="I37">
        <v>0.6</v>
      </c>
      <c r="J37" s="7">
        <f t="shared" ref="J37" si="42">H37-I37</f>
        <v>0.30000000000000004</v>
      </c>
      <c r="K37">
        <v>2.6</v>
      </c>
      <c r="L37">
        <f t="shared" si="4"/>
        <v>2600000000</v>
      </c>
      <c r="M37" s="8">
        <f>((PI()*F37*G37)/(3*H37^2))*I37^2*(3*H37-I37)</f>
        <v>31.56951551007343</v>
      </c>
      <c r="N37" s="9">
        <v>23603353.995091613</v>
      </c>
      <c r="O37" s="10">
        <f>(M37*L37)/1000000</f>
        <v>82080.74032619092</v>
      </c>
      <c r="P37" s="8">
        <f>PI()*F37*G37*(((2*H37)/3)-J37+((J37^3)/(3*H37^2)))</f>
        <v>31.56951551007343</v>
      </c>
      <c r="R37" s="10">
        <f>O37</f>
        <v>82080.74032619092</v>
      </c>
    </row>
    <row r="38" spans="1:20" x14ac:dyDescent="0.25">
      <c r="A38" s="18"/>
      <c r="O38" s="10"/>
    </row>
    <row r="39" spans="1:20" x14ac:dyDescent="0.25">
      <c r="A39" s="18"/>
      <c r="B39" s="12" t="s">
        <v>28</v>
      </c>
      <c r="C39" s="6">
        <v>17.399999999999999</v>
      </c>
      <c r="D39">
        <v>8</v>
      </c>
      <c r="E39">
        <v>2.2000000000000002</v>
      </c>
      <c r="F39" s="6">
        <f t="shared" ref="F39:H40" si="43">C39/2</f>
        <v>8.6999999999999993</v>
      </c>
      <c r="G39">
        <f t="shared" si="43"/>
        <v>4</v>
      </c>
      <c r="H39">
        <f t="shared" si="43"/>
        <v>1.1000000000000001</v>
      </c>
      <c r="K39">
        <v>2.7</v>
      </c>
      <c r="L39">
        <f t="shared" ref="L39:L43" si="44">K39*10^9</f>
        <v>2700000000</v>
      </c>
      <c r="M39" s="8">
        <f>(4/3)*PI()*F39*G39*H39</f>
        <v>160.34688903922302</v>
      </c>
      <c r="N39" s="9">
        <f>(M39*L39)</f>
        <v>432936600405.90216</v>
      </c>
      <c r="O39" s="10">
        <f>(M39*L39)/1000000</f>
        <v>432936.60040590214</v>
      </c>
    </row>
    <row r="40" spans="1:20" x14ac:dyDescent="0.25">
      <c r="A40" s="18"/>
      <c r="B40" s="12" t="s">
        <v>498</v>
      </c>
      <c r="C40" s="6">
        <v>17.2</v>
      </c>
      <c r="D40">
        <v>7.8</v>
      </c>
      <c r="E40">
        <v>2</v>
      </c>
      <c r="F40" s="6">
        <f t="shared" si="43"/>
        <v>8.6</v>
      </c>
      <c r="G40">
        <f t="shared" si="43"/>
        <v>3.9</v>
      </c>
      <c r="H40">
        <f t="shared" si="43"/>
        <v>1</v>
      </c>
      <c r="K40">
        <v>2.7</v>
      </c>
      <c r="L40">
        <f t="shared" si="44"/>
        <v>2700000000</v>
      </c>
      <c r="M40" s="8">
        <f>(4/3)*PI()*F40*G40*H40</f>
        <v>140.49202346853554</v>
      </c>
      <c r="N40" s="9">
        <f>(M40*L40)</f>
        <v>379328463365.04596</v>
      </c>
      <c r="O40" s="10">
        <f>(M40*L40)/1000000</f>
        <v>379328.46336504596</v>
      </c>
    </row>
    <row r="41" spans="1:20" x14ac:dyDescent="0.25">
      <c r="A41" s="18"/>
      <c r="O41" s="10"/>
    </row>
    <row r="42" spans="1:20" s="8" customFormat="1" x14ac:dyDescent="0.25">
      <c r="A42" s="18"/>
      <c r="B42" s="12" t="s">
        <v>29</v>
      </c>
      <c r="C42" s="6"/>
      <c r="D42"/>
      <c r="E42"/>
      <c r="F42" s="6"/>
      <c r="G42"/>
      <c r="H42"/>
      <c r="I42"/>
      <c r="J42" s="7"/>
      <c r="K42">
        <v>2.8</v>
      </c>
      <c r="L42">
        <f t="shared" si="44"/>
        <v>2800000000</v>
      </c>
      <c r="M42" s="8">
        <f>M39-M36</f>
        <v>38.578757786082662</v>
      </c>
      <c r="N42" s="9">
        <f>(M42*L42)</f>
        <v>108020521801.03145</v>
      </c>
      <c r="O42" s="10">
        <f>(M42*L42)/1000000</f>
        <v>108020.52180103144</v>
      </c>
      <c r="Q42"/>
      <c r="R42"/>
      <c r="S42"/>
      <c r="T42"/>
    </row>
    <row r="43" spans="1:20" s="8" customFormat="1" x14ac:dyDescent="0.25">
      <c r="A43" s="18"/>
      <c r="B43" s="12" t="s">
        <v>497</v>
      </c>
      <c r="C43" s="6"/>
      <c r="D43"/>
      <c r="E43"/>
      <c r="F43" s="6"/>
      <c r="G43"/>
      <c r="H43"/>
      <c r="I43"/>
      <c r="J43" s="7"/>
      <c r="K43">
        <v>2.8</v>
      </c>
      <c r="L43">
        <f t="shared" si="44"/>
        <v>2800000000</v>
      </c>
      <c r="M43" s="8">
        <f>M40-M36</f>
        <v>18.723892215395182</v>
      </c>
      <c r="N43" s="9">
        <f>(M43*L43)</f>
        <v>52426898203.106506</v>
      </c>
      <c r="O43" s="10">
        <f>(M43*L43)/1000000</f>
        <v>52426.89820310651</v>
      </c>
      <c r="Q43"/>
      <c r="R43"/>
      <c r="S43"/>
      <c r="T43"/>
    </row>
    <row r="44" spans="1:20" s="8" customFormat="1" x14ac:dyDescent="0.25">
      <c r="A44" s="18"/>
      <c r="B44" s="12"/>
      <c r="C44" s="6"/>
      <c r="D44"/>
      <c r="E44"/>
      <c r="F44" s="6"/>
      <c r="G44"/>
      <c r="H44"/>
      <c r="I44"/>
      <c r="J44" s="7"/>
      <c r="K44"/>
      <c r="L44"/>
      <c r="N44" s="9"/>
      <c r="Q44"/>
      <c r="R44"/>
      <c r="S44"/>
      <c r="T44"/>
    </row>
    <row r="45" spans="1:20" s="8" customFormat="1" x14ac:dyDescent="0.25">
      <c r="A45" s="18"/>
      <c r="B45" s="12"/>
      <c r="C45" s="6"/>
      <c r="D45"/>
      <c r="E45"/>
      <c r="F45" s="6"/>
      <c r="G45"/>
      <c r="H45"/>
      <c r="I45"/>
      <c r="J45" s="7"/>
      <c r="K45"/>
      <c r="L45"/>
      <c r="N45" s="9"/>
      <c r="Q45"/>
      <c r="R45"/>
      <c r="S45"/>
      <c r="T45"/>
    </row>
  </sheetData>
  <mergeCells count="2">
    <mergeCell ref="A2:A31"/>
    <mergeCell ref="A32:A37"/>
  </mergeCells>
  <hyperlinks>
    <hyperlink ref="B2" r:id="rId1" display="I4 ellipsoid" xr:uid="{671D5BE8-21EE-45D2-8DFC-4DE9D421C2CF}"/>
    <hyperlink ref="B4" r:id="rId2" display="I4 prolate" xr:uid="{17D7FF60-AC58-4FE1-A5FC-F656A1D820BC}"/>
    <hyperlink ref="B5" r:id="rId3" xr:uid="{1DFF255D-9077-4591-8531-93EE5AC11A84}"/>
  </hyperlinks>
  <pageMargins left="0.7" right="0.7" top="0.75" bottom="0.75" header="0.3" footer="0.3"/>
  <pageSetup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DD73A-D33E-42B0-94C3-8382B3EF2902}">
  <dimension ref="A1:BJ98"/>
  <sheetViews>
    <sheetView zoomScale="55" zoomScaleNormal="55" workbookViewId="0">
      <pane xSplit="2" ySplit="1" topLeftCell="D2" activePane="bottomRight" state="frozen"/>
      <selection pane="topRight" activeCell="C1" sqref="C1"/>
      <selection pane="bottomLeft" activeCell="A2" sqref="A2"/>
      <selection pane="bottomRight" activeCell="H5" sqref="H5"/>
    </sheetView>
  </sheetViews>
  <sheetFormatPr defaultRowHeight="15" x14ac:dyDescent="0.25"/>
  <cols>
    <col min="2" max="2" width="38.85546875" customWidth="1"/>
    <col min="3" max="3" width="14.7109375" style="13" customWidth="1"/>
    <col min="4" max="4" width="13.42578125" customWidth="1"/>
    <col min="5" max="5" width="18" bestFit="1" customWidth="1"/>
    <col min="6" max="6" width="16.7109375" bestFit="1" customWidth="1"/>
    <col min="7" max="7" width="15.85546875" bestFit="1" customWidth="1"/>
    <col min="8" max="8" width="16.42578125" bestFit="1" customWidth="1"/>
    <col min="9" max="9" width="15.5703125" bestFit="1" customWidth="1"/>
    <col min="10" max="10" width="15.85546875" bestFit="1" customWidth="1"/>
    <col min="11" max="11" width="15.5703125" bestFit="1" customWidth="1"/>
    <col min="12" max="12" width="10" bestFit="1" customWidth="1"/>
    <col min="13" max="14" width="14.28515625" bestFit="1" customWidth="1"/>
    <col min="15" max="15" width="13.85546875" bestFit="1" customWidth="1"/>
    <col min="16" max="16" width="14.5703125" bestFit="1" customWidth="1"/>
    <col min="17" max="17" width="15.5703125" bestFit="1" customWidth="1"/>
    <col min="18" max="18" width="10.5703125" bestFit="1" customWidth="1"/>
    <col min="19" max="20" width="12" bestFit="1" customWidth="1"/>
    <col min="21" max="21" width="11.140625" customWidth="1"/>
    <col min="22" max="36" width="10.5703125" bestFit="1" customWidth="1"/>
    <col min="37" max="37" width="10" bestFit="1" customWidth="1"/>
    <col min="38" max="39" width="10.5703125" bestFit="1" customWidth="1"/>
    <col min="40" max="40" width="12" bestFit="1" customWidth="1"/>
    <col min="41" max="48" width="10.5703125" bestFit="1" customWidth="1"/>
    <col min="49" max="49" width="10.7109375" customWidth="1"/>
    <col min="50" max="50" width="13.42578125" style="8" customWidth="1"/>
    <col min="51" max="51" width="11.7109375" customWidth="1"/>
    <col min="52" max="52" width="14.5703125" customWidth="1"/>
    <col min="53" max="53" width="14.42578125" customWidth="1"/>
    <col min="54" max="54" width="11.140625" customWidth="1"/>
    <col min="55" max="55" width="13.5703125" customWidth="1"/>
    <col min="57" max="58" width="10.85546875" customWidth="1"/>
    <col min="60" max="60" width="12.140625" customWidth="1"/>
  </cols>
  <sheetData>
    <row r="1" spans="1:54" x14ac:dyDescent="0.25">
      <c r="A1" s="65" t="str">
        <f>'DR2.2 Illerfissalik'!B53</f>
        <v>400 m wide aureole ellipsoid summary</v>
      </c>
      <c r="B1" s="13" t="s">
        <v>30</v>
      </c>
      <c r="D1" s="13"/>
      <c r="E1" s="19" t="s">
        <v>31</v>
      </c>
      <c r="F1" s="19" t="s">
        <v>32</v>
      </c>
      <c r="G1" s="19" t="s">
        <v>33</v>
      </c>
      <c r="H1" s="19" t="s">
        <v>34</v>
      </c>
      <c r="I1" s="19" t="s">
        <v>35</v>
      </c>
      <c r="J1" s="19" t="s">
        <v>36</v>
      </c>
      <c r="K1" s="19" t="s">
        <v>37</v>
      </c>
      <c r="L1" s="19" t="s">
        <v>38</v>
      </c>
      <c r="M1" s="19" t="s">
        <v>39</v>
      </c>
      <c r="N1" s="19" t="s">
        <v>40</v>
      </c>
      <c r="O1" s="19" t="s">
        <v>41</v>
      </c>
      <c r="P1" s="19" t="s">
        <v>42</v>
      </c>
      <c r="Q1" s="19" t="s">
        <v>43</v>
      </c>
      <c r="R1" s="19"/>
      <c r="S1" s="19" t="s">
        <v>44</v>
      </c>
      <c r="T1" s="19" t="s">
        <v>45</v>
      </c>
      <c r="U1" s="19" t="s">
        <v>46</v>
      </c>
      <c r="V1" s="19" t="s">
        <v>47</v>
      </c>
      <c r="W1" s="19" t="s">
        <v>48</v>
      </c>
      <c r="X1" s="19" t="s">
        <v>49</v>
      </c>
      <c r="Y1" s="19" t="s">
        <v>50</v>
      </c>
      <c r="Z1" s="19" t="s">
        <v>51</v>
      </c>
      <c r="AA1" s="19" t="s">
        <v>52</v>
      </c>
      <c r="AB1" s="19" t="s">
        <v>53</v>
      </c>
      <c r="AC1" s="19" t="s">
        <v>54</v>
      </c>
      <c r="AD1" s="19" t="s">
        <v>55</v>
      </c>
      <c r="AE1" s="19" t="s">
        <v>56</v>
      </c>
      <c r="AF1" s="19" t="s">
        <v>57</v>
      </c>
      <c r="AG1" s="19" t="s">
        <v>58</v>
      </c>
      <c r="AH1" s="19" t="s">
        <v>59</v>
      </c>
      <c r="AI1" s="19" t="s">
        <v>60</v>
      </c>
      <c r="AJ1" s="19" t="s">
        <v>61</v>
      </c>
      <c r="AK1" s="19" t="s">
        <v>62</v>
      </c>
      <c r="AL1" s="19" t="s">
        <v>63</v>
      </c>
      <c r="AM1" s="19" t="s">
        <v>64</v>
      </c>
      <c r="AN1" s="19" t="s">
        <v>65</v>
      </c>
      <c r="AO1" s="19" t="s">
        <v>66</v>
      </c>
      <c r="AP1" s="19" t="s">
        <v>67</v>
      </c>
      <c r="AQ1" s="19" t="s">
        <v>68</v>
      </c>
      <c r="AR1" s="19" t="s">
        <v>69</v>
      </c>
      <c r="AS1" s="19" t="s">
        <v>70</v>
      </c>
      <c r="AT1" s="19" t="s">
        <v>71</v>
      </c>
      <c r="AU1" s="19" t="s">
        <v>72</v>
      </c>
      <c r="AV1" s="19" t="s">
        <v>73</v>
      </c>
      <c r="AW1" s="19" t="s">
        <v>74</v>
      </c>
    </row>
    <row r="2" spans="1:54" x14ac:dyDescent="0.25">
      <c r="B2" t="s">
        <v>75</v>
      </c>
      <c r="E2" s="8">
        <v>58.538888888888891</v>
      </c>
      <c r="F2" s="8">
        <v>16.121111111111112</v>
      </c>
      <c r="G2" s="8">
        <v>7.1633333333333331</v>
      </c>
      <c r="H2" s="8">
        <v>4.6255555555555548</v>
      </c>
      <c r="I2" s="8">
        <v>1.3800000000000001</v>
      </c>
      <c r="J2" s="8">
        <v>7.0588888888888892</v>
      </c>
      <c r="K2" s="8">
        <v>2.8622222222222229</v>
      </c>
      <c r="L2" s="8" t="e">
        <v>#DIV/0!</v>
      </c>
      <c r="M2" s="8">
        <v>0.75777777777777777</v>
      </c>
      <c r="N2" s="8">
        <v>0.25777777777777777</v>
      </c>
      <c r="O2" s="8">
        <v>0.35222222222222227</v>
      </c>
      <c r="P2" s="8">
        <v>0.49666666666666665</v>
      </c>
      <c r="Q2" s="8">
        <v>1.2724855472224563</v>
      </c>
      <c r="R2" s="8"/>
      <c r="S2" s="8">
        <v>759.93333333333328</v>
      </c>
      <c r="T2" s="8">
        <v>186.22499999999999</v>
      </c>
      <c r="U2" s="8" t="e">
        <v>#DIV/0!</v>
      </c>
      <c r="V2" s="8" t="e">
        <v>#DIV/0!</v>
      </c>
      <c r="W2" s="8" t="e">
        <v>#DIV/0!</v>
      </c>
      <c r="X2" s="8" t="e">
        <v>#DIV/0!</v>
      </c>
      <c r="Y2" s="8" t="e">
        <v>#DIV/0!</v>
      </c>
      <c r="Z2" s="8" t="e">
        <v>#DIV/0!</v>
      </c>
      <c r="AA2" s="8" t="e">
        <v>#DIV/0!</v>
      </c>
      <c r="AB2" s="8" t="e">
        <v>#DIV/0!</v>
      </c>
      <c r="AC2" s="8" t="e">
        <v>#DIV/0!</v>
      </c>
      <c r="AD2" s="8">
        <v>78.75</v>
      </c>
      <c r="AE2" s="8" t="e">
        <v>#DIV/0!</v>
      </c>
      <c r="AF2" s="8">
        <v>57.144444444444439</v>
      </c>
      <c r="AG2" s="8">
        <v>87.474999999999994</v>
      </c>
      <c r="AH2" s="8">
        <v>6.8666666666666671</v>
      </c>
      <c r="AI2" s="8" t="e">
        <v>#DIV/0!</v>
      </c>
      <c r="AJ2" s="8" t="e">
        <v>#DIV/0!</v>
      </c>
      <c r="AK2" s="8">
        <v>12.75</v>
      </c>
      <c r="AL2" s="8">
        <v>8.9</v>
      </c>
      <c r="AM2" s="8" t="e">
        <v>#DIV/0!</v>
      </c>
      <c r="AN2" s="8">
        <v>714.66666666666663</v>
      </c>
      <c r="AO2" s="8" t="e">
        <v>#DIV/0!</v>
      </c>
      <c r="AP2" s="8" t="e">
        <v>#DIV/0!</v>
      </c>
      <c r="AQ2" s="8">
        <v>22.05</v>
      </c>
      <c r="AR2" s="8" t="e">
        <v>#DIV/0!</v>
      </c>
      <c r="AS2" s="8">
        <v>3.6999999999999997</v>
      </c>
      <c r="AT2" s="8" t="e">
        <v>#DIV/0!</v>
      </c>
      <c r="AU2" s="8">
        <v>53.86666666666666</v>
      </c>
      <c r="AV2" s="8" t="e">
        <v>#DIV/0!</v>
      </c>
      <c r="AW2" s="8">
        <v>322.18888888888893</v>
      </c>
    </row>
    <row r="3" spans="1:54" x14ac:dyDescent="0.25">
      <c r="B3" t="s">
        <v>76</v>
      </c>
      <c r="E3" s="8">
        <v>92.64</v>
      </c>
      <c r="F3" s="8">
        <v>2.645</v>
      </c>
      <c r="G3" s="8">
        <v>0.92142857142857137</v>
      </c>
      <c r="H3" s="8">
        <v>0.43857142857142861</v>
      </c>
      <c r="I3" s="8">
        <v>0.30769230769230765</v>
      </c>
      <c r="J3" s="8">
        <v>0.63928571428571423</v>
      </c>
      <c r="K3" s="8">
        <v>1.8771428571428572</v>
      </c>
      <c r="L3" s="8" t="e">
        <v>#DIV/0!</v>
      </c>
      <c r="M3" s="8">
        <v>9.4285714285714306E-2</v>
      </c>
      <c r="N3" s="8">
        <v>9.3846153846153843E-2</v>
      </c>
      <c r="O3" s="8">
        <v>3.5714285714285712E-2</v>
      </c>
      <c r="P3" s="8">
        <v>0.31285714285714283</v>
      </c>
      <c r="Q3" s="8">
        <v>0.42490807971862538</v>
      </c>
      <c r="R3" s="8"/>
      <c r="S3" s="8">
        <v>271.12857142857143</v>
      </c>
      <c r="T3" s="8">
        <v>83.928571428571445</v>
      </c>
      <c r="U3" s="8">
        <v>10</v>
      </c>
      <c r="V3" s="8">
        <v>0.12416666666666666</v>
      </c>
      <c r="W3" s="8">
        <v>4.3869230769230763</v>
      </c>
      <c r="X3" s="8">
        <v>2.3099999999999996</v>
      </c>
      <c r="Y3" s="8">
        <v>1.1369230769230769</v>
      </c>
      <c r="Z3" s="8">
        <v>3.4153846153846148</v>
      </c>
      <c r="AA3" s="8">
        <v>5.5269230769230768</v>
      </c>
      <c r="AB3" s="8">
        <v>2.9230769230769225</v>
      </c>
      <c r="AC3" s="8">
        <v>0.76615384615384619</v>
      </c>
      <c r="AD3" s="8">
        <v>45.042857142857137</v>
      </c>
      <c r="AE3" s="8">
        <v>0.27307692307692305</v>
      </c>
      <c r="AF3" s="8">
        <v>38.014285714285712</v>
      </c>
      <c r="AG3" s="8">
        <v>39.164285714285718</v>
      </c>
      <c r="AH3" s="8">
        <v>3.6</v>
      </c>
      <c r="AI3" s="8">
        <v>10.422307692307694</v>
      </c>
      <c r="AJ3" s="8">
        <v>29.699999999999996</v>
      </c>
      <c r="AK3" s="8" t="e">
        <v>#DIV/0!</v>
      </c>
      <c r="AL3" s="8">
        <v>6.9007692307692299</v>
      </c>
      <c r="AM3" s="8">
        <v>1.3076923076923077</v>
      </c>
      <c r="AN3" s="8">
        <v>103.59285714285714</v>
      </c>
      <c r="AO3" s="8">
        <v>1.5384615384615381</v>
      </c>
      <c r="AP3" s="8">
        <v>0.72846153846153849</v>
      </c>
      <c r="AQ3" s="8">
        <v>4.29</v>
      </c>
      <c r="AR3" s="8">
        <v>0.30461538461538457</v>
      </c>
      <c r="AS3" s="8">
        <v>1.5064285714285715</v>
      </c>
      <c r="AT3" s="8">
        <v>8.625</v>
      </c>
      <c r="AU3" s="8">
        <v>20.671428571428571</v>
      </c>
      <c r="AV3" s="8">
        <v>2.1069230769230769</v>
      </c>
      <c r="AW3" s="8">
        <v>112.95</v>
      </c>
    </row>
    <row r="4" spans="1:54" x14ac:dyDescent="0.25">
      <c r="B4" t="s">
        <v>77</v>
      </c>
      <c r="E4" s="8">
        <v>98.530666666666647</v>
      </c>
      <c r="F4" s="8">
        <v>0.58333333333333337</v>
      </c>
      <c r="G4" s="8">
        <v>0.17733333333333337</v>
      </c>
      <c r="H4" s="8">
        <v>0.02</v>
      </c>
      <c r="I4" s="8">
        <v>1.5384615384615387E-2</v>
      </c>
      <c r="J4" s="8">
        <v>0.12800000000000003</v>
      </c>
      <c r="K4" s="8">
        <v>0.34333333333333338</v>
      </c>
      <c r="L4" s="8" t="e">
        <v>#DIV/0!</v>
      </c>
      <c r="M4" s="8">
        <v>2.466666666666667E-2</v>
      </c>
      <c r="N4" s="8">
        <v>0.01</v>
      </c>
      <c r="O4" s="8">
        <v>3.8333333333333337E-2</v>
      </c>
      <c r="P4" s="8">
        <v>0.27466666666666667</v>
      </c>
      <c r="Q4" s="8">
        <v>0.29378656873377085</v>
      </c>
      <c r="R4" s="8"/>
      <c r="S4" s="8">
        <v>24.333333333333332</v>
      </c>
      <c r="T4" s="8">
        <v>6.2866666666666653</v>
      </c>
      <c r="U4" s="8">
        <v>10</v>
      </c>
      <c r="V4" s="8">
        <v>2.3636363636363636E-2</v>
      </c>
      <c r="W4" s="8">
        <v>0.83000000000000007</v>
      </c>
      <c r="X4" s="8">
        <v>0.54666666666666663</v>
      </c>
      <c r="Y4" s="8">
        <v>0.16733333333333336</v>
      </c>
      <c r="Z4" s="8">
        <v>0.5714285714285714</v>
      </c>
      <c r="AA4" s="8">
        <v>0.94666666666666677</v>
      </c>
      <c r="AB4" s="8">
        <v>1.5666666666666667</v>
      </c>
      <c r="AC4" s="8">
        <v>0.16666666666666666</v>
      </c>
      <c r="AD4" s="8">
        <v>3.3266666666666671</v>
      </c>
      <c r="AE4" s="8">
        <v>7.4666666666666673E-2</v>
      </c>
      <c r="AF4" s="8">
        <v>3.3066666666666658</v>
      </c>
      <c r="AG4" s="8">
        <v>3.8</v>
      </c>
      <c r="AH4" s="8" t="e">
        <v>#DIV/0!</v>
      </c>
      <c r="AI4" s="8">
        <v>0.8713333333333334</v>
      </c>
      <c r="AJ4" s="8">
        <v>4.8199999999999985</v>
      </c>
      <c r="AK4" s="8" t="e">
        <v>#DIV/0!</v>
      </c>
      <c r="AL4" s="8">
        <v>0.81266666666666676</v>
      </c>
      <c r="AM4" s="8">
        <v>1</v>
      </c>
      <c r="AN4" s="8">
        <v>7.1066666666666665</v>
      </c>
      <c r="AO4" s="8">
        <v>0.75333333333333341</v>
      </c>
      <c r="AP4" s="8">
        <v>0.13133333333333339</v>
      </c>
      <c r="AQ4" s="8">
        <v>1.5153333333333336</v>
      </c>
      <c r="AR4" s="8">
        <v>7.7333333333333337E-2</v>
      </c>
      <c r="AS4" s="8">
        <v>0.25400000000000006</v>
      </c>
      <c r="AT4" s="8">
        <v>5.5</v>
      </c>
      <c r="AU4" s="8">
        <v>5.0933333333333337</v>
      </c>
      <c r="AV4" s="8">
        <v>0.56733333333333336</v>
      </c>
      <c r="AW4" s="8">
        <v>64.400000000000006</v>
      </c>
    </row>
    <row r="5" spans="1:54" x14ac:dyDescent="0.25">
      <c r="B5" t="s">
        <v>78</v>
      </c>
      <c r="E5" s="8">
        <f>E3-E4</f>
        <v>-5.8906666666666467</v>
      </c>
      <c r="F5" s="8">
        <f t="shared" ref="F5:AW5" si="0">F3-F4</f>
        <v>2.0616666666666665</v>
      </c>
      <c r="G5" s="8">
        <f t="shared" si="0"/>
        <v>0.74409523809523803</v>
      </c>
      <c r="H5" s="8">
        <f t="shared" si="0"/>
        <v>0.41857142857142859</v>
      </c>
      <c r="I5" s="8">
        <f t="shared" si="0"/>
        <v>0.29230769230769227</v>
      </c>
      <c r="J5" s="8">
        <f t="shared" si="0"/>
        <v>0.51128571428571423</v>
      </c>
      <c r="K5" s="8">
        <f t="shared" si="0"/>
        <v>1.533809523809524</v>
      </c>
      <c r="L5" s="8" t="e">
        <f t="shared" si="0"/>
        <v>#DIV/0!</v>
      </c>
      <c r="M5" s="8">
        <f t="shared" si="0"/>
        <v>6.9619047619047636E-2</v>
      </c>
      <c r="N5" s="8">
        <f t="shared" si="0"/>
        <v>8.3846153846153848E-2</v>
      </c>
      <c r="O5" s="8">
        <f t="shared" si="0"/>
        <v>-2.619047619047625E-3</v>
      </c>
      <c r="P5" s="8">
        <f t="shared" si="0"/>
        <v>3.8190476190476164E-2</v>
      </c>
      <c r="Q5" s="8">
        <f t="shared" si="0"/>
        <v>0.13112151098485453</v>
      </c>
      <c r="R5" s="8"/>
      <c r="S5" s="8">
        <f t="shared" si="0"/>
        <v>246.79523809523809</v>
      </c>
      <c r="T5" s="8">
        <f t="shared" si="0"/>
        <v>77.641904761904783</v>
      </c>
      <c r="U5" s="8">
        <f t="shared" si="0"/>
        <v>0</v>
      </c>
      <c r="V5" s="8">
        <f t="shared" si="0"/>
        <v>0.10053030303030303</v>
      </c>
      <c r="W5" s="8">
        <f t="shared" si="0"/>
        <v>3.5569230769230762</v>
      </c>
      <c r="X5" s="8">
        <f t="shared" si="0"/>
        <v>1.763333333333333</v>
      </c>
      <c r="Y5" s="8">
        <f t="shared" si="0"/>
        <v>0.96958974358974359</v>
      </c>
      <c r="Z5" s="8">
        <f t="shared" si="0"/>
        <v>2.8439560439560436</v>
      </c>
      <c r="AA5" s="8">
        <f t="shared" si="0"/>
        <v>4.5802564102564105</v>
      </c>
      <c r="AB5" s="8">
        <f t="shared" si="0"/>
        <v>1.3564102564102558</v>
      </c>
      <c r="AC5" s="8">
        <f t="shared" si="0"/>
        <v>0.59948717948717956</v>
      </c>
      <c r="AD5" s="8">
        <f t="shared" si="0"/>
        <v>41.716190476190469</v>
      </c>
      <c r="AE5" s="8">
        <f t="shared" si="0"/>
        <v>0.19841025641025639</v>
      </c>
      <c r="AF5" s="8">
        <f t="shared" si="0"/>
        <v>34.707619047619048</v>
      </c>
      <c r="AG5" s="8">
        <f t="shared" si="0"/>
        <v>35.364285714285721</v>
      </c>
      <c r="AH5" s="8" t="e">
        <f t="shared" si="0"/>
        <v>#DIV/0!</v>
      </c>
      <c r="AI5" s="8">
        <f t="shared" si="0"/>
        <v>9.5509743589743596</v>
      </c>
      <c r="AJ5" s="8">
        <f t="shared" si="0"/>
        <v>24.879999999999995</v>
      </c>
      <c r="AK5" s="8" t="e">
        <f t="shared" si="0"/>
        <v>#DIV/0!</v>
      </c>
      <c r="AL5" s="8">
        <f t="shared" si="0"/>
        <v>6.088102564102563</v>
      </c>
      <c r="AM5" s="8">
        <f t="shared" si="0"/>
        <v>0.30769230769230771</v>
      </c>
      <c r="AN5" s="8">
        <f t="shared" si="0"/>
        <v>96.486190476190473</v>
      </c>
      <c r="AO5" s="8">
        <f t="shared" si="0"/>
        <v>0.78512820512820469</v>
      </c>
      <c r="AP5" s="8">
        <f t="shared" si="0"/>
        <v>0.59712820512820508</v>
      </c>
      <c r="AQ5" s="8">
        <f t="shared" si="0"/>
        <v>2.7746666666666666</v>
      </c>
      <c r="AR5" s="8">
        <f t="shared" si="0"/>
        <v>0.22728205128205123</v>
      </c>
      <c r="AS5" s="8">
        <f t="shared" si="0"/>
        <v>1.2524285714285714</v>
      </c>
      <c r="AT5" s="8">
        <f t="shared" si="0"/>
        <v>3.125</v>
      </c>
      <c r="AU5" s="8">
        <f t="shared" si="0"/>
        <v>15.578095238095237</v>
      </c>
      <c r="AV5" s="8">
        <f t="shared" si="0"/>
        <v>1.5395897435897434</v>
      </c>
      <c r="AW5" s="8">
        <f t="shared" si="0"/>
        <v>48.55</v>
      </c>
    </row>
    <row r="6" spans="1:54" x14ac:dyDescent="0.25">
      <c r="B6" s="20" t="s">
        <v>79</v>
      </c>
      <c r="C6" s="21"/>
      <c r="D6" s="20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1:54" x14ac:dyDescent="0.25">
      <c r="B7" s="22" t="s">
        <v>80</v>
      </c>
      <c r="C7" s="23"/>
      <c r="D7" s="22"/>
    </row>
    <row r="8" spans="1:54" x14ac:dyDescent="0.25">
      <c r="B8" t="s">
        <v>81</v>
      </c>
      <c r="E8" s="8">
        <f>ABS(E5)+E2</f>
        <v>64.429555555555538</v>
      </c>
      <c r="F8" s="8">
        <f t="shared" ref="F8:AW8" si="1">ABS(F5)+F2</f>
        <v>18.18277777777778</v>
      </c>
      <c r="G8" s="8">
        <f t="shared" si="1"/>
        <v>7.9074285714285715</v>
      </c>
      <c r="H8" s="8">
        <f t="shared" si="1"/>
        <v>5.0441269841269829</v>
      </c>
      <c r="I8" s="8">
        <f t="shared" si="1"/>
        <v>1.6723076923076925</v>
      </c>
      <c r="J8" s="8">
        <f t="shared" si="1"/>
        <v>7.5701746031746033</v>
      </c>
      <c r="K8" s="8">
        <f t="shared" si="1"/>
        <v>4.3960317460317473</v>
      </c>
      <c r="L8" s="8" t="e">
        <f t="shared" si="1"/>
        <v>#DIV/0!</v>
      </c>
      <c r="M8" s="8">
        <f t="shared" si="1"/>
        <v>0.82739682539682535</v>
      </c>
      <c r="N8" s="8">
        <f t="shared" si="1"/>
        <v>0.34162393162393162</v>
      </c>
      <c r="O8" s="8">
        <f t="shared" si="1"/>
        <v>0.3548412698412699</v>
      </c>
      <c r="P8" s="8">
        <f t="shared" si="1"/>
        <v>0.53485714285714281</v>
      </c>
      <c r="Q8" s="8">
        <f t="shared" si="1"/>
        <v>1.4036070582073108</v>
      </c>
      <c r="R8" s="8"/>
      <c r="S8" s="8">
        <f t="shared" si="1"/>
        <v>1006.7285714285714</v>
      </c>
      <c r="T8" s="8">
        <f t="shared" si="1"/>
        <v>263.86690476190478</v>
      </c>
      <c r="U8" s="8" t="e">
        <f t="shared" si="1"/>
        <v>#DIV/0!</v>
      </c>
      <c r="V8" s="8" t="e">
        <f t="shared" si="1"/>
        <v>#DIV/0!</v>
      </c>
      <c r="W8" s="8" t="e">
        <f t="shared" si="1"/>
        <v>#DIV/0!</v>
      </c>
      <c r="X8" s="8" t="e">
        <f t="shared" si="1"/>
        <v>#DIV/0!</v>
      </c>
      <c r="Y8" s="8" t="e">
        <f t="shared" si="1"/>
        <v>#DIV/0!</v>
      </c>
      <c r="Z8" s="8" t="e">
        <f t="shared" si="1"/>
        <v>#DIV/0!</v>
      </c>
      <c r="AA8" s="8" t="e">
        <f t="shared" si="1"/>
        <v>#DIV/0!</v>
      </c>
      <c r="AB8" s="8" t="e">
        <f t="shared" si="1"/>
        <v>#DIV/0!</v>
      </c>
      <c r="AC8" s="8" t="e">
        <f t="shared" si="1"/>
        <v>#DIV/0!</v>
      </c>
      <c r="AD8" s="8">
        <f t="shared" si="1"/>
        <v>120.46619047619046</v>
      </c>
      <c r="AE8" s="8" t="e">
        <f t="shared" si="1"/>
        <v>#DIV/0!</v>
      </c>
      <c r="AF8" s="8">
        <f t="shared" si="1"/>
        <v>91.852063492063479</v>
      </c>
      <c r="AG8" s="8">
        <f t="shared" si="1"/>
        <v>122.83928571428572</v>
      </c>
      <c r="AH8" s="8" t="e">
        <f t="shared" si="1"/>
        <v>#DIV/0!</v>
      </c>
      <c r="AI8" s="8" t="e">
        <f t="shared" si="1"/>
        <v>#DIV/0!</v>
      </c>
      <c r="AJ8" s="8" t="e">
        <f t="shared" si="1"/>
        <v>#DIV/0!</v>
      </c>
      <c r="AK8" s="8" t="e">
        <f t="shared" si="1"/>
        <v>#DIV/0!</v>
      </c>
      <c r="AL8" s="8">
        <f t="shared" si="1"/>
        <v>14.988102564102563</v>
      </c>
      <c r="AM8" s="8" t="e">
        <f t="shared" si="1"/>
        <v>#DIV/0!</v>
      </c>
      <c r="AN8" s="8">
        <f t="shared" si="1"/>
        <v>811.1528571428571</v>
      </c>
      <c r="AO8" s="8" t="e">
        <f t="shared" si="1"/>
        <v>#DIV/0!</v>
      </c>
      <c r="AP8" s="8" t="e">
        <f t="shared" si="1"/>
        <v>#DIV/0!</v>
      </c>
      <c r="AQ8" s="8">
        <f t="shared" si="1"/>
        <v>24.824666666666666</v>
      </c>
      <c r="AR8" s="8" t="e">
        <f t="shared" si="1"/>
        <v>#DIV/0!</v>
      </c>
      <c r="AS8" s="8">
        <f t="shared" si="1"/>
        <v>4.9524285714285714</v>
      </c>
      <c r="AT8" s="8" t="e">
        <f t="shared" si="1"/>
        <v>#DIV/0!</v>
      </c>
      <c r="AU8" s="8">
        <f t="shared" si="1"/>
        <v>69.44476190476189</v>
      </c>
      <c r="AV8" s="8" t="e">
        <f t="shared" si="1"/>
        <v>#DIV/0!</v>
      </c>
      <c r="AW8" s="8">
        <f t="shared" si="1"/>
        <v>370.73888888888894</v>
      </c>
    </row>
    <row r="9" spans="1:54" x14ac:dyDescent="0.25">
      <c r="B9" t="s">
        <v>82</v>
      </c>
      <c r="E9" s="8">
        <f>ABS(E5)/E8</f>
        <v>9.1428019576936456E-2</v>
      </c>
      <c r="F9" s="8">
        <f t="shared" ref="F9:AW9" si="2">ABS(F5)/F8</f>
        <v>0.11338568242231659</v>
      </c>
      <c r="G9" s="8">
        <f t="shared" si="2"/>
        <v>9.4100785277255863E-2</v>
      </c>
      <c r="H9" s="8">
        <f t="shared" si="2"/>
        <v>8.2981937189250454E-2</v>
      </c>
      <c r="I9" s="8">
        <f t="shared" si="2"/>
        <v>0.17479300827966876</v>
      </c>
      <c r="J9" s="8">
        <f t="shared" si="2"/>
        <v>6.7539487671962439E-2</v>
      </c>
      <c r="K9" s="8">
        <f t="shared" si="2"/>
        <v>0.34890774508033934</v>
      </c>
      <c r="L9" s="8" t="e">
        <f t="shared" si="2"/>
        <v>#DIV/0!</v>
      </c>
      <c r="M9" s="8">
        <f t="shared" si="2"/>
        <v>8.4142270651881998E-2</v>
      </c>
      <c r="N9" s="8">
        <f t="shared" si="2"/>
        <v>0.24543407555666752</v>
      </c>
      <c r="O9" s="8">
        <f t="shared" si="2"/>
        <v>7.3808991277119372E-3</v>
      </c>
      <c r="P9" s="8">
        <f t="shared" si="2"/>
        <v>7.1403133903133853E-2</v>
      </c>
      <c r="Q9" s="8">
        <f t="shared" si="2"/>
        <v>9.3417534642724814E-2</v>
      </c>
      <c r="R9" s="8" t="e">
        <f t="shared" si="2"/>
        <v>#DIV/0!</v>
      </c>
      <c r="S9" s="8">
        <f t="shared" si="2"/>
        <v>0.24514575735645397</v>
      </c>
      <c r="T9" s="8">
        <f t="shared" si="2"/>
        <v>0.29424646805162419</v>
      </c>
      <c r="U9" s="8" t="e">
        <f t="shared" si="2"/>
        <v>#DIV/0!</v>
      </c>
      <c r="V9" s="8" t="e">
        <f t="shared" si="2"/>
        <v>#DIV/0!</v>
      </c>
      <c r="W9" s="8" t="e">
        <f t="shared" si="2"/>
        <v>#DIV/0!</v>
      </c>
      <c r="X9" s="8" t="e">
        <f t="shared" si="2"/>
        <v>#DIV/0!</v>
      </c>
      <c r="Y9" s="8" t="e">
        <f t="shared" si="2"/>
        <v>#DIV/0!</v>
      </c>
      <c r="Z9" s="8" t="e">
        <f t="shared" si="2"/>
        <v>#DIV/0!</v>
      </c>
      <c r="AA9" s="8" t="e">
        <f t="shared" si="2"/>
        <v>#DIV/0!</v>
      </c>
      <c r="AB9" s="8" t="e">
        <f t="shared" si="2"/>
        <v>#DIV/0!</v>
      </c>
      <c r="AC9" s="8" t="e">
        <f t="shared" si="2"/>
        <v>#DIV/0!</v>
      </c>
      <c r="AD9" s="8">
        <f t="shared" si="2"/>
        <v>0.3462896129718277</v>
      </c>
      <c r="AE9" s="8" t="e">
        <f t="shared" si="2"/>
        <v>#DIV/0!</v>
      </c>
      <c r="AF9" s="8">
        <f t="shared" si="2"/>
        <v>0.3778643367181182</v>
      </c>
      <c r="AG9" s="8">
        <f t="shared" si="2"/>
        <v>0.28789068178514321</v>
      </c>
      <c r="AH9" s="8" t="e">
        <f t="shared" si="2"/>
        <v>#DIV/0!</v>
      </c>
      <c r="AI9" s="8" t="e">
        <f t="shared" si="2"/>
        <v>#DIV/0!</v>
      </c>
      <c r="AJ9" s="8" t="e">
        <f t="shared" si="2"/>
        <v>#DIV/0!</v>
      </c>
      <c r="AK9" s="8" t="e">
        <f t="shared" si="2"/>
        <v>#DIV/0!</v>
      </c>
      <c r="AL9" s="8">
        <f t="shared" si="2"/>
        <v>0.40619568341385298</v>
      </c>
      <c r="AM9" s="8" t="e">
        <f t="shared" si="2"/>
        <v>#DIV/0!</v>
      </c>
      <c r="AN9" s="8">
        <f t="shared" si="2"/>
        <v>0.11894945524330157</v>
      </c>
      <c r="AO9" s="8" t="e">
        <f t="shared" si="2"/>
        <v>#DIV/0!</v>
      </c>
      <c r="AP9" s="8" t="e">
        <f t="shared" si="2"/>
        <v>#DIV/0!</v>
      </c>
      <c r="AQ9" s="8">
        <f t="shared" si="2"/>
        <v>0.11177055079625105</v>
      </c>
      <c r="AR9" s="8" t="e">
        <f t="shared" si="2"/>
        <v>#DIV/0!</v>
      </c>
      <c r="AS9" s="8">
        <f t="shared" si="2"/>
        <v>0.25289179911731618</v>
      </c>
      <c r="AT9" s="8" t="e">
        <f t="shared" si="2"/>
        <v>#DIV/0!</v>
      </c>
      <c r="AU9" s="8">
        <f t="shared" si="2"/>
        <v>0.22432354594950427</v>
      </c>
      <c r="AV9" s="8" t="e">
        <f t="shared" si="2"/>
        <v>#DIV/0!</v>
      </c>
      <c r="AW9" s="8">
        <f t="shared" si="2"/>
        <v>0.13095470007342691</v>
      </c>
    </row>
    <row r="10" spans="1:54" x14ac:dyDescent="0.2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54" x14ac:dyDescent="0.25">
      <c r="B11" s="13" t="s">
        <v>83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24">
        <v>1.1165</v>
      </c>
      <c r="T11" s="24">
        <v>1.1713</v>
      </c>
      <c r="U11" s="24">
        <v>1.4615</v>
      </c>
      <c r="V11" s="24">
        <v>1.0602</v>
      </c>
      <c r="W11" s="24">
        <v>1.1476999999999999</v>
      </c>
      <c r="X11" s="24">
        <v>1.1435</v>
      </c>
      <c r="Y11" s="24">
        <v>1.1578999999999999</v>
      </c>
      <c r="Z11" s="24">
        <v>1.3442000000000001</v>
      </c>
      <c r="AA11" s="24">
        <v>1.1526000000000001</v>
      </c>
      <c r="AB11" s="24">
        <v>1.1793</v>
      </c>
      <c r="AC11" s="24">
        <v>1.1455</v>
      </c>
      <c r="AD11" s="24">
        <v>1.1728000000000001</v>
      </c>
      <c r="AE11" s="24">
        <v>1.1371</v>
      </c>
      <c r="AF11" s="24">
        <v>1.4305000000000001</v>
      </c>
      <c r="AG11" s="24">
        <v>1.1664000000000001</v>
      </c>
      <c r="AH11" s="24">
        <v>1.2725</v>
      </c>
      <c r="AI11" s="24">
        <v>1.1702999999999999</v>
      </c>
      <c r="AJ11" s="24">
        <v>1.0935999999999999</v>
      </c>
      <c r="AK11" s="24">
        <v>1.5338000000000001</v>
      </c>
      <c r="AL11" s="24">
        <v>1.1596</v>
      </c>
      <c r="AM11" s="24">
        <v>1.2696000000000001</v>
      </c>
      <c r="AN11" s="24">
        <v>1.1826000000000001</v>
      </c>
      <c r="AO11" s="24">
        <v>1.2211000000000001</v>
      </c>
      <c r="AP11" s="24">
        <v>1.151</v>
      </c>
      <c r="AQ11" s="24">
        <v>1.1378999999999999</v>
      </c>
      <c r="AR11" s="24">
        <v>1.1420999999999999</v>
      </c>
      <c r="AS11" s="24">
        <v>1.1344000000000001</v>
      </c>
      <c r="AT11" s="24">
        <v>1.7851999999999999</v>
      </c>
      <c r="AU11" s="24">
        <v>1.2699</v>
      </c>
      <c r="AV11" s="24">
        <v>1.1387</v>
      </c>
      <c r="AW11" s="24">
        <v>1.3508</v>
      </c>
    </row>
    <row r="12" spans="1:54" x14ac:dyDescent="0.25">
      <c r="B12" s="13"/>
      <c r="E12" s="19" t="s">
        <v>31</v>
      </c>
      <c r="F12" s="19" t="s">
        <v>32</v>
      </c>
      <c r="G12" s="19" t="s">
        <v>33</v>
      </c>
      <c r="H12" s="19" t="s">
        <v>34</v>
      </c>
      <c r="I12" s="19" t="s">
        <v>35</v>
      </c>
      <c r="J12" s="19" t="s">
        <v>36</v>
      </c>
      <c r="K12" s="19" t="s">
        <v>37</v>
      </c>
      <c r="L12" s="19" t="s">
        <v>38</v>
      </c>
      <c r="M12" s="19" t="s">
        <v>39</v>
      </c>
      <c r="N12" s="19" t="s">
        <v>40</v>
      </c>
      <c r="O12" s="19" t="s">
        <v>41</v>
      </c>
      <c r="P12" s="19" t="s">
        <v>42</v>
      </c>
      <c r="Q12" s="19" t="s">
        <v>43</v>
      </c>
      <c r="R12" s="19"/>
      <c r="S12" s="19" t="s">
        <v>84</v>
      </c>
      <c r="T12" s="19" t="s">
        <v>85</v>
      </c>
      <c r="U12" s="19" t="s">
        <v>38</v>
      </c>
      <c r="V12" s="19" t="s">
        <v>86</v>
      </c>
      <c r="W12" s="19" t="s">
        <v>87</v>
      </c>
      <c r="X12" s="19" t="s">
        <v>88</v>
      </c>
      <c r="Y12" s="19" t="s">
        <v>89</v>
      </c>
      <c r="Z12" s="19" t="s">
        <v>90</v>
      </c>
      <c r="AA12" s="19" t="s">
        <v>91</v>
      </c>
      <c r="AB12" s="19" t="s">
        <v>92</v>
      </c>
      <c r="AC12" s="19" t="s">
        <v>93</v>
      </c>
      <c r="AD12" s="19" t="s">
        <v>94</v>
      </c>
      <c r="AE12" s="19" t="s">
        <v>95</v>
      </c>
      <c r="AF12" s="19" t="s">
        <v>96</v>
      </c>
      <c r="AG12" s="19" t="s">
        <v>97</v>
      </c>
      <c r="AH12" s="19" t="s">
        <v>98</v>
      </c>
      <c r="AI12" s="19" t="s">
        <v>99</v>
      </c>
      <c r="AJ12" s="19" t="s">
        <v>100</v>
      </c>
      <c r="AK12" s="19" t="s">
        <v>101</v>
      </c>
      <c r="AL12" s="19" t="s">
        <v>102</v>
      </c>
      <c r="AM12" s="19" t="s">
        <v>103</v>
      </c>
      <c r="AN12" s="19" t="s">
        <v>104</v>
      </c>
      <c r="AO12" s="19" t="s">
        <v>105</v>
      </c>
      <c r="AP12" s="19" t="s">
        <v>106</v>
      </c>
      <c r="AQ12" s="19" t="s">
        <v>107</v>
      </c>
      <c r="AR12" s="19" t="s">
        <v>108</v>
      </c>
      <c r="AS12" s="19" t="s">
        <v>109</v>
      </c>
      <c r="AT12" s="19" t="s">
        <v>110</v>
      </c>
      <c r="AU12" s="19" t="s">
        <v>111</v>
      </c>
      <c r="AV12" s="19" t="s">
        <v>112</v>
      </c>
      <c r="AW12" s="19" t="s">
        <v>113</v>
      </c>
      <c r="AY12" s="19" t="s">
        <v>132</v>
      </c>
      <c r="AZ12" s="19" t="s">
        <v>192</v>
      </c>
      <c r="BA12" s="13" t="s">
        <v>354</v>
      </c>
      <c r="BB12" s="19" t="s">
        <v>352</v>
      </c>
    </row>
    <row r="13" spans="1:54" x14ac:dyDescent="0.25">
      <c r="B13" t="s">
        <v>75</v>
      </c>
      <c r="E13" s="8">
        <v>58.538888888888891</v>
      </c>
      <c r="F13" s="8">
        <v>16.121111111111112</v>
      </c>
      <c r="G13" s="8">
        <v>7.1633333333333331</v>
      </c>
      <c r="H13" s="8">
        <v>4.6255555555555548</v>
      </c>
      <c r="I13" s="8">
        <v>1.3800000000000001</v>
      </c>
      <c r="J13" s="8">
        <v>7.0588888888888892</v>
      </c>
      <c r="K13" s="8">
        <v>2.8622222222222229</v>
      </c>
      <c r="L13" s="8" t="e">
        <v>#DIV/0!</v>
      </c>
      <c r="M13" s="8">
        <v>0.75777777777777777</v>
      </c>
      <c r="N13" s="8">
        <v>0.25777777777777777</v>
      </c>
      <c r="O13" s="8">
        <v>0.35222222222222227</v>
      </c>
      <c r="P13" s="8">
        <v>0.49666666666666665</v>
      </c>
      <c r="Q13" s="8">
        <v>1.2724855472224563</v>
      </c>
      <c r="R13" s="8"/>
      <c r="S13" s="9">
        <f t="shared" ref="S13:AV15" si="3">S$11*S2/10000</f>
        <v>8.484655666666667E-2</v>
      </c>
      <c r="T13" s="9">
        <f t="shared" si="3"/>
        <v>2.1812534249999998E-2</v>
      </c>
      <c r="U13" s="9" t="e">
        <f t="shared" si="3"/>
        <v>#DIV/0!</v>
      </c>
      <c r="V13" s="9" t="e">
        <f t="shared" si="3"/>
        <v>#DIV/0!</v>
      </c>
      <c r="W13" s="9" t="e">
        <f t="shared" si="3"/>
        <v>#DIV/0!</v>
      </c>
      <c r="X13" s="9" t="e">
        <f t="shared" si="3"/>
        <v>#DIV/0!</v>
      </c>
      <c r="Y13" s="9" t="e">
        <f t="shared" si="3"/>
        <v>#DIV/0!</v>
      </c>
      <c r="Z13" s="9" t="e">
        <f t="shared" si="3"/>
        <v>#DIV/0!</v>
      </c>
      <c r="AA13" s="9" t="e">
        <f t="shared" si="3"/>
        <v>#DIV/0!</v>
      </c>
      <c r="AB13" s="9" t="e">
        <f t="shared" si="3"/>
        <v>#DIV/0!</v>
      </c>
      <c r="AC13" s="9" t="e">
        <f t="shared" si="3"/>
        <v>#DIV/0!</v>
      </c>
      <c r="AD13" s="9">
        <f t="shared" si="3"/>
        <v>9.2358000000000006E-3</v>
      </c>
      <c r="AE13" s="9" t="e">
        <f t="shared" si="3"/>
        <v>#DIV/0!</v>
      </c>
      <c r="AF13" s="9">
        <f t="shared" si="3"/>
        <v>8.174512777777778E-3</v>
      </c>
      <c r="AG13" s="9">
        <f t="shared" si="3"/>
        <v>1.0203083999999999E-2</v>
      </c>
      <c r="AH13" s="9">
        <f t="shared" si="3"/>
        <v>8.7378333333333342E-4</v>
      </c>
      <c r="AI13" s="9" t="e">
        <f t="shared" si="3"/>
        <v>#DIV/0!</v>
      </c>
      <c r="AJ13" s="9" t="e">
        <f t="shared" si="3"/>
        <v>#DIV/0!</v>
      </c>
      <c r="AK13" s="9">
        <f t="shared" si="3"/>
        <v>1.9555950000000001E-3</v>
      </c>
      <c r="AL13" s="9">
        <f t="shared" si="3"/>
        <v>1.032044E-3</v>
      </c>
      <c r="AM13" s="9" t="e">
        <f t="shared" si="3"/>
        <v>#DIV/0!</v>
      </c>
      <c r="AN13" s="9">
        <f t="shared" si="3"/>
        <v>8.4516480000000005E-2</v>
      </c>
      <c r="AO13" s="9" t="e">
        <f t="shared" si="3"/>
        <v>#DIV/0!</v>
      </c>
      <c r="AP13" s="9" t="e">
        <f t="shared" si="3"/>
        <v>#DIV/0!</v>
      </c>
      <c r="AQ13" s="9">
        <f t="shared" si="3"/>
        <v>2.5090695000000002E-3</v>
      </c>
      <c r="AR13" s="9" t="e">
        <f t="shared" si="3"/>
        <v>#DIV/0!</v>
      </c>
      <c r="AS13" s="9">
        <f t="shared" si="3"/>
        <v>4.1972800000000002E-4</v>
      </c>
      <c r="AT13" s="9" t="e">
        <f t="shared" si="3"/>
        <v>#DIV/0!</v>
      </c>
      <c r="AU13" s="9">
        <f t="shared" si="3"/>
        <v>6.8405279999999994E-3</v>
      </c>
      <c r="AV13" s="9" t="e">
        <f t="shared" si="3"/>
        <v>#DIV/0!</v>
      </c>
      <c r="AW13" s="9">
        <f>AW$11*AW2/10000</f>
        <v>4.3521275111111118E-2</v>
      </c>
      <c r="AY13" s="9">
        <f>SUM(AD13,AL13,AG13,T13)</f>
        <v>4.2283462250000001E-2</v>
      </c>
      <c r="AZ13" s="9" t="e">
        <f>SUMIF((W13,X13,AC13,AE13,AP13,AU13,AV13),"&lt;&gt;#DIV/0!")</f>
        <v>#VALUE!</v>
      </c>
      <c r="BA13" s="9" t="e">
        <f>AI13+AA13+Y13</f>
        <v>#DIV/0!</v>
      </c>
      <c r="BB13" s="9" t="e">
        <f>SUM(AY13:BA13)</f>
        <v>#VALUE!</v>
      </c>
    </row>
    <row r="14" spans="1:54" x14ac:dyDescent="0.25">
      <c r="B14" t="s">
        <v>76</v>
      </c>
      <c r="E14" s="8">
        <v>92.64</v>
      </c>
      <c r="F14" s="8">
        <v>2.645</v>
      </c>
      <c r="G14" s="8">
        <v>0.92142857142857137</v>
      </c>
      <c r="H14" s="8">
        <v>0.43857142857142861</v>
      </c>
      <c r="I14" s="8">
        <v>0.30769230769230765</v>
      </c>
      <c r="J14" s="8">
        <v>0.63928571428571423</v>
      </c>
      <c r="K14" s="8">
        <v>1.8771428571428572</v>
      </c>
      <c r="L14" s="8" t="e">
        <v>#DIV/0!</v>
      </c>
      <c r="M14" s="8">
        <v>9.4285714285714306E-2</v>
      </c>
      <c r="N14" s="8">
        <v>9.3846153846153843E-2</v>
      </c>
      <c r="O14" s="8">
        <v>3.5714285714285712E-2</v>
      </c>
      <c r="P14" s="8">
        <v>0.31285714285714283</v>
      </c>
      <c r="Q14" s="8">
        <v>0.42490807971862538</v>
      </c>
      <c r="R14" s="8"/>
      <c r="S14" s="9">
        <f t="shared" si="3"/>
        <v>3.0271505000000001E-2</v>
      </c>
      <c r="T14" s="9">
        <f t="shared" si="3"/>
        <v>9.8305535714285734E-3</v>
      </c>
      <c r="U14" s="9">
        <f t="shared" si="3"/>
        <v>1.4615000000000001E-3</v>
      </c>
      <c r="V14" s="9">
        <f t="shared" si="3"/>
        <v>1.316415E-5</v>
      </c>
      <c r="W14" s="9">
        <f t="shared" si="3"/>
        <v>5.0348716153846137E-4</v>
      </c>
      <c r="X14" s="9">
        <f t="shared" si="3"/>
        <v>2.6414849999999992E-4</v>
      </c>
      <c r="Y14" s="9">
        <f t="shared" si="3"/>
        <v>1.3164432307692306E-4</v>
      </c>
      <c r="Z14" s="9">
        <f t="shared" si="3"/>
        <v>4.5909599999999993E-4</v>
      </c>
      <c r="AA14" s="9">
        <f t="shared" si="3"/>
        <v>6.3703315384615387E-4</v>
      </c>
      <c r="AB14" s="9">
        <f t="shared" si="3"/>
        <v>3.4471846153846146E-4</v>
      </c>
      <c r="AC14" s="9">
        <f t="shared" si="3"/>
        <v>8.7762923076923076E-5</v>
      </c>
      <c r="AD14" s="9">
        <f t="shared" si="3"/>
        <v>5.282626285714285E-3</v>
      </c>
      <c r="AE14" s="9">
        <f t="shared" si="3"/>
        <v>3.1051576923076916E-5</v>
      </c>
      <c r="AF14" s="9">
        <f t="shared" si="3"/>
        <v>5.4379435714285709E-3</v>
      </c>
      <c r="AG14" s="9">
        <f t="shared" si="3"/>
        <v>4.5681222857142864E-3</v>
      </c>
      <c r="AH14" s="9">
        <f t="shared" si="3"/>
        <v>4.5810000000000002E-4</v>
      </c>
      <c r="AI14" s="9">
        <f t="shared" si="3"/>
        <v>1.2197226692307692E-3</v>
      </c>
      <c r="AJ14" s="9">
        <f t="shared" si="3"/>
        <v>3.2479919999999995E-3</v>
      </c>
      <c r="AK14" s="9" t="e">
        <f t="shared" si="3"/>
        <v>#DIV/0!</v>
      </c>
      <c r="AL14" s="9">
        <f t="shared" si="3"/>
        <v>8.0021319999999999E-4</v>
      </c>
      <c r="AM14" s="9">
        <f t="shared" si="3"/>
        <v>1.6602461538461538E-4</v>
      </c>
      <c r="AN14" s="9">
        <f t="shared" si="3"/>
        <v>1.2250891285714285E-2</v>
      </c>
      <c r="AO14" s="9">
        <f t="shared" si="3"/>
        <v>1.8786153846153843E-4</v>
      </c>
      <c r="AP14" s="9">
        <f t="shared" si="3"/>
        <v>8.3845923076923079E-5</v>
      </c>
      <c r="AQ14" s="9">
        <f t="shared" si="3"/>
        <v>4.8815909999999993E-4</v>
      </c>
      <c r="AR14" s="9">
        <f t="shared" si="3"/>
        <v>3.4790123076923067E-5</v>
      </c>
      <c r="AS14" s="9">
        <f t="shared" si="3"/>
        <v>1.7088925714285716E-4</v>
      </c>
      <c r="AT14" s="9">
        <f t="shared" si="3"/>
        <v>1.539735E-3</v>
      </c>
      <c r="AU14" s="9">
        <f t="shared" si="3"/>
        <v>2.6250647142857142E-3</v>
      </c>
      <c r="AV14" s="9">
        <f t="shared" si="3"/>
        <v>2.3991533076923077E-4</v>
      </c>
      <c r="AW14" s="9">
        <f t="shared" ref="AW14:AW15" si="4">AW$11*AW3/10000</f>
        <v>1.5257285999999998E-2</v>
      </c>
      <c r="AY14" s="9">
        <f t="shared" ref="AY14:AY15" si="5">SUM(AD14,AL14,AG14,T14)</f>
        <v>2.0481515342857144E-2</v>
      </c>
      <c r="AZ14" s="9">
        <f>SUM(W14,X14,AC14,AE14,AP14,AU14,AV14)</f>
        <v>3.8352761296703295E-3</v>
      </c>
      <c r="BA14" s="9">
        <f t="shared" ref="BA14:BA15" si="6">AI14+AA14+Y14</f>
        <v>1.9884001461538464E-3</v>
      </c>
      <c r="BB14" s="9">
        <f t="shared" ref="BB14:BB15" si="7">SUM(AY14:BA14)</f>
        <v>2.630519161868132E-2</v>
      </c>
    </row>
    <row r="15" spans="1:54" x14ac:dyDescent="0.25">
      <c r="B15" t="s">
        <v>77</v>
      </c>
      <c r="E15" s="8">
        <v>98.530666666666647</v>
      </c>
      <c r="F15" s="8">
        <v>0.58333333333333337</v>
      </c>
      <c r="G15" s="8">
        <v>0.17733333333333337</v>
      </c>
      <c r="H15" s="8">
        <v>6.0000000000000012E-2</v>
      </c>
      <c r="I15" s="8">
        <v>1.5384615384615387E-2</v>
      </c>
      <c r="J15" s="8">
        <v>0.12800000000000003</v>
      </c>
      <c r="K15" s="8">
        <v>0.34333333333333338</v>
      </c>
      <c r="L15" s="8" t="e">
        <v>#DIV/0!</v>
      </c>
      <c r="M15" s="8">
        <v>2.466666666666667E-2</v>
      </c>
      <c r="N15" s="8">
        <v>0.01</v>
      </c>
      <c r="O15" s="8">
        <v>3.8333333333333337E-2</v>
      </c>
      <c r="P15" s="8">
        <v>0.27466666666666667</v>
      </c>
      <c r="Q15" s="8">
        <v>0.29378656873377085</v>
      </c>
      <c r="R15" s="8"/>
      <c r="S15" s="9">
        <f t="shared" si="3"/>
        <v>2.7168166666666667E-3</v>
      </c>
      <c r="T15" s="9">
        <f t="shared" si="3"/>
        <v>7.363572666666666E-4</v>
      </c>
      <c r="U15" s="9">
        <f t="shared" si="3"/>
        <v>1.4615000000000001E-3</v>
      </c>
      <c r="V15" s="9">
        <f t="shared" si="3"/>
        <v>2.5059272727272729E-6</v>
      </c>
      <c r="W15" s="9">
        <f t="shared" si="3"/>
        <v>9.5259100000000011E-5</v>
      </c>
      <c r="X15" s="9">
        <f t="shared" si="3"/>
        <v>6.2511333333333332E-5</v>
      </c>
      <c r="Y15" s="9">
        <f t="shared" si="3"/>
        <v>1.9375526666666668E-5</v>
      </c>
      <c r="Z15" s="9">
        <f t="shared" si="3"/>
        <v>7.681142857142857E-5</v>
      </c>
      <c r="AA15" s="9">
        <f t="shared" si="3"/>
        <v>1.0911280000000001E-4</v>
      </c>
      <c r="AB15" s="9">
        <f t="shared" si="3"/>
        <v>1.8475699999999999E-4</v>
      </c>
      <c r="AC15" s="9">
        <f t="shared" si="3"/>
        <v>1.9091666666666665E-5</v>
      </c>
      <c r="AD15" s="9">
        <f t="shared" si="3"/>
        <v>3.9015146666666672E-4</v>
      </c>
      <c r="AE15" s="9">
        <f t="shared" si="3"/>
        <v>8.4903466666666678E-6</v>
      </c>
      <c r="AF15" s="9">
        <f t="shared" si="3"/>
        <v>4.7301866666666655E-4</v>
      </c>
      <c r="AG15" s="9">
        <f t="shared" si="3"/>
        <v>4.43232E-4</v>
      </c>
      <c r="AH15" s="9" t="e">
        <f t="shared" si="3"/>
        <v>#DIV/0!</v>
      </c>
      <c r="AI15" s="9">
        <f t="shared" si="3"/>
        <v>1.0197213999999999E-4</v>
      </c>
      <c r="AJ15" s="9">
        <f t="shared" si="3"/>
        <v>5.2711519999999984E-4</v>
      </c>
      <c r="AK15" s="9" t="e">
        <f t="shared" si="3"/>
        <v>#DIV/0!</v>
      </c>
      <c r="AL15" s="9">
        <f t="shared" si="3"/>
        <v>9.4236826666666676E-5</v>
      </c>
      <c r="AM15" s="9">
        <f t="shared" si="3"/>
        <v>1.2696000000000002E-4</v>
      </c>
      <c r="AN15" s="9">
        <f t="shared" si="3"/>
        <v>8.4043439999999996E-4</v>
      </c>
      <c r="AO15" s="9">
        <f t="shared" si="3"/>
        <v>9.1989533333333351E-5</v>
      </c>
      <c r="AP15" s="9">
        <f t="shared" si="3"/>
        <v>1.5116466666666672E-5</v>
      </c>
      <c r="AQ15" s="9">
        <f t="shared" si="3"/>
        <v>1.7242978000000001E-4</v>
      </c>
      <c r="AR15" s="9">
        <f t="shared" si="3"/>
        <v>8.8322399999999993E-6</v>
      </c>
      <c r="AS15" s="9">
        <f t="shared" si="3"/>
        <v>2.8813760000000009E-5</v>
      </c>
      <c r="AT15" s="9">
        <f t="shared" si="3"/>
        <v>9.8185999999999998E-4</v>
      </c>
      <c r="AU15" s="9">
        <f t="shared" si="3"/>
        <v>6.4680240000000006E-4</v>
      </c>
      <c r="AV15" s="9">
        <f t="shared" si="3"/>
        <v>6.4602246666666668E-5</v>
      </c>
      <c r="AW15" s="9">
        <f t="shared" si="4"/>
        <v>8.6991520000000017E-3</v>
      </c>
      <c r="AY15" s="9">
        <f t="shared" si="5"/>
        <v>1.66397756E-3</v>
      </c>
      <c r="AZ15" s="9">
        <f>SUM(W15,X15,AC15,AE15,AP15,AU15,AV15)</f>
        <v>9.1187356000000004E-4</v>
      </c>
      <c r="BA15" s="9">
        <f t="shared" si="6"/>
        <v>2.3046046666666667E-4</v>
      </c>
      <c r="BB15" s="9">
        <f t="shared" si="7"/>
        <v>2.8063115866666668E-3</v>
      </c>
    </row>
    <row r="16" spans="1:54" x14ac:dyDescent="0.25">
      <c r="B16" t="s">
        <v>78</v>
      </c>
      <c r="E16" s="8">
        <f>E14-E15</f>
        <v>-5.8906666666666467</v>
      </c>
      <c r="F16" s="8">
        <f t="shared" ref="F16:Q16" si="8">F14-F15</f>
        <v>2.0616666666666665</v>
      </c>
      <c r="G16" s="8">
        <f t="shared" si="8"/>
        <v>0.74409523809523803</v>
      </c>
      <c r="H16" s="8">
        <f t="shared" si="8"/>
        <v>0.37857142857142861</v>
      </c>
      <c r="I16" s="8">
        <f t="shared" si="8"/>
        <v>0.29230769230769227</v>
      </c>
      <c r="J16" s="8">
        <f t="shared" si="8"/>
        <v>0.51128571428571423</v>
      </c>
      <c r="K16" s="8">
        <f t="shared" si="8"/>
        <v>1.533809523809524</v>
      </c>
      <c r="L16" s="8" t="e">
        <f t="shared" si="8"/>
        <v>#DIV/0!</v>
      </c>
      <c r="M16" s="8">
        <f t="shared" si="8"/>
        <v>6.9619047619047636E-2</v>
      </c>
      <c r="N16" s="8">
        <f t="shared" si="8"/>
        <v>8.3846153846153848E-2</v>
      </c>
      <c r="O16" s="8">
        <f t="shared" si="8"/>
        <v>-2.619047619047625E-3</v>
      </c>
      <c r="P16" s="8">
        <f t="shared" si="8"/>
        <v>3.8190476190476164E-2</v>
      </c>
      <c r="Q16" s="8">
        <f t="shared" si="8"/>
        <v>0.13112151098485453</v>
      </c>
      <c r="R16" s="8"/>
      <c r="S16" s="9">
        <f t="shared" ref="S16:AW16" si="9">S14-S15</f>
        <v>2.7554688333333334E-2</v>
      </c>
      <c r="T16" s="9">
        <f t="shared" si="9"/>
        <v>9.0941963047619073E-3</v>
      </c>
      <c r="U16" s="9">
        <f t="shared" si="9"/>
        <v>0</v>
      </c>
      <c r="V16" s="9">
        <f t="shared" si="9"/>
        <v>1.0658222727272727E-5</v>
      </c>
      <c r="W16" s="9">
        <f t="shared" si="9"/>
        <v>4.0822806153846135E-4</v>
      </c>
      <c r="X16" s="9">
        <f t="shared" si="9"/>
        <v>2.0163716666666659E-4</v>
      </c>
      <c r="Y16" s="9">
        <f t="shared" si="9"/>
        <v>1.1226879641025639E-4</v>
      </c>
      <c r="Z16" s="9">
        <f t="shared" si="9"/>
        <v>3.8228457142857133E-4</v>
      </c>
      <c r="AA16" s="9">
        <f t="shared" si="9"/>
        <v>5.2792035384615385E-4</v>
      </c>
      <c r="AB16" s="9">
        <f t="shared" si="9"/>
        <v>1.5996146153846147E-4</v>
      </c>
      <c r="AC16" s="9">
        <f t="shared" si="9"/>
        <v>6.8671256410256411E-5</v>
      </c>
      <c r="AD16" s="9">
        <f t="shared" si="9"/>
        <v>4.8924748190476187E-3</v>
      </c>
      <c r="AE16" s="9">
        <f t="shared" si="9"/>
        <v>2.2561230256410248E-5</v>
      </c>
      <c r="AF16" s="9">
        <f t="shared" si="9"/>
        <v>4.9649249047619042E-3</v>
      </c>
      <c r="AG16" s="9">
        <f t="shared" si="9"/>
        <v>4.1248902857142864E-3</v>
      </c>
      <c r="AH16" s="9" t="e">
        <f t="shared" si="9"/>
        <v>#DIV/0!</v>
      </c>
      <c r="AI16" s="9">
        <f t="shared" si="9"/>
        <v>1.1177505292307693E-3</v>
      </c>
      <c r="AJ16" s="9">
        <f t="shared" si="9"/>
        <v>2.7208767999999995E-3</v>
      </c>
      <c r="AK16" s="9" t="e">
        <f t="shared" si="9"/>
        <v>#DIV/0!</v>
      </c>
      <c r="AL16" s="9">
        <f t="shared" si="9"/>
        <v>7.059763733333333E-4</v>
      </c>
      <c r="AM16" s="9">
        <f t="shared" si="9"/>
        <v>3.9064615384615367E-5</v>
      </c>
      <c r="AN16" s="9">
        <f t="shared" si="9"/>
        <v>1.1410456885714286E-2</v>
      </c>
      <c r="AO16" s="9">
        <f t="shared" si="9"/>
        <v>9.5872005128205077E-5</v>
      </c>
      <c r="AP16" s="9">
        <f t="shared" si="9"/>
        <v>6.8729456410256403E-5</v>
      </c>
      <c r="AQ16" s="9">
        <f t="shared" si="9"/>
        <v>3.1572931999999991E-4</v>
      </c>
      <c r="AR16" s="9">
        <f t="shared" si="9"/>
        <v>2.5957883076923068E-5</v>
      </c>
      <c r="AS16" s="9">
        <f t="shared" si="9"/>
        <v>1.4207549714285715E-4</v>
      </c>
      <c r="AT16" s="9">
        <f t="shared" si="9"/>
        <v>5.5787499999999999E-4</v>
      </c>
      <c r="AU16" s="9">
        <f t="shared" si="9"/>
        <v>1.9782623142857144E-3</v>
      </c>
      <c r="AV16" s="9">
        <f t="shared" si="9"/>
        <v>1.753130841025641E-4</v>
      </c>
      <c r="AW16" s="9">
        <f t="shared" si="9"/>
        <v>6.5581339999999967E-3</v>
      </c>
    </row>
    <row r="17" spans="1:62" x14ac:dyDescent="0.25">
      <c r="B17" s="20" t="s">
        <v>79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1:62" x14ac:dyDescent="0.25">
      <c r="B18" s="22" t="s">
        <v>80</v>
      </c>
    </row>
    <row r="19" spans="1:62" x14ac:dyDescent="0.25">
      <c r="B19" t="s">
        <v>81</v>
      </c>
      <c r="E19" s="8">
        <f>ABS(E16)+E13</f>
        <v>64.429555555555538</v>
      </c>
      <c r="F19" s="8">
        <f t="shared" ref="F19:Q19" si="10">ABS(F16)+F13</f>
        <v>18.18277777777778</v>
      </c>
      <c r="G19" s="8">
        <f t="shared" si="10"/>
        <v>7.9074285714285715</v>
      </c>
      <c r="H19" s="8">
        <f t="shared" si="10"/>
        <v>5.0041269841269838</v>
      </c>
      <c r="I19" s="8">
        <f t="shared" si="10"/>
        <v>1.6723076923076925</v>
      </c>
      <c r="J19" s="8">
        <f t="shared" si="10"/>
        <v>7.5701746031746033</v>
      </c>
      <c r="K19" s="8">
        <f t="shared" si="10"/>
        <v>4.3960317460317473</v>
      </c>
      <c r="L19" s="8" t="e">
        <f t="shared" si="10"/>
        <v>#DIV/0!</v>
      </c>
      <c r="M19" s="8">
        <f t="shared" si="10"/>
        <v>0.82739682539682535</v>
      </c>
      <c r="N19" s="8">
        <f t="shared" si="10"/>
        <v>0.34162393162393162</v>
      </c>
      <c r="O19" s="8">
        <f t="shared" si="10"/>
        <v>0.3548412698412699</v>
      </c>
      <c r="P19" s="8">
        <f t="shared" si="10"/>
        <v>0.53485714285714281</v>
      </c>
      <c r="Q19" s="8">
        <f t="shared" si="10"/>
        <v>1.4036070582073108</v>
      </c>
      <c r="R19" s="8"/>
      <c r="S19" s="8">
        <f t="shared" ref="S19:AW19" si="11">ABS(S16)+S13</f>
        <v>0.11240124500000001</v>
      </c>
      <c r="T19" s="8">
        <f t="shared" si="11"/>
        <v>3.0906730554761903E-2</v>
      </c>
      <c r="U19" s="8" t="e">
        <f t="shared" si="11"/>
        <v>#DIV/0!</v>
      </c>
      <c r="V19" s="8" t="e">
        <f t="shared" si="11"/>
        <v>#DIV/0!</v>
      </c>
      <c r="W19" s="8" t="e">
        <f t="shared" si="11"/>
        <v>#DIV/0!</v>
      </c>
      <c r="X19" s="8" t="e">
        <f t="shared" si="11"/>
        <v>#DIV/0!</v>
      </c>
      <c r="Y19" s="8" t="e">
        <f t="shared" si="11"/>
        <v>#DIV/0!</v>
      </c>
      <c r="Z19" s="8" t="e">
        <f t="shared" si="11"/>
        <v>#DIV/0!</v>
      </c>
      <c r="AA19" s="8" t="e">
        <f t="shared" si="11"/>
        <v>#DIV/0!</v>
      </c>
      <c r="AB19" s="8" t="e">
        <f t="shared" si="11"/>
        <v>#DIV/0!</v>
      </c>
      <c r="AC19" s="8" t="e">
        <f t="shared" si="11"/>
        <v>#DIV/0!</v>
      </c>
      <c r="AD19" s="8">
        <f t="shared" si="11"/>
        <v>1.4128274819047619E-2</v>
      </c>
      <c r="AE19" s="8" t="e">
        <f t="shared" si="11"/>
        <v>#DIV/0!</v>
      </c>
      <c r="AF19" s="8">
        <f t="shared" si="11"/>
        <v>1.3139437682539681E-2</v>
      </c>
      <c r="AG19" s="8">
        <f t="shared" si="11"/>
        <v>1.4327974285714286E-2</v>
      </c>
      <c r="AH19" s="8" t="e">
        <f t="shared" si="11"/>
        <v>#DIV/0!</v>
      </c>
      <c r="AI19" s="8" t="e">
        <f t="shared" si="11"/>
        <v>#DIV/0!</v>
      </c>
      <c r="AJ19" s="8" t="e">
        <f t="shared" si="11"/>
        <v>#DIV/0!</v>
      </c>
      <c r="AK19" s="8" t="e">
        <f t="shared" si="11"/>
        <v>#DIV/0!</v>
      </c>
      <c r="AL19" s="8">
        <f t="shared" si="11"/>
        <v>1.7380203733333333E-3</v>
      </c>
      <c r="AM19" s="8" t="e">
        <f t="shared" si="11"/>
        <v>#DIV/0!</v>
      </c>
      <c r="AN19" s="8">
        <f t="shared" si="11"/>
        <v>9.5926936885714298E-2</v>
      </c>
      <c r="AO19" s="8" t="e">
        <f t="shared" si="11"/>
        <v>#DIV/0!</v>
      </c>
      <c r="AP19" s="8" t="e">
        <f t="shared" si="11"/>
        <v>#DIV/0!</v>
      </c>
      <c r="AQ19" s="8">
        <f t="shared" si="11"/>
        <v>2.8247988200000001E-3</v>
      </c>
      <c r="AR19" s="8" t="e">
        <f t="shared" si="11"/>
        <v>#DIV/0!</v>
      </c>
      <c r="AS19" s="8">
        <f t="shared" si="11"/>
        <v>5.618034971428572E-4</v>
      </c>
      <c r="AT19" s="8" t="e">
        <f t="shared" si="11"/>
        <v>#DIV/0!</v>
      </c>
      <c r="AU19" s="8">
        <f t="shared" si="11"/>
        <v>8.8187903142857137E-3</v>
      </c>
      <c r="AV19" s="8" t="e">
        <f t="shared" si="11"/>
        <v>#DIV/0!</v>
      </c>
      <c r="AW19" s="8">
        <f t="shared" si="11"/>
        <v>5.0079409111111112E-2</v>
      </c>
    </row>
    <row r="20" spans="1:62" ht="15.75" x14ac:dyDescent="0.25">
      <c r="B20" t="s">
        <v>82</v>
      </c>
      <c r="E20" s="8">
        <f>ABS(E16)/E19</f>
        <v>9.1428019576936456E-2</v>
      </c>
      <c r="F20" s="8">
        <f t="shared" ref="F20:AW20" si="12">ABS(F16)/F19</f>
        <v>0.11338568242231659</v>
      </c>
      <c r="G20" s="8">
        <f t="shared" si="12"/>
        <v>9.4100785277255863E-2</v>
      </c>
      <c r="H20" s="8">
        <f t="shared" si="12"/>
        <v>7.5651842923301418E-2</v>
      </c>
      <c r="I20" s="8">
        <f t="shared" si="12"/>
        <v>0.17479300827966876</v>
      </c>
      <c r="J20" s="8">
        <f t="shared" si="12"/>
        <v>6.7539487671962439E-2</v>
      </c>
      <c r="K20" s="8">
        <f t="shared" si="12"/>
        <v>0.34890774508033934</v>
      </c>
      <c r="L20" s="8" t="e">
        <f t="shared" si="12"/>
        <v>#DIV/0!</v>
      </c>
      <c r="M20" s="8">
        <f t="shared" si="12"/>
        <v>8.4142270651881998E-2</v>
      </c>
      <c r="N20" s="8">
        <f t="shared" si="12"/>
        <v>0.24543407555666752</v>
      </c>
      <c r="O20" s="8">
        <f t="shared" si="12"/>
        <v>7.3808991277119372E-3</v>
      </c>
      <c r="P20" s="8">
        <f t="shared" si="12"/>
        <v>7.1403133903133853E-2</v>
      </c>
      <c r="Q20" s="8">
        <f t="shared" si="12"/>
        <v>9.3417534642724814E-2</v>
      </c>
      <c r="R20" s="8" t="e">
        <f t="shared" si="12"/>
        <v>#DIV/0!</v>
      </c>
      <c r="S20" s="8">
        <f t="shared" si="12"/>
        <v>0.24514575735645394</v>
      </c>
      <c r="T20" s="8">
        <f t="shared" si="12"/>
        <v>0.29424646805162424</v>
      </c>
      <c r="U20" s="8" t="e">
        <f t="shared" si="12"/>
        <v>#DIV/0!</v>
      </c>
      <c r="V20" s="8" t="e">
        <f t="shared" si="12"/>
        <v>#DIV/0!</v>
      </c>
      <c r="W20" s="8" t="e">
        <f t="shared" si="12"/>
        <v>#DIV/0!</v>
      </c>
      <c r="X20" s="8" t="e">
        <f t="shared" si="12"/>
        <v>#DIV/0!</v>
      </c>
      <c r="Y20" s="8" t="e">
        <f t="shared" si="12"/>
        <v>#DIV/0!</v>
      </c>
      <c r="Z20" s="8" t="e">
        <f t="shared" si="12"/>
        <v>#DIV/0!</v>
      </c>
      <c r="AA20" s="8" t="e">
        <f t="shared" si="12"/>
        <v>#DIV/0!</v>
      </c>
      <c r="AB20" s="8" t="e">
        <f t="shared" si="12"/>
        <v>#DIV/0!</v>
      </c>
      <c r="AC20" s="8" t="e">
        <f t="shared" si="12"/>
        <v>#DIV/0!</v>
      </c>
      <c r="AD20" s="8">
        <f t="shared" si="12"/>
        <v>0.3462896129718277</v>
      </c>
      <c r="AE20" s="8" t="e">
        <f t="shared" si="12"/>
        <v>#DIV/0!</v>
      </c>
      <c r="AF20" s="8">
        <f t="shared" si="12"/>
        <v>0.37786433671811814</v>
      </c>
      <c r="AG20" s="8">
        <f t="shared" si="12"/>
        <v>0.28789068178514321</v>
      </c>
      <c r="AH20" s="8" t="e">
        <f t="shared" si="12"/>
        <v>#DIV/0!</v>
      </c>
      <c r="AI20" s="8" t="e">
        <f t="shared" si="12"/>
        <v>#DIV/0!</v>
      </c>
      <c r="AJ20" s="8" t="e">
        <f t="shared" si="12"/>
        <v>#DIV/0!</v>
      </c>
      <c r="AK20" s="8" t="e">
        <f t="shared" si="12"/>
        <v>#DIV/0!</v>
      </c>
      <c r="AL20" s="8">
        <f t="shared" si="12"/>
        <v>0.40619568341385304</v>
      </c>
      <c r="AM20" s="8" t="e">
        <f t="shared" si="12"/>
        <v>#DIV/0!</v>
      </c>
      <c r="AN20" s="8">
        <f t="shared" si="12"/>
        <v>0.11894945524330156</v>
      </c>
      <c r="AO20" s="8" t="e">
        <f t="shared" si="12"/>
        <v>#DIV/0!</v>
      </c>
      <c r="AP20" s="8" t="e">
        <f t="shared" si="12"/>
        <v>#DIV/0!</v>
      </c>
      <c r="AQ20" s="8">
        <f t="shared" si="12"/>
        <v>0.11177055079625101</v>
      </c>
      <c r="AR20" s="8" t="e">
        <f t="shared" si="12"/>
        <v>#DIV/0!</v>
      </c>
      <c r="AS20" s="8">
        <f t="shared" si="12"/>
        <v>0.25289179911731618</v>
      </c>
      <c r="AT20" s="8" t="e">
        <f t="shared" si="12"/>
        <v>#DIV/0!</v>
      </c>
      <c r="AU20" s="8">
        <f t="shared" si="12"/>
        <v>0.22432354594950427</v>
      </c>
      <c r="AV20" s="8" t="e">
        <f t="shared" si="12"/>
        <v>#DIV/0!</v>
      </c>
      <c r="AW20" s="8">
        <f t="shared" si="12"/>
        <v>0.13095470007342688</v>
      </c>
      <c r="BI20" s="192"/>
      <c r="BJ20" s="193"/>
    </row>
    <row r="21" spans="1:62" s="15" customFormat="1" ht="28.9" customHeight="1" x14ac:dyDescent="0.3">
      <c r="A21" s="251" t="s">
        <v>114</v>
      </c>
      <c r="B21" s="34" t="s">
        <v>115</v>
      </c>
      <c r="C21" s="16" t="s">
        <v>20</v>
      </c>
      <c r="D21" s="16"/>
      <c r="E21" s="34" t="str">
        <f t="shared" ref="E21:Q21" si="13">E1</f>
        <v>SiO2</v>
      </c>
      <c r="F21" s="34" t="str">
        <f t="shared" si="13"/>
        <v>Al2O3</v>
      </c>
      <c r="G21" s="34" t="str">
        <f t="shared" si="13"/>
        <v>Fe2O3</v>
      </c>
      <c r="H21" s="34" t="str">
        <f t="shared" si="13"/>
        <v>CaO</v>
      </c>
      <c r="I21" s="34" t="str">
        <f t="shared" si="13"/>
        <v>MgO</v>
      </c>
      <c r="J21" s="34" t="str">
        <f t="shared" si="13"/>
        <v>Na2O</v>
      </c>
      <c r="K21" s="34" t="str">
        <f t="shared" si="13"/>
        <v>K2O</v>
      </c>
      <c r="L21" s="34" t="str">
        <f t="shared" si="13"/>
        <v>Cr2O3</v>
      </c>
      <c r="M21" s="34" t="str">
        <f t="shared" si="13"/>
        <v>TiO2</v>
      </c>
      <c r="N21" s="34" t="str">
        <f t="shared" si="13"/>
        <v>MnO</v>
      </c>
      <c r="O21" s="34" t="str">
        <f t="shared" si="13"/>
        <v>P2O5</v>
      </c>
      <c r="P21" s="34" t="str">
        <f t="shared" si="13"/>
        <v>LOI</v>
      </c>
      <c r="Q21" s="34" t="str">
        <f t="shared" si="13"/>
        <v>H2O+ (calc)</v>
      </c>
      <c r="R21" s="34"/>
      <c r="S21" s="222" t="s">
        <v>84</v>
      </c>
      <c r="T21" s="222" t="s">
        <v>85</v>
      </c>
      <c r="U21" s="222" t="s">
        <v>38</v>
      </c>
      <c r="V21" s="222" t="s">
        <v>86</v>
      </c>
      <c r="W21" s="222" t="s">
        <v>87</v>
      </c>
      <c r="X21" s="222" t="s">
        <v>88</v>
      </c>
      <c r="Y21" s="222" t="s">
        <v>89</v>
      </c>
      <c r="Z21" s="222" t="s">
        <v>90</v>
      </c>
      <c r="AA21" s="222" t="s">
        <v>91</v>
      </c>
      <c r="AB21" s="222" t="s">
        <v>92</v>
      </c>
      <c r="AC21" s="222" t="s">
        <v>93</v>
      </c>
      <c r="AD21" s="222" t="s">
        <v>94</v>
      </c>
      <c r="AE21" s="222" t="s">
        <v>95</v>
      </c>
      <c r="AF21" s="222" t="s">
        <v>96</v>
      </c>
      <c r="AG21" s="222" t="s">
        <v>97</v>
      </c>
      <c r="AH21" s="222" t="s">
        <v>98</v>
      </c>
      <c r="AI21" s="222" t="s">
        <v>99</v>
      </c>
      <c r="AJ21" s="222" t="s">
        <v>100</v>
      </c>
      <c r="AK21" s="222" t="s">
        <v>101</v>
      </c>
      <c r="AL21" s="222" t="s">
        <v>102</v>
      </c>
      <c r="AM21" s="222" t="s">
        <v>103</v>
      </c>
      <c r="AN21" s="222" t="s">
        <v>104</v>
      </c>
      <c r="AO21" s="222" t="s">
        <v>105</v>
      </c>
      <c r="AP21" s="222" t="s">
        <v>106</v>
      </c>
      <c r="AQ21" s="222" t="s">
        <v>107</v>
      </c>
      <c r="AR21" s="222" t="s">
        <v>108</v>
      </c>
      <c r="AS21" s="222" t="s">
        <v>109</v>
      </c>
      <c r="AT21" s="222" t="s">
        <v>110</v>
      </c>
      <c r="AU21" s="222" t="s">
        <v>111</v>
      </c>
      <c r="AV21" s="222" t="s">
        <v>112</v>
      </c>
      <c r="AW21" s="222" t="s">
        <v>113</v>
      </c>
      <c r="AX21" s="34" t="s">
        <v>116</v>
      </c>
      <c r="AY21" s="222" t="s">
        <v>117</v>
      </c>
      <c r="AZ21" s="222" t="s">
        <v>352</v>
      </c>
      <c r="BA21" s="34" t="s">
        <v>130</v>
      </c>
      <c r="BB21" s="34" t="s">
        <v>131</v>
      </c>
      <c r="BC21" s="34" t="s">
        <v>132</v>
      </c>
      <c r="BD21" s="34" t="s">
        <v>192</v>
      </c>
      <c r="BE21" s="34" t="s">
        <v>354</v>
      </c>
      <c r="BG21" s="223"/>
      <c r="BH21" s="224"/>
      <c r="BI21" s="225"/>
      <c r="BJ21" s="226"/>
    </row>
    <row r="22" spans="1:62" ht="28.9" customHeight="1" x14ac:dyDescent="0.25">
      <c r="A22" s="251"/>
      <c r="B22" s="12" t="str">
        <f>'DR2.1 Rock volumes'!B20</f>
        <v>Fenite carapace (200 m), ellipsoid 1</v>
      </c>
      <c r="C22" s="178">
        <f>'DR2.1 Rock volumes'!O20</f>
        <v>80480.849360765424</v>
      </c>
      <c r="D22" s="179">
        <f>C22/1000</f>
        <v>80.480849360765419</v>
      </c>
      <c r="E22" s="180">
        <f>E$14/100*$C22</f>
        <v>74557.45884781309</v>
      </c>
      <c r="F22" s="180">
        <f t="shared" ref="F22:AW27" si="14">F$14/100*$C22</f>
        <v>2128.7184655922456</v>
      </c>
      <c r="G22" s="180">
        <f t="shared" si="14"/>
        <v>741.57354053848132</v>
      </c>
      <c r="H22" s="180">
        <f t="shared" si="14"/>
        <v>352.96601076792842</v>
      </c>
      <c r="I22" s="180">
        <f t="shared" si="14"/>
        <v>247.63338264850896</v>
      </c>
      <c r="J22" s="180">
        <f t="shared" si="14"/>
        <v>514.50257269917893</v>
      </c>
      <c r="K22" s="180">
        <f t="shared" si="14"/>
        <v>1510.7405151435109</v>
      </c>
      <c r="L22" s="180" t="e">
        <f t="shared" si="14"/>
        <v>#DIV/0!</v>
      </c>
      <c r="M22" s="180">
        <f t="shared" si="14"/>
        <v>75.881943683007421</v>
      </c>
      <c r="N22" s="180">
        <f t="shared" si="14"/>
        <v>75.528181707795241</v>
      </c>
      <c r="O22" s="180">
        <f t="shared" si="14"/>
        <v>28.743160485987651</v>
      </c>
      <c r="P22" s="180">
        <f t="shared" si="14"/>
        <v>251.79008585725182</v>
      </c>
      <c r="Q22" s="180">
        <f t="shared" si="14"/>
        <v>341.96963156006791</v>
      </c>
      <c r="R22" s="180">
        <f t="shared" si="14"/>
        <v>0</v>
      </c>
      <c r="S22" s="180">
        <f t="shared" si="14"/>
        <v>24.362764338286574</v>
      </c>
      <c r="T22" s="180">
        <f t="shared" si="14"/>
        <v>7.9117130111507752</v>
      </c>
      <c r="U22" s="180">
        <f t="shared" si="14"/>
        <v>1.1762276134075869</v>
      </c>
      <c r="V22" s="180">
        <f t="shared" si="14"/>
        <v>1.0594619731125202E-2</v>
      </c>
      <c r="W22" s="180">
        <f t="shared" si="14"/>
        <v>0.40521074402856277</v>
      </c>
      <c r="X22" s="180">
        <f t="shared" si="14"/>
        <v>0.21258895637372138</v>
      </c>
      <c r="Y22" s="180">
        <f t="shared" si="14"/>
        <v>0.10594846934753779</v>
      </c>
      <c r="Z22" s="180">
        <f t="shared" si="14"/>
        <v>0.3694843601812996</v>
      </c>
      <c r="AA22" s="180">
        <f t="shared" si="14"/>
        <v>0.51268969292505617</v>
      </c>
      <c r="AB22" s="180">
        <f t="shared" si="14"/>
        <v>0.27743234574951725</v>
      </c>
      <c r="AC22" s="180">
        <f t="shared" si="14"/>
        <v>7.0632345916142897E-2</v>
      </c>
      <c r="AD22" s="180">
        <f t="shared" si="14"/>
        <v>4.2515025032979112</v>
      </c>
      <c r="AE22" s="180">
        <f t="shared" si="14"/>
        <v>2.4990572847603733E-2</v>
      </c>
      <c r="AF22" s="180">
        <f t="shared" si="14"/>
        <v>4.3765031740448554</v>
      </c>
      <c r="AG22" s="180">
        <f t="shared" si="14"/>
        <v>3.6764636153812695</v>
      </c>
      <c r="AH22" s="180">
        <f t="shared" si="14"/>
        <v>0.3686827709216664</v>
      </c>
      <c r="AI22" s="180">
        <f t="shared" si="14"/>
        <v>0.98164316404272245</v>
      </c>
      <c r="AJ22" s="180">
        <f t="shared" si="14"/>
        <v>2.6140115487697115</v>
      </c>
      <c r="AK22" s="180" t="e">
        <f t="shared" si="14"/>
        <v>#DIV/0!</v>
      </c>
      <c r="AL22" s="180">
        <f t="shared" si="14"/>
        <v>0.64401838005696055</v>
      </c>
      <c r="AM22" s="180">
        <f t="shared" si="14"/>
        <v>0.13361802060948247</v>
      </c>
      <c r="AN22" s="180">
        <f t="shared" si="14"/>
        <v>9.8596213610068535</v>
      </c>
      <c r="AO22" s="180">
        <f t="shared" si="14"/>
        <v>0.15119256177604715</v>
      </c>
      <c r="AP22" s="180">
        <f t="shared" si="14"/>
        <v>6.7479911046681718E-2</v>
      </c>
      <c r="AQ22" s="180">
        <f t="shared" si="14"/>
        <v>0.39287458991186819</v>
      </c>
      <c r="AR22" s="180">
        <f t="shared" si="14"/>
        <v>2.7999386545963345E-2</v>
      </c>
      <c r="AS22" s="180">
        <f t="shared" si="14"/>
        <v>0.13753312561487394</v>
      </c>
      <c r="AT22" s="180">
        <f t="shared" si="14"/>
        <v>1.2391918059049813</v>
      </c>
      <c r="AU22" s="180">
        <f t="shared" si="14"/>
        <v>2.1126743783268931</v>
      </c>
      <c r="AV22" s="180">
        <f t="shared" si="14"/>
        <v>0.19308589594976669</v>
      </c>
      <c r="AW22" s="180">
        <f t="shared" si="14"/>
        <v>12.279193362201152</v>
      </c>
      <c r="AX22" s="181">
        <f>SUMIF(E22:AW22, "&lt;&gt;#DIV/0!")</f>
        <v>80906.453905122398</v>
      </c>
      <c r="AY22" s="179">
        <f>ABS((AX22/C22*100)-100)</f>
        <v>0.52882710326423421</v>
      </c>
      <c r="AZ22" s="183">
        <f>SUM(AD22,T22,W22,X22,Y22,AA22,AC22,AE22,AG22,AI22,AL22,AP22,AR22,AU22,AV22)</f>
        <v>21.198641027237571</v>
      </c>
      <c r="BA22" s="8">
        <f>SUM(M22,T22,AD22, AF22,AG22, AL22, AQ22, AS22, AU22, AW22)</f>
        <v>111.66441982299399</v>
      </c>
      <c r="BB22" s="8">
        <f t="shared" ref="BB22:BB23" si="15">SUM(T22,AD22, AF22,AG22, AL22, AQ22, AS22, AU22, AW22)</f>
        <v>35.782476139986557</v>
      </c>
      <c r="BC22" s="183">
        <f>SUM(AD22,T22,AG22,AL22)</f>
        <v>16.483697509886916</v>
      </c>
      <c r="BD22" s="8">
        <f>SUM(X22,W22,AC22,AE22,AP22,AR22,AV22,AU22)</f>
        <v>3.1146621910353356</v>
      </c>
      <c r="BE22" s="8">
        <f t="shared" ref="BE22:BE31" si="16">SUM(AI22,AA22,Y22)</f>
        <v>1.6002813263153164</v>
      </c>
    </row>
    <row r="23" spans="1:62" s="182" customFormat="1" ht="15.75" x14ac:dyDescent="0.25">
      <c r="A23" s="251"/>
      <c r="B23" s="177" t="str">
        <f>'DR2.1 Rock volumes'!B21</f>
        <v>Fenite carapace (400 m), ellipsoid 1</v>
      </c>
      <c r="C23" s="178">
        <f>'DR2.1 Rock volumes'!O21</f>
        <v>144800.22299209086</v>
      </c>
      <c r="D23" s="179">
        <f>C23/1000</f>
        <v>144.80022299209085</v>
      </c>
      <c r="E23" s="180">
        <f>E$14/100*$C23</f>
        <v>134142.92657987296</v>
      </c>
      <c r="F23" s="180">
        <f t="shared" si="14"/>
        <v>3829.9658981408033</v>
      </c>
      <c r="G23" s="180">
        <f t="shared" si="14"/>
        <v>1334.2306261414085</v>
      </c>
      <c r="H23" s="180">
        <f t="shared" si="14"/>
        <v>635.05240655102716</v>
      </c>
      <c r="I23" s="180">
        <f t="shared" si="14"/>
        <v>445.5391476679718</v>
      </c>
      <c r="J23" s="180">
        <f t="shared" si="14"/>
        <v>925.68713984229498</v>
      </c>
      <c r="K23" s="180">
        <f t="shared" si="14"/>
        <v>2718.1070430229624</v>
      </c>
      <c r="L23" s="180" t="e">
        <f t="shared" si="14"/>
        <v>#DIV/0!</v>
      </c>
      <c r="M23" s="180">
        <f t="shared" si="14"/>
        <v>136.52592453539998</v>
      </c>
      <c r="N23" s="180">
        <f t="shared" si="14"/>
        <v>135.88944003873141</v>
      </c>
      <c r="O23" s="180">
        <f t="shared" si="14"/>
        <v>51.714365354318161</v>
      </c>
      <c r="P23" s="180">
        <f t="shared" si="14"/>
        <v>453.01784050382707</v>
      </c>
      <c r="Q23" s="180">
        <f t="shared" si="14"/>
        <v>615.26784694398066</v>
      </c>
      <c r="R23" s="180">
        <f t="shared" si="14"/>
        <v>0</v>
      </c>
      <c r="S23" s="180">
        <f t="shared" si="14"/>
        <v>43.833206743061936</v>
      </c>
      <c r="T23" s="180">
        <f t="shared" si="14"/>
        <v>14.234663492785526</v>
      </c>
      <c r="U23" s="180">
        <f t="shared" si="14"/>
        <v>2.1162552590294079</v>
      </c>
      <c r="V23" s="180">
        <f t="shared" si="14"/>
        <v>1.9061718555013329E-2</v>
      </c>
      <c r="W23" s="180">
        <f t="shared" si="14"/>
        <v>0.7290505326442408</v>
      </c>
      <c r="X23" s="180">
        <f t="shared" si="14"/>
        <v>0.38248761703026296</v>
      </c>
      <c r="Y23" s="180">
        <f t="shared" si="14"/>
        <v>0.19062127337181312</v>
      </c>
      <c r="Z23" s="180">
        <f t="shared" si="14"/>
        <v>0.66477203174776933</v>
      </c>
      <c r="AA23" s="180">
        <f t="shared" si="14"/>
        <v>0.92242542730277999</v>
      </c>
      <c r="AB23" s="180">
        <f t="shared" si="14"/>
        <v>0.49915310100259719</v>
      </c>
      <c r="AC23" s="180">
        <f t="shared" si="14"/>
        <v>0.12708090831976179</v>
      </c>
      <c r="AD23" s="180">
        <f t="shared" si="14"/>
        <v>7.6492546415530915</v>
      </c>
      <c r="AE23" s="180">
        <f t="shared" si="14"/>
        <v>4.4962752627176E-2</v>
      </c>
      <c r="AF23" s="180">
        <f t="shared" si="14"/>
        <v>7.8741544176126403</v>
      </c>
      <c r="AG23" s="180">
        <f t="shared" si="14"/>
        <v>6.6146512562656854</v>
      </c>
      <c r="AH23" s="180">
        <f t="shared" si="14"/>
        <v>0.66332982152676823</v>
      </c>
      <c r="AI23" s="180">
        <f t="shared" si="14"/>
        <v>1.7661611449312367</v>
      </c>
      <c r="AJ23" s="180">
        <f t="shared" si="14"/>
        <v>4.7030996587652707</v>
      </c>
      <c r="AK23" s="180" t="e">
        <f t="shared" si="14"/>
        <v>#DIV/0!</v>
      </c>
      <c r="AL23" s="180">
        <f t="shared" si="14"/>
        <v>1.1587104980121461</v>
      </c>
      <c r="AM23" s="180">
        <f t="shared" si="14"/>
        <v>0.24040401329868424</v>
      </c>
      <c r="AN23" s="180">
        <f t="shared" si="14"/>
        <v>17.739317900232912</v>
      </c>
      <c r="AO23" s="180">
        <f t="shared" si="14"/>
        <v>0.27202392660868019</v>
      </c>
      <c r="AP23" s="180">
        <f t="shared" si="14"/>
        <v>0.12140908358516159</v>
      </c>
      <c r="AQ23" s="180">
        <f t="shared" si="14"/>
        <v>0.70685546535618371</v>
      </c>
      <c r="AR23" s="180">
        <f t="shared" si="14"/>
        <v>5.0376175794607465E-2</v>
      </c>
      <c r="AS23" s="180">
        <f t="shared" si="14"/>
        <v>0.24744802541238473</v>
      </c>
      <c r="AT23" s="180">
        <f t="shared" si="14"/>
        <v>2.2295397134872701</v>
      </c>
      <c r="AU23" s="180">
        <f t="shared" si="14"/>
        <v>3.8010995599724069</v>
      </c>
      <c r="AV23" s="180">
        <f t="shared" si="14"/>
        <v>0.3473979339460585</v>
      </c>
      <c r="AW23" s="180">
        <f t="shared" si="14"/>
        <v>22.092584150541057</v>
      </c>
      <c r="AX23" s="181">
        <f>SUMIF(E23:AW23, "&lt;&gt;#DIV/0!")</f>
        <v>145565.96581686006</v>
      </c>
      <c r="AY23" s="179">
        <f>ABS((AX23/C23*100)-100)</f>
        <v>0.52882710326420579</v>
      </c>
      <c r="AZ23" s="183">
        <f>SUM(AD23,T23,W23,X23,Y23,AA23,AC23,AE23,AG23,AI23,AL23,AP23,AR23,AU23,AV23)</f>
        <v>38.140352298141963</v>
      </c>
      <c r="BA23" s="8">
        <f t="shared" ref="BA23" si="17">SUM(M23,T23,AD23, AF23,AG23, AL23, AQ23, AS23, AU23, AW23)</f>
        <v>200.90534604291108</v>
      </c>
      <c r="BB23" s="8">
        <f t="shared" si="15"/>
        <v>64.379421507511125</v>
      </c>
      <c r="BC23" s="183">
        <f>SUM(AD23,T23,AG23,AL23)</f>
        <v>29.657279888616447</v>
      </c>
      <c r="BD23" s="8">
        <f t="shared" ref="BD23:BD31" si="18">SUM(X23,W23,AC23,AE23,AP23,AR23,AV23,AU23)</f>
        <v>5.603864563919676</v>
      </c>
      <c r="BE23" s="8">
        <f t="shared" si="16"/>
        <v>2.8792078456058299</v>
      </c>
    </row>
    <row r="24" spans="1:62" ht="15.75" x14ac:dyDescent="0.25">
      <c r="A24" s="251"/>
      <c r="B24" s="12" t="str">
        <f>'DR2.1 Rock volumes'!B22</f>
        <v>Fenite carapace (800 m), ellipsoid 1</v>
      </c>
      <c r="C24" s="25">
        <f>'DR2.1 Rock volumes'!O22</f>
        <v>283059.59510153672</v>
      </c>
      <c r="D24" s="8">
        <f t="shared" ref="D24:D30" si="19">C24/1000</f>
        <v>283.05959510153673</v>
      </c>
      <c r="E24" s="26">
        <f t="shared" ref="E24:T30" si="20">E$14/100*$C24</f>
        <v>262226.40890206362</v>
      </c>
      <c r="F24" s="26">
        <f t="shared" si="20"/>
        <v>7486.9262904356465</v>
      </c>
      <c r="G24" s="26">
        <f t="shared" si="20"/>
        <v>2608.1919834355881</v>
      </c>
      <c r="H24" s="26">
        <f t="shared" si="20"/>
        <v>1241.4185099453111</v>
      </c>
      <c r="I24" s="26">
        <f t="shared" si="20"/>
        <v>870.9526003124206</v>
      </c>
      <c r="J24" s="26">
        <f t="shared" si="20"/>
        <v>1809.5595543991094</v>
      </c>
      <c r="K24" s="26">
        <f t="shared" si="20"/>
        <v>5313.4329709059894</v>
      </c>
      <c r="L24" s="26" t="e">
        <f t="shared" si="20"/>
        <v>#DIV/0!</v>
      </c>
      <c r="M24" s="26">
        <f t="shared" si="20"/>
        <v>266.88476109573469</v>
      </c>
      <c r="N24" s="26">
        <f t="shared" si="20"/>
        <v>265.64054309528831</v>
      </c>
      <c r="O24" s="26">
        <f t="shared" si="20"/>
        <v>101.09271253626311</v>
      </c>
      <c r="P24" s="26">
        <f t="shared" si="20"/>
        <v>885.57216181766489</v>
      </c>
      <c r="Q24" s="26">
        <f t="shared" si="20"/>
        <v>1202.7430900052557</v>
      </c>
      <c r="R24" s="26">
        <f t="shared" si="20"/>
        <v>0</v>
      </c>
      <c r="S24" s="26">
        <f t="shared" si="20"/>
        <v>85.686399484141447</v>
      </c>
      <c r="T24" s="26">
        <f t="shared" si="20"/>
        <v>27.826325135525376</v>
      </c>
      <c r="U24" s="26">
        <f t="shared" si="14"/>
        <v>4.1369159824089596</v>
      </c>
      <c r="V24" s="26">
        <f t="shared" si="14"/>
        <v>3.7262389688558946E-2</v>
      </c>
      <c r="W24" s="26">
        <f t="shared" si="14"/>
        <v>1.4251687208389889</v>
      </c>
      <c r="X24" s="26">
        <f t="shared" si="14"/>
        <v>0.74769767456678238</v>
      </c>
      <c r="Y24" s="26">
        <f t="shared" si="14"/>
        <v>0.37263188787569729</v>
      </c>
      <c r="Z24" s="26">
        <f t="shared" si="14"/>
        <v>1.299515278727351</v>
      </c>
      <c r="AA24" s="26">
        <f t="shared" si="14"/>
        <v>1.8031834659394725</v>
      </c>
      <c r="AB24" s="26">
        <f t="shared" si="14"/>
        <v>0.97575868147101563</v>
      </c>
      <c r="AC24" s="26">
        <f t="shared" si="14"/>
        <v>0.24842137471081158</v>
      </c>
      <c r="AD24" s="26">
        <f t="shared" si="14"/>
        <v>14.952980575070203</v>
      </c>
      <c r="AE24" s="26">
        <f t="shared" si="14"/>
        <v>8.7894467911103738E-2</v>
      </c>
      <c r="AF24" s="26">
        <f t="shared" si="14"/>
        <v>15.392621055135759</v>
      </c>
      <c r="AG24" s="26">
        <f t="shared" si="14"/>
        <v>12.930508445685925</v>
      </c>
      <c r="AH24" s="26">
        <f t="shared" si="14"/>
        <v>1.2966960051601397</v>
      </c>
      <c r="AI24" s="26">
        <f t="shared" si="14"/>
        <v>3.4525420488862713</v>
      </c>
      <c r="AJ24" s="26">
        <f t="shared" si="14"/>
        <v>9.1937530041303024</v>
      </c>
      <c r="AK24" s="26" t="e">
        <f t="shared" si="14"/>
        <v>#DIV/0!</v>
      </c>
      <c r="AL24" s="26">
        <f t="shared" si="14"/>
        <v>2.26508024386905</v>
      </c>
      <c r="AM24" s="26">
        <f t="shared" si="14"/>
        <v>0.4699486040765759</v>
      </c>
      <c r="AN24" s="26">
        <f t="shared" si="14"/>
        <v>34.677323269672307</v>
      </c>
      <c r="AO24" s="26">
        <f t="shared" si="14"/>
        <v>0.53176011012074831</v>
      </c>
      <c r="AP24" s="26">
        <f t="shared" si="14"/>
        <v>0.2373339303706844</v>
      </c>
      <c r="AQ24" s="26">
        <f t="shared" si="14"/>
        <v>1.3817811719113056</v>
      </c>
      <c r="AR24" s="26">
        <f t="shared" si="14"/>
        <v>9.8476781516864731E-2</v>
      </c>
      <c r="AS24" s="26">
        <f t="shared" si="14"/>
        <v>0.48371843934059539</v>
      </c>
      <c r="AT24" s="26">
        <f t="shared" si="14"/>
        <v>4.3583676566366458</v>
      </c>
      <c r="AU24" s="26">
        <f t="shared" si="14"/>
        <v>7.4304975514104541</v>
      </c>
      <c r="AV24" s="26">
        <f t="shared" si="14"/>
        <v>0.67910336386189707</v>
      </c>
      <c r="AW24" s="26">
        <f t="shared" si="14"/>
        <v>43.187211975083443</v>
      </c>
      <c r="AX24" s="10">
        <f t="shared" ref="AX24:AX28" si="21">SUMIF(E24:AW24, "&lt;&gt;#DIV/0!")</f>
        <v>284556.49095882371</v>
      </c>
      <c r="AY24" s="8"/>
      <c r="AZ24" s="183">
        <f t="shared" ref="AZ24:AZ36" si="22">SUM(AD24,T24,W24,X24,Y24,AA24,AC24,AE24,AG24,AI24,AL24,AP24,AR24,AU24,AV24)</f>
        <v>74.557845668039576</v>
      </c>
      <c r="BA24" s="8">
        <f t="shared" ref="BA24:BA31" si="23">SUM(M24,T24,AD24, AF24,AG24, AL24, AQ24, AS24, AU24, AW24)</f>
        <v>392.73548568876674</v>
      </c>
      <c r="BB24" s="8">
        <f t="shared" ref="BB24:BB31" si="24">SUM(T24,AD24, AF24,AG24, AL24, AQ24, AS24, AU24, AW24)</f>
        <v>125.85072459303211</v>
      </c>
      <c r="BC24" s="183">
        <f t="shared" ref="BC24:BC31" si="25">SUM(AD24,T24,AG24,AL24)</f>
        <v>57.974894400150554</v>
      </c>
      <c r="BD24" s="8">
        <f t="shared" si="18"/>
        <v>10.954593865187586</v>
      </c>
      <c r="BE24" s="8">
        <f t="shared" si="16"/>
        <v>5.6283574027014414</v>
      </c>
    </row>
    <row r="25" spans="1:62" ht="15.75" x14ac:dyDescent="0.25">
      <c r="A25" s="251"/>
      <c r="B25" s="12" t="str">
        <f>'DR2.1 Rock volumes'!B27</f>
        <v>Fenite carapace cyllinder (200m)</v>
      </c>
      <c r="C25" s="25">
        <f>'DR2.1 Rock volumes'!O27</f>
        <v>60360.63702057401</v>
      </c>
      <c r="D25" s="8">
        <f t="shared" si="19"/>
        <v>60.360637020574011</v>
      </c>
      <c r="E25" s="26">
        <f t="shared" si="20"/>
        <v>55918.094135859763</v>
      </c>
      <c r="F25" s="26">
        <f t="shared" si="14"/>
        <v>1596.5388491941826</v>
      </c>
      <c r="G25" s="26">
        <f t="shared" si="14"/>
        <v>556.18015540386045</v>
      </c>
      <c r="H25" s="26">
        <f t="shared" si="14"/>
        <v>264.72450807594606</v>
      </c>
      <c r="I25" s="26">
        <f t="shared" si="14"/>
        <v>185.72503698638155</v>
      </c>
      <c r="J25" s="26">
        <f t="shared" si="14"/>
        <v>385.8769295243838</v>
      </c>
      <c r="K25" s="26">
        <f t="shared" si="14"/>
        <v>1133.0553863576322</v>
      </c>
      <c r="L25" s="26" t="e">
        <f t="shared" si="14"/>
        <v>#DIV/0!</v>
      </c>
      <c r="M25" s="26">
        <f t="shared" si="14"/>
        <v>56.911457762255509</v>
      </c>
      <c r="N25" s="26">
        <f t="shared" si="14"/>
        <v>56.646136280846378</v>
      </c>
      <c r="O25" s="26">
        <f t="shared" si="14"/>
        <v>21.557370364490719</v>
      </c>
      <c r="P25" s="26">
        <f t="shared" si="14"/>
        <v>188.84256439293867</v>
      </c>
      <c r="Q25" s="26">
        <f t="shared" si="14"/>
        <v>256.47722367005071</v>
      </c>
      <c r="R25" s="26">
        <f t="shared" si="14"/>
        <v>0</v>
      </c>
      <c r="S25" s="26">
        <f t="shared" si="14"/>
        <v>18.272073253714915</v>
      </c>
      <c r="T25" s="26">
        <f t="shared" si="14"/>
        <v>5.9337847583630756</v>
      </c>
      <c r="U25" s="26">
        <f t="shared" si="14"/>
        <v>0.88217071005568926</v>
      </c>
      <c r="V25" s="26">
        <f t="shared" si="14"/>
        <v>7.9459647983438925E-3</v>
      </c>
      <c r="W25" s="26">
        <f t="shared" si="14"/>
        <v>0.30390805802142179</v>
      </c>
      <c r="X25" s="26">
        <f t="shared" si="14"/>
        <v>0.15944171728029088</v>
      </c>
      <c r="Y25" s="26">
        <f t="shared" si="14"/>
        <v>7.9461352010653269E-2</v>
      </c>
      <c r="Z25" s="26">
        <f t="shared" si="14"/>
        <v>0.27711327013597442</v>
      </c>
      <c r="AA25" s="26">
        <f t="shared" si="14"/>
        <v>0.38451726969379174</v>
      </c>
      <c r="AB25" s="26">
        <f t="shared" si="14"/>
        <v>0.20807425931213774</v>
      </c>
      <c r="AC25" s="26">
        <f t="shared" si="14"/>
        <v>5.2974259437107124E-2</v>
      </c>
      <c r="AD25" s="26">
        <f t="shared" si="14"/>
        <v>3.1886268774734305</v>
      </c>
      <c r="AE25" s="26">
        <f t="shared" si="14"/>
        <v>1.8742929635702781E-2</v>
      </c>
      <c r="AF25" s="26">
        <f t="shared" si="14"/>
        <v>3.2823773805336387</v>
      </c>
      <c r="AG25" s="26">
        <f t="shared" si="14"/>
        <v>2.7573477115359495</v>
      </c>
      <c r="AH25" s="26">
        <f t="shared" si="14"/>
        <v>0.27651207819124951</v>
      </c>
      <c r="AI25" s="26">
        <f t="shared" si="14"/>
        <v>0.73623237303204114</v>
      </c>
      <c r="AJ25" s="26">
        <f t="shared" si="14"/>
        <v>1.960508661577282</v>
      </c>
      <c r="AK25" s="26" t="e">
        <f t="shared" si="14"/>
        <v>#DIV/0!</v>
      </c>
      <c r="AL25" s="26">
        <f t="shared" si="14"/>
        <v>0.48301378504271997</v>
      </c>
      <c r="AM25" s="26">
        <f t="shared" si="14"/>
        <v>0.10021351545711175</v>
      </c>
      <c r="AN25" s="26">
        <f t="shared" si="14"/>
        <v>7.3947160207551326</v>
      </c>
      <c r="AO25" s="26">
        <f t="shared" si="14"/>
        <v>0.11339442133203524</v>
      </c>
      <c r="AP25" s="26">
        <f t="shared" si="14"/>
        <v>5.060993328501124E-2</v>
      </c>
      <c r="AQ25" s="26">
        <f t="shared" si="14"/>
        <v>0.29465594243390086</v>
      </c>
      <c r="AR25" s="26">
        <f t="shared" si="14"/>
        <v>2.0999539909472488E-2</v>
      </c>
      <c r="AS25" s="26">
        <f t="shared" si="14"/>
        <v>0.10314984421115536</v>
      </c>
      <c r="AT25" s="26">
        <f t="shared" si="14"/>
        <v>0.92939385442873512</v>
      </c>
      <c r="AU25" s="26">
        <f t="shared" si="14"/>
        <v>1.5845057837451682</v>
      </c>
      <c r="AV25" s="26">
        <f t="shared" si="14"/>
        <v>0.14481442196232489</v>
      </c>
      <c r="AW25" s="26">
        <f t="shared" si="14"/>
        <v>9.209395021650856</v>
      </c>
      <c r="AX25" s="10">
        <f t="shared" ref="AX25" si="26">SUMIF(E25:AW25, "&lt;&gt;#DIV/0!")</f>
        <v>60679.840428841759</v>
      </c>
      <c r="AY25" s="8">
        <f t="shared" ref="AY25" si="27">ABS((AX25/C25*100)-100)</f>
        <v>0.52882710326424842</v>
      </c>
      <c r="AZ25" s="183">
        <f t="shared" ref="AZ25" si="28">SUM(AD25,T25,W25,X25,Y25,AA25,AC25,AE25,AG25,AI25,AL25,AP25,AR25,AU25,AV25)</f>
        <v>15.898980770428166</v>
      </c>
      <c r="BA25" s="8">
        <f t="shared" si="23"/>
        <v>83.748314867245398</v>
      </c>
      <c r="BB25" s="8">
        <f t="shared" si="24"/>
        <v>26.836857104989896</v>
      </c>
      <c r="BC25" s="183">
        <f t="shared" si="25"/>
        <v>12.362773132415176</v>
      </c>
      <c r="BD25" s="8">
        <f t="shared" si="18"/>
        <v>2.3359966432764994</v>
      </c>
      <c r="BE25" s="8">
        <f t="shared" si="16"/>
        <v>1.2002109947364863</v>
      </c>
    </row>
    <row r="26" spans="1:62" ht="15.75" x14ac:dyDescent="0.25">
      <c r="A26" s="251"/>
      <c r="B26" s="12" t="str">
        <f>'DR2.1 Rock volumes'!B28</f>
        <v>Fenite carapace cylinder (400m)</v>
      </c>
      <c r="C26" s="25">
        <f>'DR2.1 Rock volumes'!O28</f>
        <v>108600.16724406823</v>
      </c>
      <c r="D26" s="8">
        <f t="shared" si="19"/>
        <v>108.60016724406823</v>
      </c>
      <c r="E26" s="26">
        <f t="shared" si="20"/>
        <v>100607.19493490481</v>
      </c>
      <c r="F26" s="26">
        <f t="shared" si="14"/>
        <v>2872.4744236056049</v>
      </c>
      <c r="G26" s="26">
        <f t="shared" si="14"/>
        <v>1000.6729696060571</v>
      </c>
      <c r="H26" s="26">
        <f t="shared" si="14"/>
        <v>476.28930491327071</v>
      </c>
      <c r="I26" s="26">
        <f t="shared" si="14"/>
        <v>334.15436075097915</v>
      </c>
      <c r="J26" s="26">
        <f t="shared" si="14"/>
        <v>694.26535488172181</v>
      </c>
      <c r="K26" s="26">
        <f t="shared" si="14"/>
        <v>2038.5802822672235</v>
      </c>
      <c r="L26" s="26" t="e">
        <f t="shared" si="14"/>
        <v>#DIV/0!</v>
      </c>
      <c r="M26" s="26">
        <f t="shared" si="14"/>
        <v>102.39444340155006</v>
      </c>
      <c r="N26" s="26">
        <f t="shared" si="14"/>
        <v>101.91708002904863</v>
      </c>
      <c r="O26" s="26">
        <f t="shared" si="14"/>
        <v>38.785774015738653</v>
      </c>
      <c r="P26" s="26">
        <f t="shared" si="14"/>
        <v>339.76338037787059</v>
      </c>
      <c r="Q26" s="26">
        <f t="shared" si="14"/>
        <v>461.45088520798589</v>
      </c>
      <c r="R26" s="26">
        <f t="shared" si="14"/>
        <v>0</v>
      </c>
      <c r="S26" s="26">
        <f t="shared" si="14"/>
        <v>32.87490505729648</v>
      </c>
      <c r="T26" s="26">
        <f t="shared" si="14"/>
        <v>10.675997619589152</v>
      </c>
      <c r="U26" s="26">
        <f t="shared" si="14"/>
        <v>1.5871914442720574</v>
      </c>
      <c r="V26" s="26">
        <f t="shared" si="14"/>
        <v>1.4296288916260008E-2</v>
      </c>
      <c r="W26" s="26">
        <f t="shared" si="14"/>
        <v>0.54678789948318107</v>
      </c>
      <c r="X26" s="26">
        <f t="shared" si="14"/>
        <v>0.28686571277269746</v>
      </c>
      <c r="Y26" s="26">
        <f t="shared" si="14"/>
        <v>0.14296595502885995</v>
      </c>
      <c r="Z26" s="26">
        <f t="shared" si="14"/>
        <v>0.49857902381082742</v>
      </c>
      <c r="AA26" s="26">
        <f t="shared" si="14"/>
        <v>0.69181907047708557</v>
      </c>
      <c r="AB26" s="26">
        <f t="shared" si="14"/>
        <v>0.37436482575194818</v>
      </c>
      <c r="AC26" s="26">
        <f t="shared" si="14"/>
        <v>9.5310681239821407E-2</v>
      </c>
      <c r="AD26" s="26">
        <f t="shared" si="14"/>
        <v>5.7369409811648229</v>
      </c>
      <c r="AE26" s="26">
        <f t="shared" si="14"/>
        <v>3.3722064470382028E-2</v>
      </c>
      <c r="AF26" s="26">
        <f t="shared" si="14"/>
        <v>5.9056158132094856</v>
      </c>
      <c r="AG26" s="26">
        <f t="shared" si="14"/>
        <v>4.9609884421992678</v>
      </c>
      <c r="AH26" s="26">
        <f t="shared" si="14"/>
        <v>0.49749736614507656</v>
      </c>
      <c r="AI26" s="26">
        <f t="shared" si="14"/>
        <v>1.3246208586984285</v>
      </c>
      <c r="AJ26" s="26">
        <f t="shared" si="14"/>
        <v>3.5273247440739559</v>
      </c>
      <c r="AK26" s="26" t="e">
        <f t="shared" si="14"/>
        <v>#DIV/0!</v>
      </c>
      <c r="AL26" s="26">
        <f t="shared" si="14"/>
        <v>0.86903287350911018</v>
      </c>
      <c r="AM26" s="26">
        <f t="shared" si="14"/>
        <v>0.18030300997401333</v>
      </c>
      <c r="AN26" s="26">
        <f t="shared" si="14"/>
        <v>13.304488425174696</v>
      </c>
      <c r="AO26" s="26">
        <f t="shared" si="14"/>
        <v>0.20401794495651029</v>
      </c>
      <c r="AP26" s="26">
        <f t="shared" si="14"/>
        <v>9.1056812688871266E-2</v>
      </c>
      <c r="AQ26" s="26">
        <f t="shared" si="14"/>
        <v>0.5301415990171382</v>
      </c>
      <c r="AR26" s="26">
        <f t="shared" si="14"/>
        <v>3.7782131845955629E-2</v>
      </c>
      <c r="AS26" s="26">
        <f t="shared" si="14"/>
        <v>0.1855860190592887</v>
      </c>
      <c r="AT26" s="26">
        <f t="shared" si="14"/>
        <v>1.6721547851154539</v>
      </c>
      <c r="AU26" s="26">
        <f t="shared" si="14"/>
        <v>2.8508246699793074</v>
      </c>
      <c r="AV26" s="26">
        <f t="shared" si="14"/>
        <v>0.26054845045954406</v>
      </c>
      <c r="AW26" s="26">
        <f t="shared" si="14"/>
        <v>16.569438112905807</v>
      </c>
      <c r="AX26" s="10">
        <f t="shared" si="21"/>
        <v>109174.47436264509</v>
      </c>
      <c r="AY26" s="8">
        <f t="shared" ref="AY26:AY36" si="29">ABS((AX26/C26*100)-100)</f>
        <v>0.52882710326417737</v>
      </c>
      <c r="AZ26" s="183">
        <f t="shared" si="22"/>
        <v>28.605264223606486</v>
      </c>
      <c r="BA26" s="8">
        <f t="shared" si="23"/>
        <v>150.67900953218341</v>
      </c>
      <c r="BB26" s="8">
        <f t="shared" si="24"/>
        <v>48.28456613063338</v>
      </c>
      <c r="BC26" s="183">
        <f t="shared" si="25"/>
        <v>22.24295991646235</v>
      </c>
      <c r="BD26" s="8">
        <f t="shared" si="18"/>
        <v>4.2028984229397608</v>
      </c>
      <c r="BE26" s="8">
        <f t="shared" si="16"/>
        <v>2.1594058842043737</v>
      </c>
    </row>
    <row r="27" spans="1:62" ht="15.75" x14ac:dyDescent="0.25">
      <c r="A27" s="251"/>
      <c r="B27" s="12" t="str">
        <f>'DR2.1 Rock volumes'!B30</f>
        <v>Fenite carapace cylinder (800 m)</v>
      </c>
      <c r="C27" s="25">
        <f>'DR2.1 Rock volumes'!O30</f>
        <v>212294.69632615242</v>
      </c>
      <c r="D27" s="8">
        <f t="shared" si="19"/>
        <v>212.29469632615243</v>
      </c>
      <c r="E27" s="26">
        <f t="shared" si="20"/>
        <v>196669.8066765476</v>
      </c>
      <c r="F27" s="26">
        <f t="shared" si="14"/>
        <v>5615.1947178267319</v>
      </c>
      <c r="G27" s="26">
        <f t="shared" si="14"/>
        <v>1956.1439875766898</v>
      </c>
      <c r="H27" s="26">
        <f t="shared" si="14"/>
        <v>931.0638824589829</v>
      </c>
      <c r="I27" s="26">
        <f t="shared" si="14"/>
        <v>653.214450234315</v>
      </c>
      <c r="J27" s="26">
        <f t="shared" si="14"/>
        <v>1357.1696657993314</v>
      </c>
      <c r="K27" s="26">
        <f t="shared" si="14"/>
        <v>3985.0747281794897</v>
      </c>
      <c r="L27" s="26" t="e">
        <f t="shared" ref="L27:AW30" si="30">L$14/100*$C27</f>
        <v>#DIV/0!</v>
      </c>
      <c r="M27" s="26">
        <f t="shared" si="30"/>
        <v>200.1635708218009</v>
      </c>
      <c r="N27" s="26">
        <f t="shared" si="30"/>
        <v>199.23040732146612</v>
      </c>
      <c r="O27" s="26">
        <f t="shared" si="30"/>
        <v>75.819534402197291</v>
      </c>
      <c r="P27" s="26">
        <f t="shared" si="30"/>
        <v>664.17912136324821</v>
      </c>
      <c r="Q27" s="26">
        <f t="shared" si="30"/>
        <v>902.05731750394125</v>
      </c>
      <c r="R27" s="26">
        <f t="shared" si="30"/>
        <v>0</v>
      </c>
      <c r="S27" s="26">
        <f t="shared" si="30"/>
        <v>64.264799613106049</v>
      </c>
      <c r="T27" s="26">
        <f t="shared" si="30"/>
        <v>20.869743851644021</v>
      </c>
      <c r="U27" s="26">
        <f t="shared" si="30"/>
        <v>3.102686986806718</v>
      </c>
      <c r="V27" s="26">
        <f t="shared" si="30"/>
        <v>2.7946792266419194E-2</v>
      </c>
      <c r="W27" s="26">
        <f t="shared" si="30"/>
        <v>1.0688765406292411</v>
      </c>
      <c r="X27" s="26">
        <f t="shared" si="30"/>
        <v>0.56077325592508653</v>
      </c>
      <c r="Y27" s="26">
        <f t="shared" si="30"/>
        <v>0.27947391590677279</v>
      </c>
      <c r="Z27" s="26">
        <f t="shared" si="30"/>
        <v>0.97463645904551266</v>
      </c>
      <c r="AA27" s="26">
        <f t="shared" si="30"/>
        <v>1.3523875994546037</v>
      </c>
      <c r="AB27" s="26">
        <f t="shared" si="30"/>
        <v>0.73181901110326131</v>
      </c>
      <c r="AC27" s="26">
        <f t="shared" si="30"/>
        <v>0.18631603103310859</v>
      </c>
      <c r="AD27" s="26">
        <f t="shared" si="30"/>
        <v>11.214735431302646</v>
      </c>
      <c r="AE27" s="26">
        <f t="shared" si="30"/>
        <v>6.5920850933327765E-2</v>
      </c>
      <c r="AF27" s="26">
        <f t="shared" si="30"/>
        <v>11.544465791351813</v>
      </c>
      <c r="AG27" s="26">
        <f t="shared" si="30"/>
        <v>9.6978813342644372</v>
      </c>
      <c r="AH27" s="26">
        <f t="shared" si="30"/>
        <v>0.97252200387010423</v>
      </c>
      <c r="AI27" s="26">
        <f t="shared" si="30"/>
        <v>2.5894065366647019</v>
      </c>
      <c r="AJ27" s="26">
        <f t="shared" si="30"/>
        <v>6.8953147530977237</v>
      </c>
      <c r="AK27" s="26" t="e">
        <f t="shared" si="30"/>
        <v>#DIV/0!</v>
      </c>
      <c r="AL27" s="26">
        <f t="shared" si="30"/>
        <v>1.6988101829017868</v>
      </c>
      <c r="AM27" s="26">
        <f t="shared" si="30"/>
        <v>0.35246145305743176</v>
      </c>
      <c r="AN27" s="26">
        <f t="shared" si="30"/>
        <v>26.007992452254214</v>
      </c>
      <c r="AO27" s="26">
        <f t="shared" si="30"/>
        <v>0.39882008259056101</v>
      </c>
      <c r="AP27" s="26">
        <f t="shared" si="30"/>
        <v>0.17800044777801319</v>
      </c>
      <c r="AQ27" s="26">
        <f t="shared" si="30"/>
        <v>1.0363358789334787</v>
      </c>
      <c r="AR27" s="26">
        <f t="shared" si="30"/>
        <v>7.3857586137648507E-2</v>
      </c>
      <c r="AS27" s="26">
        <f t="shared" si="30"/>
        <v>0.36278882950544639</v>
      </c>
      <c r="AT27" s="26">
        <f t="shared" si="30"/>
        <v>3.2687757424774828</v>
      </c>
      <c r="AU27" s="26">
        <f t="shared" si="30"/>
        <v>5.5728731635578379</v>
      </c>
      <c r="AV27" s="26">
        <f t="shared" si="30"/>
        <v>0.50932752289642258</v>
      </c>
      <c r="AW27" s="26">
        <f t="shared" si="30"/>
        <v>32.390408981312568</v>
      </c>
      <c r="AX27" s="10">
        <f t="shared" si="21"/>
        <v>213417.36821911749</v>
      </c>
      <c r="AY27" s="8"/>
      <c r="AZ27" s="183">
        <f t="shared" si="22"/>
        <v>55.91838425102965</v>
      </c>
      <c r="BA27" s="8">
        <f t="shared" si="23"/>
        <v>294.55161426657503</v>
      </c>
      <c r="BB27" s="8">
        <f t="shared" si="24"/>
        <v>94.388043444774041</v>
      </c>
      <c r="BC27" s="183">
        <f t="shared" si="25"/>
        <v>43.481170800112892</v>
      </c>
      <c r="BD27" s="8">
        <f t="shared" si="18"/>
        <v>8.2159453988906854</v>
      </c>
      <c r="BE27" s="8">
        <f t="shared" si="16"/>
        <v>4.2212680520260788</v>
      </c>
    </row>
    <row r="28" spans="1:62" ht="30" x14ac:dyDescent="0.25">
      <c r="A28" s="251"/>
      <c r="B28" s="12" t="str">
        <f>'DR2.1 Rock volumes'!B24</f>
        <v>Fenite carapace, ellipsoid 2 long z axis (200m)</v>
      </c>
      <c r="C28" s="184">
        <f>'DR2.1 Rock volumes'!O24</f>
        <v>120247.71821852773</v>
      </c>
      <c r="D28" s="8">
        <f t="shared" si="19"/>
        <v>120.24771821852774</v>
      </c>
      <c r="E28" s="26">
        <f t="shared" si="20"/>
        <v>111397.48615764409</v>
      </c>
      <c r="F28" s="26">
        <f t="shared" si="20"/>
        <v>3180.5521468800589</v>
      </c>
      <c r="G28" s="26">
        <f t="shared" si="20"/>
        <v>1107.996832156434</v>
      </c>
      <c r="H28" s="26">
        <f t="shared" si="20"/>
        <v>527.37213561554313</v>
      </c>
      <c r="I28" s="26">
        <f t="shared" si="20"/>
        <v>369.99297913393144</v>
      </c>
      <c r="J28" s="26">
        <f t="shared" si="20"/>
        <v>768.72648432558788</v>
      </c>
      <c r="K28" s="26">
        <f t="shared" si="20"/>
        <v>2257.2214534163636</v>
      </c>
      <c r="L28" s="26" t="e">
        <f t="shared" si="30"/>
        <v>#DIV/0!</v>
      </c>
      <c r="M28" s="26">
        <f t="shared" si="30"/>
        <v>113.37642003461188</v>
      </c>
      <c r="N28" s="26">
        <f t="shared" si="30"/>
        <v>112.84785863584909</v>
      </c>
      <c r="O28" s="26">
        <f t="shared" si="30"/>
        <v>42.94561364947419</v>
      </c>
      <c r="P28" s="26">
        <f t="shared" si="30"/>
        <v>376.20357556939388</v>
      </c>
      <c r="Q28" s="26">
        <f t="shared" si="30"/>
        <v>510.9422703878098</v>
      </c>
      <c r="R28" s="26">
        <f t="shared" si="30"/>
        <v>0</v>
      </c>
      <c r="S28" s="26">
        <f t="shared" si="30"/>
        <v>36.400794032907534</v>
      </c>
      <c r="T28" s="26">
        <f t="shared" si="30"/>
        <v>11.821016357892844</v>
      </c>
      <c r="U28" s="26">
        <f t="shared" si="30"/>
        <v>1.7574204017637831</v>
      </c>
      <c r="V28" s="26">
        <f t="shared" si="30"/>
        <v>1.5829589997864317E-2</v>
      </c>
      <c r="W28" s="26">
        <f t="shared" si="30"/>
        <v>0.60543182327323264</v>
      </c>
      <c r="X28" s="26">
        <f t="shared" si="30"/>
        <v>0.31763254395846763</v>
      </c>
      <c r="Y28" s="26">
        <f t="shared" si="30"/>
        <v>0.15829929466422671</v>
      </c>
      <c r="Z28" s="26">
        <f t="shared" si="30"/>
        <v>0.55205246443253198</v>
      </c>
      <c r="AA28" s="26">
        <f t="shared" si="30"/>
        <v>0.76601783179552341</v>
      </c>
      <c r="AB28" s="26">
        <f t="shared" si="30"/>
        <v>0.41451608427801306</v>
      </c>
      <c r="AC28" s="26">
        <f t="shared" si="30"/>
        <v>0.10553291244188172</v>
      </c>
      <c r="AD28" s="26">
        <f t="shared" si="30"/>
        <v>6.3522375705835916</v>
      </c>
      <c r="AE28" s="26">
        <f t="shared" si="30"/>
        <v>3.7338812720870918E-2</v>
      </c>
      <c r="AF28" s="26">
        <f t="shared" si="30"/>
        <v>6.5390030626539719</v>
      </c>
      <c r="AG28" s="26">
        <f t="shared" si="30"/>
        <v>5.4930628140034843</v>
      </c>
      <c r="AH28" s="26">
        <f t="shared" si="30"/>
        <v>0.55085479715907548</v>
      </c>
      <c r="AI28" s="26">
        <f t="shared" si="30"/>
        <v>1.4666886783441204</v>
      </c>
      <c r="AJ28" s="26">
        <f t="shared" si="30"/>
        <v>3.9056362679203227</v>
      </c>
      <c r="AK28" s="26" t="e">
        <f t="shared" si="30"/>
        <v>#DIV/0!</v>
      </c>
      <c r="AL28" s="26">
        <f t="shared" si="30"/>
        <v>0.96223811388346381</v>
      </c>
      <c r="AM28" s="26">
        <f t="shared" si="30"/>
        <v>0.19964081168108674</v>
      </c>
      <c r="AN28" s="26">
        <f t="shared" si="30"/>
        <v>14.731417232503885</v>
      </c>
      <c r="AO28" s="26">
        <f t="shared" si="30"/>
        <v>0.22589921341022182</v>
      </c>
      <c r="AP28" s="26">
        <f t="shared" si="30"/>
        <v>0.10082280931926198</v>
      </c>
      <c r="AQ28" s="26">
        <f t="shared" si="30"/>
        <v>0.58700017902610091</v>
      </c>
      <c r="AR28" s="26">
        <f t="shared" si="30"/>
        <v>4.183432916541744E-2</v>
      </c>
      <c r="AS28" s="26">
        <f t="shared" si="30"/>
        <v>0.20549043239487816</v>
      </c>
      <c r="AT28" s="26">
        <f t="shared" si="30"/>
        <v>1.851496204112048</v>
      </c>
      <c r="AU28" s="26">
        <f t="shared" si="30"/>
        <v>3.1565804206882859</v>
      </c>
      <c r="AV28" s="26">
        <f t="shared" si="30"/>
        <v>0.28849271090643336</v>
      </c>
      <c r="AW28" s="26">
        <f t="shared" si="30"/>
        <v>18.346538277074881</v>
      </c>
      <c r="AX28" s="10">
        <f t="shared" si="21"/>
        <v>120883.62074352409</v>
      </c>
      <c r="AY28" s="8"/>
      <c r="AZ28" s="183">
        <f t="shared" ref="AZ28" si="31">SUM(AD28,T28,W28,X28,Y28,AA28,AC28,AE28,AG28,AI28,AL28,AP28,AR28,AU28,AV28)</f>
        <v>31.6732270236411</v>
      </c>
      <c r="BA28" s="8">
        <f t="shared" si="23"/>
        <v>166.83958726281335</v>
      </c>
      <c r="BB28" s="8">
        <f t="shared" si="24"/>
        <v>53.463167228201499</v>
      </c>
      <c r="BC28" s="183">
        <f t="shared" si="25"/>
        <v>24.628554856363383</v>
      </c>
      <c r="BD28" s="8">
        <f t="shared" si="18"/>
        <v>4.6536663624738512</v>
      </c>
      <c r="BE28" s="8">
        <f t="shared" si="16"/>
        <v>2.3910058048038705</v>
      </c>
    </row>
    <row r="29" spans="1:62" ht="33.75" customHeight="1" x14ac:dyDescent="0.25">
      <c r="A29" s="251"/>
      <c r="B29" s="12" t="str">
        <f>'DR2.1 Rock volumes'!B25</f>
        <v>Fenite carapace, ellipsoid 2 long z axis (400m)</v>
      </c>
      <c r="C29" s="184">
        <f>'DR2.1 Rock volumes'!O25</f>
        <v>205395.3799042555</v>
      </c>
      <c r="D29" s="8">
        <f t="shared" si="19"/>
        <v>205.39537990425549</v>
      </c>
      <c r="E29" s="26">
        <f t="shared" si="20"/>
        <v>190278.2799433023</v>
      </c>
      <c r="F29" s="26">
        <f t="shared" si="20"/>
        <v>5432.707798467558</v>
      </c>
      <c r="G29" s="26">
        <f t="shared" si="20"/>
        <v>1892.5717148320682</v>
      </c>
      <c r="H29" s="26">
        <f t="shared" si="20"/>
        <v>900.80545186580639</v>
      </c>
      <c r="I29" s="26">
        <f t="shared" si="20"/>
        <v>631.98578432078602</v>
      </c>
      <c r="J29" s="26">
        <f t="shared" si="20"/>
        <v>1313.063321530776</v>
      </c>
      <c r="K29" s="26">
        <f t="shared" si="20"/>
        <v>3855.5647027741675</v>
      </c>
      <c r="L29" s="26" t="e">
        <f t="shared" si="30"/>
        <v>#DIV/0!</v>
      </c>
      <c r="M29" s="26">
        <f t="shared" si="30"/>
        <v>193.6585010525838</v>
      </c>
      <c r="N29" s="26">
        <f t="shared" si="30"/>
        <v>192.75566421783978</v>
      </c>
      <c r="O29" s="26">
        <f t="shared" si="30"/>
        <v>73.355492822948392</v>
      </c>
      <c r="P29" s="26">
        <f t="shared" si="30"/>
        <v>642.59411712902795</v>
      </c>
      <c r="Q29" s="26">
        <f t="shared" si="30"/>
        <v>872.74156458194739</v>
      </c>
      <c r="R29" s="26">
        <f t="shared" si="30"/>
        <v>0</v>
      </c>
      <c r="S29" s="26">
        <f t="shared" si="30"/>
        <v>62.176272697485707</v>
      </c>
      <c r="T29" s="26">
        <f t="shared" si="30"/>
        <v>20.191502854727077</v>
      </c>
      <c r="U29" s="26">
        <f t="shared" si="30"/>
        <v>3.0018534773006946</v>
      </c>
      <c r="V29" s="26">
        <f t="shared" si="30"/>
        <v>2.7038555903666051E-2</v>
      </c>
      <c r="W29" s="26">
        <f t="shared" si="30"/>
        <v>1.0341393682110753</v>
      </c>
      <c r="X29" s="26">
        <f t="shared" si="30"/>
        <v>0.54254881508639219</v>
      </c>
      <c r="Y29" s="26">
        <f t="shared" si="30"/>
        <v>0.27039135750623161</v>
      </c>
      <c r="Z29" s="26">
        <f t="shared" si="30"/>
        <v>0.94296197332524079</v>
      </c>
      <c r="AA29" s="26">
        <f t="shared" si="30"/>
        <v>1.3084366664583682</v>
      </c>
      <c r="AB29" s="26">
        <f t="shared" si="30"/>
        <v>0.70803579367702785</v>
      </c>
      <c r="AC29" s="26">
        <f t="shared" si="30"/>
        <v>0.18026098926892567</v>
      </c>
      <c r="AD29" s="26">
        <f t="shared" si="30"/>
        <v>10.850270328464918</v>
      </c>
      <c r="AE29" s="26">
        <f t="shared" si="30"/>
        <v>6.377850438741596E-2</v>
      </c>
      <c r="AF29" s="26">
        <f t="shared" si="30"/>
        <v>11.169284857514754</v>
      </c>
      <c r="AG29" s="26">
        <f t="shared" si="30"/>
        <v>9.3827121232338193</v>
      </c>
      <c r="AH29" s="26">
        <f t="shared" si="30"/>
        <v>0.94091623534139446</v>
      </c>
      <c r="AI29" s="26">
        <f t="shared" si="30"/>
        <v>2.5052540102448644</v>
      </c>
      <c r="AJ29" s="26">
        <f t="shared" si="30"/>
        <v>6.671225507659825</v>
      </c>
      <c r="AK29" s="26" t="e">
        <f t="shared" si="30"/>
        <v>#DIV/0!</v>
      </c>
      <c r="AL29" s="26">
        <f t="shared" si="30"/>
        <v>1.6436009421839999</v>
      </c>
      <c r="AM29" s="26">
        <f t="shared" si="30"/>
        <v>0.34100688950380981</v>
      </c>
      <c r="AN29" s="26">
        <f t="shared" si="30"/>
        <v>25.162764697950191</v>
      </c>
      <c r="AO29" s="26">
        <f t="shared" si="30"/>
        <v>0.3858589206170559</v>
      </c>
      <c r="AP29" s="26">
        <f t="shared" si="30"/>
        <v>0.172215652238076</v>
      </c>
      <c r="AQ29" s="26">
        <f t="shared" si="30"/>
        <v>1.0026562379821944</v>
      </c>
      <c r="AR29" s="26">
        <f t="shared" si="30"/>
        <v>7.1457305463004203E-2</v>
      </c>
      <c r="AS29" s="26">
        <f t="shared" si="30"/>
        <v>0.35099863892413158</v>
      </c>
      <c r="AT29" s="26">
        <f t="shared" si="30"/>
        <v>3.1625445527687881</v>
      </c>
      <c r="AU29" s="26">
        <f t="shared" si="30"/>
        <v>5.3917616426397021</v>
      </c>
      <c r="AV29" s="26">
        <f t="shared" si="30"/>
        <v>0.49277500508201272</v>
      </c>
      <c r="AW29" s="26">
        <f t="shared" si="30"/>
        <v>31.337760542778788</v>
      </c>
      <c r="AX29" s="10">
        <f t="shared" ref="AX29:AX30" si="32">SUMIF(E29:AW29, "&lt;&gt;#DIV/0!")</f>
        <v>206481.56634204174</v>
      </c>
      <c r="AY29" s="8"/>
      <c r="AZ29" s="183">
        <f>SUM(AD29,T29,W29,X29,Y29,AA29,AC29,AE29,AG29,AI29,AL29,AP29,AR29,AU29,AV29)</f>
        <v>54.101105565195873</v>
      </c>
      <c r="BA29" s="8">
        <f t="shared" si="23"/>
        <v>284.97904922103316</v>
      </c>
      <c r="BB29" s="8">
        <f t="shared" si="24"/>
        <v>91.320548168449378</v>
      </c>
      <c r="BC29" s="183">
        <f t="shared" si="25"/>
        <v>42.068086248609809</v>
      </c>
      <c r="BD29" s="8">
        <f t="shared" si="18"/>
        <v>7.9489372823766047</v>
      </c>
      <c r="BE29" s="8">
        <f t="shared" si="16"/>
        <v>4.0840820342094641</v>
      </c>
    </row>
    <row r="30" spans="1:62" ht="32.25" customHeight="1" x14ac:dyDescent="0.25">
      <c r="A30" s="251"/>
      <c r="B30" s="12" t="str">
        <f>'DR2.1 Rock volumes'!B26</f>
        <v>Fenite carapace, ellipsoid 2 long z axis (800m)</v>
      </c>
      <c r="C30" s="184">
        <f>'DR2.1 Rock volumes'!O26</f>
        <v>386329.20414226875</v>
      </c>
      <c r="D30" s="8">
        <f t="shared" si="19"/>
        <v>386.32920414226874</v>
      </c>
      <c r="E30" s="26">
        <f t="shared" si="20"/>
        <v>357895.37471739779</v>
      </c>
      <c r="F30" s="26">
        <f t="shared" si="20"/>
        <v>10218.407449563008</v>
      </c>
      <c r="G30" s="26">
        <f t="shared" si="20"/>
        <v>3559.7476667394758</v>
      </c>
      <c r="H30" s="26">
        <f t="shared" si="20"/>
        <v>1694.3295095953788</v>
      </c>
      <c r="I30" s="26">
        <f t="shared" si="20"/>
        <v>1188.7052435146729</v>
      </c>
      <c r="J30" s="26">
        <f t="shared" si="20"/>
        <v>2469.7474121952177</v>
      </c>
      <c r="K30" s="26">
        <f t="shared" si="20"/>
        <v>7251.9510606134445</v>
      </c>
      <c r="L30" s="26" t="e">
        <f t="shared" si="30"/>
        <v>#DIV/0!</v>
      </c>
      <c r="M30" s="26">
        <f t="shared" si="30"/>
        <v>364.25324961985348</v>
      </c>
      <c r="N30" s="26">
        <f t="shared" si="30"/>
        <v>362.55509927197528</v>
      </c>
      <c r="O30" s="26">
        <f t="shared" si="30"/>
        <v>137.97471576509599</v>
      </c>
      <c r="P30" s="26">
        <f t="shared" si="30"/>
        <v>1208.6585101022408</v>
      </c>
      <c r="Q30" s="26">
        <f t="shared" si="30"/>
        <v>1641.5440027131622</v>
      </c>
      <c r="R30" s="26">
        <f t="shared" si="30"/>
        <v>0</v>
      </c>
      <c r="S30" s="26">
        <f t="shared" si="30"/>
        <v>116.94766434838709</v>
      </c>
      <c r="T30" s="26">
        <f t="shared" si="30"/>
        <v>37.978299375279384</v>
      </c>
      <c r="U30" s="26">
        <f t="shared" si="30"/>
        <v>5.6462013185392586</v>
      </c>
      <c r="V30" s="26">
        <f t="shared" si="30"/>
        <v>5.0856955927094466E-2</v>
      </c>
      <c r="W30" s="26">
        <f t="shared" si="30"/>
        <v>1.9451179441300368</v>
      </c>
      <c r="X30" s="26">
        <f t="shared" si="30"/>
        <v>1.0204827978037403</v>
      </c>
      <c r="Y30" s="26">
        <f t="shared" si="30"/>
        <v>0.5085804656415539</v>
      </c>
      <c r="Z30" s="26">
        <f t="shared" si="30"/>
        <v>1.77362192304899</v>
      </c>
      <c r="AA30" s="26">
        <f t="shared" si="30"/>
        <v>2.4610451133762408</v>
      </c>
      <c r="AB30" s="26">
        <f t="shared" si="30"/>
        <v>1.3317480889930111</v>
      </c>
      <c r="AC30" s="26">
        <f t="shared" si="30"/>
        <v>0.33905380225506843</v>
      </c>
      <c r="AD30" s="26">
        <f t="shared" si="30"/>
        <v>20.40832808741029</v>
      </c>
      <c r="AE30" s="26">
        <f t="shared" si="30"/>
        <v>0.11996131000054742</v>
      </c>
      <c r="AF30" s="26">
        <f t="shared" si="30"/>
        <v>21.008364121205666</v>
      </c>
      <c r="AG30" s="26">
        <f t="shared" si="30"/>
        <v>17.64799047064562</v>
      </c>
      <c r="AH30" s="26">
        <f t="shared" si="30"/>
        <v>1.769774084175733</v>
      </c>
      <c r="AI30" s="26">
        <f t="shared" si="30"/>
        <v>4.7121448807820681</v>
      </c>
      <c r="AJ30" s="26">
        <f t="shared" si="30"/>
        <v>12.547941644204556</v>
      </c>
      <c r="AK30" s="26" t="e">
        <f t="shared" si="30"/>
        <v>#DIV/0!</v>
      </c>
      <c r="AL30" s="26">
        <f t="shared" si="30"/>
        <v>3.0914572870013814</v>
      </c>
      <c r="AM30" s="26">
        <f t="shared" si="30"/>
        <v>0.64140157529564723</v>
      </c>
      <c r="AN30" s="26">
        <f t="shared" si="30"/>
        <v>47.328770804434555</v>
      </c>
      <c r="AO30" s="26">
        <f t="shared" si="30"/>
        <v>0.72576398642788353</v>
      </c>
      <c r="AP30" s="26">
        <f t="shared" si="30"/>
        <v>0.32392128732881575</v>
      </c>
      <c r="AQ30" s="26">
        <f t="shared" si="30"/>
        <v>1.8859011659780616</v>
      </c>
      <c r="AR30" s="26">
        <f t="shared" si="30"/>
        <v>0.13440440560319267</v>
      </c>
      <c r="AS30" s="26">
        <f t="shared" si="30"/>
        <v>0.66019510708463525</v>
      </c>
      <c r="AT30" s="26">
        <f t="shared" si="30"/>
        <v>5.9484459713999618</v>
      </c>
      <c r="AU30" s="26">
        <f t="shared" si="30"/>
        <v>10.141391618919521</v>
      </c>
      <c r="AV30" s="26">
        <f t="shared" si="30"/>
        <v>0.92686298797606081</v>
      </c>
      <c r="AW30" s="26">
        <f t="shared" si="30"/>
        <v>58.943351577509787</v>
      </c>
      <c r="AX30" s="10">
        <f t="shared" si="32"/>
        <v>388372.21768159815</v>
      </c>
      <c r="AY30" s="8"/>
      <c r="AZ30" s="183">
        <f t="shared" si="22"/>
        <v>101.75904183415351</v>
      </c>
      <c r="BA30" s="8">
        <f t="shared" si="23"/>
        <v>536.01852843088773</v>
      </c>
      <c r="BB30" s="8">
        <f t="shared" si="24"/>
        <v>171.76527881103434</v>
      </c>
      <c r="BC30" s="183">
        <f t="shared" si="25"/>
        <v>79.126075220336674</v>
      </c>
      <c r="BD30" s="8">
        <f t="shared" si="18"/>
        <v>14.951196154016984</v>
      </c>
      <c r="BE30" s="8">
        <f t="shared" si="16"/>
        <v>7.6817704597998624</v>
      </c>
    </row>
    <row r="31" spans="1:62" ht="30" hidden="1" customHeight="1" x14ac:dyDescent="0.25">
      <c r="A31" s="251"/>
      <c r="B31" s="12" t="s">
        <v>118</v>
      </c>
      <c r="C31" s="10">
        <v>108020.52180103144</v>
      </c>
      <c r="D31" s="8">
        <f t="shared" ref="D31:D36" si="33">C31/1000</f>
        <v>108.02052180103144</v>
      </c>
      <c r="E31" s="26">
        <f t="shared" ref="E31" si="34">E$14/100*$C31</f>
        <v>100070.21139647553</v>
      </c>
      <c r="F31" s="26">
        <f t="shared" ref="F31:K31" si="35">F$14/100*$C31</f>
        <v>2857.142801637282</v>
      </c>
      <c r="G31" s="26">
        <f t="shared" si="35"/>
        <v>995.33195088093248</v>
      </c>
      <c r="H31" s="26">
        <f t="shared" si="35"/>
        <v>473.74714561309509</v>
      </c>
      <c r="I31" s="26">
        <f t="shared" si="35"/>
        <v>332.37083631086591</v>
      </c>
      <c r="J31" s="26">
        <f t="shared" si="35"/>
        <v>690.55976437087952</v>
      </c>
      <c r="K31" s="26">
        <f t="shared" si="35"/>
        <v>2027.6995092365044</v>
      </c>
      <c r="L31" s="26" t="e">
        <f t="shared" ref="L31:AW31" si="36">L$14/100*$C31</f>
        <v>#DIV/0!</v>
      </c>
      <c r="M31" s="26">
        <f t="shared" si="36"/>
        <v>101.84792055525824</v>
      </c>
      <c r="N31" s="26">
        <f t="shared" si="36"/>
        <v>101.37310507481412</v>
      </c>
      <c r="O31" s="26">
        <f t="shared" si="36"/>
        <v>38.578757786082654</v>
      </c>
      <c r="P31" s="26">
        <f t="shared" si="36"/>
        <v>337.94991820608408</v>
      </c>
      <c r="Q31" s="26">
        <f t="shared" si="36"/>
        <v>458.98792488680175</v>
      </c>
      <c r="R31" s="26">
        <f t="shared" si="36"/>
        <v>0</v>
      </c>
      <c r="S31" s="26">
        <f t="shared" si="36"/>
        <v>32.699437658025325</v>
      </c>
      <c r="T31" s="26">
        <f t="shared" si="36"/>
        <v>10.619015263787077</v>
      </c>
      <c r="U31" s="26">
        <f t="shared" si="36"/>
        <v>1.5787199261220748</v>
      </c>
      <c r="V31" s="26">
        <f t="shared" si="36"/>
        <v>1.4219983520670479E-2</v>
      </c>
      <c r="W31" s="26">
        <f t="shared" si="36"/>
        <v>0.54386945909504802</v>
      </c>
      <c r="X31" s="26">
        <f t="shared" si="36"/>
        <v>0.28533458802959744</v>
      </c>
      <c r="Y31" s="26">
        <f t="shared" si="36"/>
        <v>0.14220288470912792</v>
      </c>
      <c r="Z31" s="26">
        <f t="shared" si="36"/>
        <v>0.49591789476766324</v>
      </c>
      <c r="AA31" s="26">
        <f t="shared" si="36"/>
        <v>0.68812653683018277</v>
      </c>
      <c r="AB31" s="26">
        <f t="shared" si="36"/>
        <v>0.37236668089833397</v>
      </c>
      <c r="AC31" s="26">
        <f t="shared" si="36"/>
        <v>9.4801967455530142E-2</v>
      </c>
      <c r="AD31" s="26">
        <f t="shared" si="36"/>
        <v>5.706320478627017</v>
      </c>
      <c r="AE31" s="26">
        <f t="shared" si="36"/>
        <v>3.3542075419756345E-2</v>
      </c>
      <c r="AF31" s="26">
        <f t="shared" si="36"/>
        <v>5.8740950211027876</v>
      </c>
      <c r="AG31" s="26">
        <f t="shared" si="36"/>
        <v>4.9345095295377766</v>
      </c>
      <c r="AH31" s="26">
        <f t="shared" si="36"/>
        <v>0.494842010370525</v>
      </c>
      <c r="AI31" s="26">
        <f t="shared" si="36"/>
        <v>1.3175507918285456</v>
      </c>
      <c r="AJ31" s="26">
        <f t="shared" si="36"/>
        <v>3.5084979064557564</v>
      </c>
      <c r="AK31" s="26" t="e">
        <f t="shared" si="36"/>
        <v>#DIV/0!</v>
      </c>
      <c r="AL31" s="26">
        <f t="shared" si="36"/>
        <v>0.86439447416073134</v>
      </c>
      <c r="AM31" s="26">
        <f t="shared" si="36"/>
        <v>0.17934065585661704</v>
      </c>
      <c r="AN31" s="26">
        <f t="shared" si="36"/>
        <v>13.233476692105661</v>
      </c>
      <c r="AO31" s="26">
        <f t="shared" si="36"/>
        <v>0.20292901410959918</v>
      </c>
      <c r="AP31" s="26">
        <f t="shared" si="36"/>
        <v>9.0570803616583748E-2</v>
      </c>
      <c r="AQ31" s="26">
        <f t="shared" si="36"/>
        <v>0.52731200703921888</v>
      </c>
      <c r="AR31" s="26">
        <f t="shared" si="36"/>
        <v>3.7580472482913352E-2</v>
      </c>
      <c r="AS31" s="26">
        <f t="shared" si="36"/>
        <v>0.18459546726762072</v>
      </c>
      <c r="AT31" s="26">
        <f t="shared" si="36"/>
        <v>1.6632297813531114</v>
      </c>
      <c r="AU31" s="26">
        <f t="shared" si="36"/>
        <v>2.8356086019861837</v>
      </c>
      <c r="AV31" s="26">
        <f t="shared" si="36"/>
        <v>0.2591577921775936</v>
      </c>
      <c r="AW31" s="26">
        <f t="shared" si="36"/>
        <v>16.480999949875716</v>
      </c>
      <c r="AX31" s="8">
        <f t="shared" ref="AX31:AX36" si="37">SUMIF(E31:AW31, "&lt;&gt;#DIV/0!")</f>
        <v>108591.76359740275</v>
      </c>
      <c r="AY31" s="8">
        <f t="shared" si="29"/>
        <v>0.52882710326423421</v>
      </c>
      <c r="AZ31" s="183">
        <f t="shared" si="22"/>
        <v>28.452585719743666</v>
      </c>
      <c r="BA31" s="8">
        <f t="shared" si="23"/>
        <v>149.87477134864238</v>
      </c>
      <c r="BB31" s="8">
        <f t="shared" si="24"/>
        <v>48.026850793384128</v>
      </c>
      <c r="BC31" s="183">
        <f t="shared" si="25"/>
        <v>22.124239746112604</v>
      </c>
      <c r="BD31" s="8">
        <f t="shared" si="18"/>
        <v>4.1804657602632069</v>
      </c>
      <c r="BE31" s="8">
        <f t="shared" si="16"/>
        <v>2.1478802133678561</v>
      </c>
    </row>
    <row r="32" spans="1:62" s="241" customFormat="1" ht="15.75" x14ac:dyDescent="0.25">
      <c r="A32" s="236"/>
      <c r="B32" s="242" t="s">
        <v>533</v>
      </c>
      <c r="C32" s="237"/>
      <c r="D32" s="238">
        <f>AVERAGE(D22:D30)</f>
        <v>177.95205225669329</v>
      </c>
      <c r="E32" s="238">
        <f>AVERAGE(E22:E30)</f>
        <v>164854.78121060069</v>
      </c>
      <c r="F32" s="238">
        <f t="shared" ref="F32:AW32" si="38">AVERAGE(F22:F30)</f>
        <v>4706.8317821895371</v>
      </c>
      <c r="G32" s="238">
        <f t="shared" si="38"/>
        <v>1639.7010529366735</v>
      </c>
      <c r="H32" s="238">
        <f t="shared" si="38"/>
        <v>780.44685775435505</v>
      </c>
      <c r="I32" s="238">
        <f t="shared" si="38"/>
        <v>547.54477617444081</v>
      </c>
      <c r="J32" s="238">
        <f t="shared" si="38"/>
        <v>1137.6220483552891</v>
      </c>
      <c r="K32" s="238">
        <f t="shared" si="38"/>
        <v>3340.4142380756425</v>
      </c>
      <c r="L32" s="238" t="e">
        <f t="shared" si="38"/>
        <v>#DIV/0!</v>
      </c>
      <c r="M32" s="238">
        <f t="shared" si="38"/>
        <v>167.78336355631086</v>
      </c>
      <c r="N32" s="238">
        <f t="shared" si="38"/>
        <v>167.00115673320448</v>
      </c>
      <c r="O32" s="238">
        <f t="shared" si="38"/>
        <v>63.554304377390459</v>
      </c>
      <c r="P32" s="238">
        <f t="shared" si="38"/>
        <v>556.73570634594046</v>
      </c>
      <c r="Q32" s="238">
        <f t="shared" si="38"/>
        <v>756.13264806380016</v>
      </c>
      <c r="R32" s="238">
        <f t="shared" si="38"/>
        <v>0</v>
      </c>
      <c r="S32" s="238">
        <f t="shared" si="38"/>
        <v>53.868764396487535</v>
      </c>
      <c r="T32" s="238">
        <f t="shared" si="38"/>
        <v>17.493671828550802</v>
      </c>
      <c r="U32" s="238">
        <f t="shared" si="38"/>
        <v>2.6007692437315728</v>
      </c>
      <c r="V32" s="238">
        <f t="shared" si="38"/>
        <v>2.3425875087149488E-2</v>
      </c>
      <c r="W32" s="238">
        <f t="shared" si="38"/>
        <v>0.89596573680666458</v>
      </c>
      <c r="X32" s="238">
        <f t="shared" si="38"/>
        <v>0.47005767675527133</v>
      </c>
      <c r="Y32" s="238">
        <f t="shared" si="38"/>
        <v>0.23426377459481629</v>
      </c>
      <c r="Z32" s="238">
        <f t="shared" si="38"/>
        <v>0.81697075382838868</v>
      </c>
      <c r="AA32" s="238">
        <f t="shared" si="38"/>
        <v>1.133613570824769</v>
      </c>
      <c r="AB32" s="238">
        <f t="shared" si="38"/>
        <v>0.61343357681539212</v>
      </c>
      <c r="AC32" s="238">
        <f t="shared" si="38"/>
        <v>0.15617592273584768</v>
      </c>
      <c r="AD32" s="238">
        <f t="shared" si="38"/>
        <v>9.4005418884801006</v>
      </c>
      <c r="AE32" s="238">
        <f t="shared" si="38"/>
        <v>5.5256918392681147E-2</v>
      </c>
      <c r="AF32" s="238">
        <f t="shared" si="38"/>
        <v>9.6769321859180639</v>
      </c>
      <c r="AG32" s="238">
        <f t="shared" si="38"/>
        <v>8.1290673570239402</v>
      </c>
      <c r="AH32" s="238">
        <f t="shared" si="38"/>
        <v>0.81519835138791186</v>
      </c>
      <c r="AI32" s="238">
        <f t="shared" si="38"/>
        <v>2.1705215217362723</v>
      </c>
      <c r="AJ32" s="238">
        <f t="shared" si="38"/>
        <v>5.7798684211332167</v>
      </c>
      <c r="AK32" s="238" t="e">
        <f t="shared" si="38"/>
        <v>#DIV/0!</v>
      </c>
      <c r="AL32" s="238">
        <f t="shared" si="38"/>
        <v>1.4239958118289577</v>
      </c>
      <c r="AM32" s="238">
        <f t="shared" si="38"/>
        <v>0.29544421032820478</v>
      </c>
      <c r="AN32" s="238">
        <f t="shared" si="38"/>
        <v>21.800712462664972</v>
      </c>
      <c r="AO32" s="238">
        <f t="shared" si="38"/>
        <v>0.33430346309330483</v>
      </c>
      <c r="AP32" s="238">
        <f t="shared" si="38"/>
        <v>0.14920554084895302</v>
      </c>
      <c r="AQ32" s="238">
        <f t="shared" si="38"/>
        <v>0.86868913672780357</v>
      </c>
      <c r="AR32" s="238">
        <f t="shared" si="38"/>
        <v>6.1909737998014053E-2</v>
      </c>
      <c r="AS32" s="238">
        <f t="shared" si="38"/>
        <v>0.30410094017193212</v>
      </c>
      <c r="AT32" s="238">
        <f t="shared" si="38"/>
        <v>2.7399900318145964</v>
      </c>
      <c r="AU32" s="238">
        <f t="shared" si="38"/>
        <v>4.6713565321377306</v>
      </c>
      <c r="AV32" s="238">
        <f t="shared" si="38"/>
        <v>0.42693425478228009</v>
      </c>
      <c r="AW32" s="238">
        <f t="shared" si="38"/>
        <v>27.150653555673145</v>
      </c>
      <c r="AX32" s="239"/>
      <c r="AY32" s="239"/>
      <c r="AZ32" s="240">
        <f t="shared" si="22"/>
        <v>46.872538073497097</v>
      </c>
      <c r="BA32" s="239"/>
      <c r="BB32" s="239"/>
      <c r="BC32" s="240"/>
      <c r="BD32" s="239"/>
      <c r="BE32" s="239"/>
    </row>
    <row r="33" spans="1:58" s="15" customFormat="1" ht="15.75" x14ac:dyDescent="0.25">
      <c r="A33" s="227"/>
      <c r="B33" s="16" t="s">
        <v>513</v>
      </c>
      <c r="C33" s="17">
        <f>C23</f>
        <v>144800.22299209086</v>
      </c>
      <c r="D33" s="24">
        <f t="shared" si="33"/>
        <v>144.80022299209085</v>
      </c>
      <c r="E33" s="226">
        <f>E$15/100*$C33</f>
        <v>142672.62504892703</v>
      </c>
      <c r="F33" s="226">
        <f t="shared" ref="F33:AW36" si="39">F$15/100*$C33</f>
        <v>844.66796745386341</v>
      </c>
      <c r="G33" s="226">
        <f t="shared" si="39"/>
        <v>256.7790621059745</v>
      </c>
      <c r="H33" s="226">
        <f t="shared" si="39"/>
        <v>86.880133795254537</v>
      </c>
      <c r="I33" s="226">
        <f t="shared" si="39"/>
        <v>22.276957383398599</v>
      </c>
      <c r="J33" s="226">
        <f t="shared" si="39"/>
        <v>185.34428542987635</v>
      </c>
      <c r="K33" s="226">
        <f t="shared" si="39"/>
        <v>497.14743227284532</v>
      </c>
      <c r="L33" s="226" t="e">
        <f t="shared" si="39"/>
        <v>#DIV/0!</v>
      </c>
      <c r="M33" s="226">
        <f t="shared" si="39"/>
        <v>35.717388338049084</v>
      </c>
      <c r="N33" s="226">
        <f t="shared" si="39"/>
        <v>14.480022299209086</v>
      </c>
      <c r="O33" s="226">
        <f t="shared" si="39"/>
        <v>55.506752146968175</v>
      </c>
      <c r="P33" s="226">
        <f t="shared" si="39"/>
        <v>397.71794581827623</v>
      </c>
      <c r="Q33" s="226">
        <f t="shared" si="39"/>
        <v>425.40360664731247</v>
      </c>
      <c r="R33" s="226">
        <f t="shared" si="39"/>
        <v>0</v>
      </c>
      <c r="S33" s="226">
        <f t="shared" si="39"/>
        <v>3.9339565916196233</v>
      </c>
      <c r="T33" s="226">
        <f t="shared" si="39"/>
        <v>1.0662469641517982</v>
      </c>
      <c r="U33" s="226">
        <f t="shared" si="39"/>
        <v>2.1162552590294079</v>
      </c>
      <c r="V33" s="226">
        <f t="shared" si="39"/>
        <v>3.628588278928712E-3</v>
      </c>
      <c r="W33" s="226">
        <f t="shared" si="39"/>
        <v>0.13793538922025883</v>
      </c>
      <c r="X33" s="226">
        <f t="shared" si="39"/>
        <v>9.0516550061995896E-2</v>
      </c>
      <c r="Y33" s="226">
        <f t="shared" si="39"/>
        <v>2.8055805819225364E-2</v>
      </c>
      <c r="Z33" s="226">
        <f t="shared" si="39"/>
        <v>0.11122311985483915</v>
      </c>
      <c r="AA33" s="226">
        <f t="shared" si="39"/>
        <v>0.15799557771291414</v>
      </c>
      <c r="AB33" s="226">
        <f t="shared" si="39"/>
        <v>0.26752854799349729</v>
      </c>
      <c r="AC33" s="226">
        <f t="shared" si="39"/>
        <v>2.764477590624001E-2</v>
      </c>
      <c r="AD33" s="226">
        <f t="shared" si="39"/>
        <v>0.5649401937402464</v>
      </c>
      <c r="AE33" s="226">
        <f t="shared" si="39"/>
        <v>1.2294040906134888E-2</v>
      </c>
      <c r="AF33" s="226">
        <f t="shared" si="39"/>
        <v>0.68493208412754814</v>
      </c>
      <c r="AG33" s="226">
        <f t="shared" si="39"/>
        <v>0.64180092437230407</v>
      </c>
      <c r="AH33" s="226" t="e">
        <f t="shared" si="39"/>
        <v>#DIV/0!</v>
      </c>
      <c r="AI33" s="226">
        <f t="shared" si="39"/>
        <v>0.14765588610980707</v>
      </c>
      <c r="AJ33" s="226">
        <f t="shared" si="39"/>
        <v>0.76326398502520543</v>
      </c>
      <c r="AK33" s="226" t="e">
        <f t="shared" si="39"/>
        <v>#DIV/0!</v>
      </c>
      <c r="AL33" s="226">
        <f t="shared" si="39"/>
        <v>0.13645513515400348</v>
      </c>
      <c r="AM33" s="226">
        <f t="shared" si="39"/>
        <v>0.18383836311075857</v>
      </c>
      <c r="AN33" s="226">
        <f t="shared" si="39"/>
        <v>1.2169508853022406</v>
      </c>
      <c r="AO33" s="226">
        <f t="shared" si="39"/>
        <v>0.13320104939605043</v>
      </c>
      <c r="AP33" s="226">
        <f t="shared" si="39"/>
        <v>2.1888677441858427E-2</v>
      </c>
      <c r="AQ33" s="226">
        <f t="shared" si="39"/>
        <v>0.24967870594477171</v>
      </c>
      <c r="AR33" s="226">
        <f t="shared" si="39"/>
        <v>1.2789103215196645E-2</v>
      </c>
      <c r="AS33" s="226">
        <f t="shared" si="39"/>
        <v>4.1722388732405885E-2</v>
      </c>
      <c r="AT33" s="226">
        <f t="shared" si="39"/>
        <v>1.4217354694701432</v>
      </c>
      <c r="AU33" s="226">
        <f t="shared" si="39"/>
        <v>0.93657131751819556</v>
      </c>
      <c r="AV33" s="226">
        <f t="shared" si="39"/>
        <v>9.3544197231233917E-2</v>
      </c>
      <c r="AW33" s="226">
        <f t="shared" si="39"/>
        <v>12.596391494420935</v>
      </c>
      <c r="AX33" s="24">
        <f t="shared" si="37"/>
        <v>145522.34724368891</v>
      </c>
      <c r="AY33" s="24">
        <f t="shared" si="29"/>
        <v>0.49870382564085958</v>
      </c>
      <c r="AZ33" s="228">
        <f>SUM(AD33,T33,W33,X33,Y33,AA33,AC33,AE33,AG33,AI33,AL33,AP33,AR33,AU33,AV33)</f>
        <v>4.0763345385614125</v>
      </c>
      <c r="BA33" s="24">
        <f t="shared" ref="BA33:BA36" si="40">SUM(M33,T33,AD33, AF33,AG33, AL33, AQ33, AS33, AU33, AW33)</f>
        <v>52.636127546211291</v>
      </c>
      <c r="BB33" s="24">
        <f t="shared" ref="BB33:BB36" si="41">SUM(T33,AD33, AF33,AG33, AL33, AQ33, AS33, AU33, AW33)</f>
        <v>16.918739208162208</v>
      </c>
      <c r="BC33" s="228">
        <f t="shared" ref="BC33:BC36" si="42">SUM(AD33,T33,AG33,AL33)</f>
        <v>2.4094432174183518</v>
      </c>
      <c r="BD33" s="24">
        <f t="shared" ref="BD33:BD36" si="43">SUM(X33,W33,AC33,AE33,AP33,AR33,AV33,AU33)</f>
        <v>1.3331840515011142</v>
      </c>
      <c r="BE33" s="24">
        <f t="shared" ref="BE33:BE36" si="44">SUM(AI33,AA33,Y33)</f>
        <v>0.33370726964194658</v>
      </c>
    </row>
    <row r="34" spans="1:58" ht="15.75" x14ac:dyDescent="0.25">
      <c r="A34" s="194"/>
      <c r="B34" s="1" t="s">
        <v>514</v>
      </c>
      <c r="C34" s="10">
        <f>'DR2.1 Rock volumes'!O25</f>
        <v>205395.3799042555</v>
      </c>
      <c r="D34" s="8">
        <f t="shared" si="33"/>
        <v>205.39537990425549</v>
      </c>
      <c r="E34" s="26">
        <f t="shared" ref="E34:E35" si="45">E$15/100*$C34</f>
        <v>202377.43712219561</v>
      </c>
      <c r="F34" s="26">
        <f t="shared" si="39"/>
        <v>1198.1397161081572</v>
      </c>
      <c r="G34" s="26">
        <f t="shared" si="39"/>
        <v>364.23447369687983</v>
      </c>
      <c r="H34" s="26">
        <f t="shared" si="39"/>
        <v>123.23722794255333</v>
      </c>
      <c r="I34" s="26">
        <f t="shared" si="39"/>
        <v>31.599289216039313</v>
      </c>
      <c r="J34" s="26">
        <f t="shared" si="39"/>
        <v>262.90608627744712</v>
      </c>
      <c r="K34" s="26">
        <f t="shared" si="39"/>
        <v>705.19080433794397</v>
      </c>
      <c r="L34" s="26" t="e">
        <f t="shared" si="39"/>
        <v>#DIV/0!</v>
      </c>
      <c r="M34" s="26">
        <f t="shared" si="39"/>
        <v>50.664193709716358</v>
      </c>
      <c r="N34" s="26">
        <f t="shared" si="39"/>
        <v>20.539537990425551</v>
      </c>
      <c r="O34" s="26">
        <f t="shared" si="39"/>
        <v>78.734895629964626</v>
      </c>
      <c r="P34" s="26">
        <f t="shared" si="39"/>
        <v>564.15264347035509</v>
      </c>
      <c r="Q34" s="26">
        <f t="shared" si="39"/>
        <v>603.42403895840539</v>
      </c>
      <c r="R34" s="26">
        <f t="shared" si="39"/>
        <v>0</v>
      </c>
      <c r="S34" s="26">
        <f t="shared" si="39"/>
        <v>5.5802159138021317</v>
      </c>
      <c r="T34" s="26">
        <f t="shared" si="39"/>
        <v>1.5124438053225915</v>
      </c>
      <c r="U34" s="26">
        <f t="shared" si="39"/>
        <v>3.0018534773006946</v>
      </c>
      <c r="V34" s="26">
        <f t="shared" si="39"/>
        <v>5.1470588419425308E-3</v>
      </c>
      <c r="W34" s="26">
        <f t="shared" si="39"/>
        <v>0.19565779033837466</v>
      </c>
      <c r="X34" s="26">
        <f t="shared" si="39"/>
        <v>0.1283953905832155</v>
      </c>
      <c r="Y34" s="26">
        <f t="shared" si="39"/>
        <v>3.979643660545034E-2</v>
      </c>
      <c r="Z34" s="26">
        <f t="shared" si="39"/>
        <v>0.15776712552417158</v>
      </c>
      <c r="AA34" s="26">
        <f t="shared" si="39"/>
        <v>0.22411265008417053</v>
      </c>
      <c r="AB34" s="26">
        <f t="shared" si="39"/>
        <v>0.37948234204970532</v>
      </c>
      <c r="AC34" s="26">
        <f t="shared" si="39"/>
        <v>3.9213401280054107E-2</v>
      </c>
      <c r="AD34" s="26">
        <f t="shared" si="39"/>
        <v>0.8013530871620248</v>
      </c>
      <c r="AE34" s="26">
        <f t="shared" si="39"/>
        <v>1.7438779791188297E-2</v>
      </c>
      <c r="AF34" s="26">
        <f t="shared" si="39"/>
        <v>0.97155848741804374</v>
      </c>
      <c r="AG34" s="26">
        <f t="shared" si="39"/>
        <v>0.91037805025722962</v>
      </c>
      <c r="AH34" s="26" t="e">
        <f t="shared" si="39"/>
        <v>#DIV/0!</v>
      </c>
      <c r="AI34" s="26">
        <f t="shared" si="39"/>
        <v>0.20944606434949925</v>
      </c>
      <c r="AJ34" s="26">
        <f t="shared" si="39"/>
        <v>1.0826702675730759</v>
      </c>
      <c r="AK34" s="26" t="e">
        <f t="shared" si="39"/>
        <v>#DIV/0!</v>
      </c>
      <c r="AL34" s="26">
        <f t="shared" si="39"/>
        <v>0.19355808814171477</v>
      </c>
      <c r="AM34" s="26">
        <f t="shared" si="39"/>
        <v>0.26076997432644283</v>
      </c>
      <c r="AN34" s="26">
        <f t="shared" si="39"/>
        <v>1.72621342872605</v>
      </c>
      <c r="AO34" s="26">
        <f t="shared" si="39"/>
        <v>0.18894225146215179</v>
      </c>
      <c r="AP34" s="26">
        <f t="shared" si="39"/>
        <v>3.1048524138100161E-2</v>
      </c>
      <c r="AQ34" s="26">
        <f t="shared" si="39"/>
        <v>0.35416280169907205</v>
      </c>
      <c r="AR34" s="26">
        <f t="shared" si="39"/>
        <v>1.8141012902055616E-2</v>
      </c>
      <c r="AS34" s="26">
        <f t="shared" si="39"/>
        <v>5.9182131816700422E-2</v>
      </c>
      <c r="AT34" s="26">
        <f t="shared" si="39"/>
        <v>2.0166950771279231</v>
      </c>
      <c r="AU34" s="26">
        <f t="shared" si="39"/>
        <v>1.3285022467098424</v>
      </c>
      <c r="AV34" s="26">
        <f t="shared" si="39"/>
        <v>0.13269002996768425</v>
      </c>
      <c r="AW34" s="26">
        <f t="shared" si="39"/>
        <v>17.867656298848644</v>
      </c>
      <c r="AX34" s="8">
        <f t="shared" ref="AX34:AX35" si="46">SUMIF(E34:AW34, "&lt;&gt;#DIV/0!")</f>
        <v>206419.69452152768</v>
      </c>
      <c r="AY34" s="8">
        <f t="shared" ref="AY34:AY35" si="47">ABS((AX34/C34*100)-100)</f>
        <v>0.49870382564090221</v>
      </c>
      <c r="AZ34" s="183">
        <f t="shared" ref="AZ34:AZ35" si="48">SUM(AD34,T34,W34,X34,Y34,AA34,AC34,AE34,AG34,AI34,AL34,AP34,AR34,AU34,AV34)</f>
        <v>5.7821753576331956</v>
      </c>
      <c r="BA34" s="8">
        <f t="shared" si="40"/>
        <v>74.662988707092211</v>
      </c>
      <c r="BB34" s="8">
        <f t="shared" si="41"/>
        <v>23.998794997375864</v>
      </c>
      <c r="BC34" s="183">
        <f t="shared" si="42"/>
        <v>3.4177330308835607</v>
      </c>
      <c r="BD34" s="8">
        <f t="shared" si="43"/>
        <v>1.891087175710515</v>
      </c>
      <c r="BE34" s="8">
        <f t="shared" si="44"/>
        <v>0.47335515103912013</v>
      </c>
    </row>
    <row r="35" spans="1:58" ht="15.75" x14ac:dyDescent="0.25">
      <c r="A35" s="194"/>
      <c r="B35" s="1" t="s">
        <v>515</v>
      </c>
      <c r="C35" s="10">
        <f>'DR2.1 Rock volumes'!O28</f>
        <v>108600.16724406823</v>
      </c>
      <c r="D35" s="8">
        <f t="shared" si="33"/>
        <v>108.60016724406823</v>
      </c>
      <c r="E35" s="26">
        <f t="shared" si="45"/>
        <v>107004.46878669536</v>
      </c>
      <c r="F35" s="26">
        <f t="shared" si="39"/>
        <v>633.50097559039807</v>
      </c>
      <c r="G35" s="26">
        <f t="shared" si="39"/>
        <v>192.58429657948105</v>
      </c>
      <c r="H35" s="26">
        <f t="shared" si="39"/>
        <v>65.160100346440956</v>
      </c>
      <c r="I35" s="26">
        <f t="shared" si="39"/>
        <v>16.707718037548961</v>
      </c>
      <c r="J35" s="26">
        <f t="shared" si="39"/>
        <v>139.00821407240738</v>
      </c>
      <c r="K35" s="26">
        <f t="shared" si="39"/>
        <v>372.8605742046343</v>
      </c>
      <c r="L35" s="26" t="e">
        <f t="shared" si="39"/>
        <v>#DIV/0!</v>
      </c>
      <c r="M35" s="26">
        <f t="shared" si="39"/>
        <v>26.788041253536832</v>
      </c>
      <c r="N35" s="26">
        <f t="shared" si="39"/>
        <v>10.860016724406824</v>
      </c>
      <c r="O35" s="26">
        <f t="shared" si="39"/>
        <v>41.630064110226165</v>
      </c>
      <c r="P35" s="26">
        <f t="shared" si="39"/>
        <v>298.28845936370743</v>
      </c>
      <c r="Q35" s="26">
        <f t="shared" si="39"/>
        <v>319.05270498548458</v>
      </c>
      <c r="R35" s="26">
        <f t="shared" si="39"/>
        <v>0</v>
      </c>
      <c r="S35" s="26">
        <f t="shared" si="39"/>
        <v>2.9504674437147198</v>
      </c>
      <c r="T35" s="26">
        <f t="shared" si="39"/>
        <v>0.79968522311384937</v>
      </c>
      <c r="U35" s="26">
        <f t="shared" si="39"/>
        <v>1.5871914442720574</v>
      </c>
      <c r="V35" s="26">
        <f t="shared" si="39"/>
        <v>2.7214412091965362E-3</v>
      </c>
      <c r="W35" s="26">
        <f t="shared" si="39"/>
        <v>0.10345154191519421</v>
      </c>
      <c r="X35" s="26">
        <f t="shared" si="39"/>
        <v>6.7887412546496967E-2</v>
      </c>
      <c r="Y35" s="26">
        <f t="shared" si="39"/>
        <v>2.1041854364419042E-2</v>
      </c>
      <c r="Z35" s="26">
        <f t="shared" si="39"/>
        <v>8.3417339891129427E-2</v>
      </c>
      <c r="AA35" s="26">
        <f t="shared" si="39"/>
        <v>0.1184966832846857</v>
      </c>
      <c r="AB35" s="26">
        <f t="shared" si="39"/>
        <v>0.20064641099512312</v>
      </c>
      <c r="AC35" s="26">
        <f t="shared" si="39"/>
        <v>2.0733581929680025E-2</v>
      </c>
      <c r="AD35" s="26">
        <f t="shared" si="39"/>
        <v>0.42370514530518516</v>
      </c>
      <c r="AE35" s="26">
        <f t="shared" si="39"/>
        <v>9.2205306796011733E-3</v>
      </c>
      <c r="AF35" s="26">
        <f t="shared" si="39"/>
        <v>0.51369906309566149</v>
      </c>
      <c r="AG35" s="26">
        <f t="shared" si="39"/>
        <v>0.48135069327922847</v>
      </c>
      <c r="AH35" s="26" t="e">
        <f t="shared" si="39"/>
        <v>#DIV/0!</v>
      </c>
      <c r="AI35" s="26">
        <f t="shared" si="39"/>
        <v>0.11074191458235538</v>
      </c>
      <c r="AJ35" s="26">
        <f t="shared" si="39"/>
        <v>0.57244798876890457</v>
      </c>
      <c r="AK35" s="26" t="e">
        <f t="shared" si="39"/>
        <v>#DIV/0!</v>
      </c>
      <c r="AL35" s="26">
        <f t="shared" si="39"/>
        <v>0.10234135136550269</v>
      </c>
      <c r="AM35" s="26">
        <f t="shared" si="39"/>
        <v>0.13787877233306903</v>
      </c>
      <c r="AN35" s="26">
        <f t="shared" si="39"/>
        <v>0.91271316397668123</v>
      </c>
      <c r="AO35" s="26">
        <f t="shared" si="39"/>
        <v>9.9900787047037906E-2</v>
      </c>
      <c r="AP35" s="26">
        <f t="shared" si="39"/>
        <v>1.6416508081393832E-2</v>
      </c>
      <c r="AQ35" s="26">
        <f t="shared" si="39"/>
        <v>0.18725902945857895</v>
      </c>
      <c r="AR35" s="26">
        <f t="shared" si="39"/>
        <v>9.5918274113974914E-3</v>
      </c>
      <c r="AS35" s="26">
        <f t="shared" si="39"/>
        <v>3.1291791549304442E-2</v>
      </c>
      <c r="AT35" s="26">
        <f t="shared" si="39"/>
        <v>1.0663016021026084</v>
      </c>
      <c r="AU35" s="26">
        <f t="shared" si="39"/>
        <v>0.70242848813864722</v>
      </c>
      <c r="AV35" s="26">
        <f t="shared" si="39"/>
        <v>7.0158147923425493E-2</v>
      </c>
      <c r="AW35" s="26">
        <f t="shared" si="39"/>
        <v>9.4472936208157083</v>
      </c>
      <c r="AX35" s="8">
        <f t="shared" si="46"/>
        <v>109141.76043276681</v>
      </c>
      <c r="AY35" s="8">
        <f t="shared" si="47"/>
        <v>0.49870382564090221</v>
      </c>
      <c r="AZ35" s="183">
        <f t="shared" si="48"/>
        <v>3.0572509039210622</v>
      </c>
      <c r="BA35" s="8">
        <f t="shared" si="40"/>
        <v>39.477095659658495</v>
      </c>
      <c r="BB35" s="8">
        <f t="shared" si="41"/>
        <v>12.689054406121667</v>
      </c>
      <c r="BC35" s="183">
        <f t="shared" si="42"/>
        <v>1.8070824130637657</v>
      </c>
      <c r="BD35" s="8">
        <f t="shared" si="43"/>
        <v>0.99988803862583642</v>
      </c>
      <c r="BE35" s="8">
        <f t="shared" si="44"/>
        <v>0.25028045223146012</v>
      </c>
    </row>
    <row r="36" spans="1:58" ht="15.75" hidden="1" x14ac:dyDescent="0.25">
      <c r="A36" s="27"/>
      <c r="B36" s="1" t="s">
        <v>119</v>
      </c>
      <c r="C36" s="10">
        <f>C31</f>
        <v>108020.52180103144</v>
      </c>
      <c r="D36" s="8">
        <f t="shared" si="33"/>
        <v>108.02052180103144</v>
      </c>
      <c r="E36" s="26">
        <f>E$15/100*$C36</f>
        <v>106433.34026736826</v>
      </c>
      <c r="F36" s="26">
        <f t="shared" si="39"/>
        <v>630.11971050601676</v>
      </c>
      <c r="G36" s="26">
        <f t="shared" si="39"/>
        <v>191.55639199382915</v>
      </c>
      <c r="H36" s="26">
        <f t="shared" si="39"/>
        <v>64.812313080618878</v>
      </c>
      <c r="I36" s="26">
        <f t="shared" si="39"/>
        <v>16.618541815543303</v>
      </c>
      <c r="J36" s="26">
        <f t="shared" si="39"/>
        <v>138.26626790532029</v>
      </c>
      <c r="K36" s="26">
        <f t="shared" si="39"/>
        <v>370.87045818354136</v>
      </c>
      <c r="L36" s="26" t="e">
        <f t="shared" si="39"/>
        <v>#DIV/0!</v>
      </c>
      <c r="M36" s="26">
        <f t="shared" si="39"/>
        <v>26.645062044254423</v>
      </c>
      <c r="N36" s="26">
        <f t="shared" si="39"/>
        <v>10.802052180103145</v>
      </c>
      <c r="O36" s="26">
        <f t="shared" si="39"/>
        <v>41.407866690395394</v>
      </c>
      <c r="P36" s="26">
        <f t="shared" si="39"/>
        <v>296.69636654683302</v>
      </c>
      <c r="Q36" s="26">
        <f t="shared" si="39"/>
        <v>317.34978452756513</v>
      </c>
      <c r="R36" s="26">
        <f t="shared" si="39"/>
        <v>0</v>
      </c>
      <c r="S36" s="26">
        <f t="shared" si="39"/>
        <v>2.9347195397107226</v>
      </c>
      <c r="T36" s="26">
        <f t="shared" si="39"/>
        <v>0.7954169617731458</v>
      </c>
      <c r="U36" s="26">
        <f t="shared" si="39"/>
        <v>1.5787199261220748</v>
      </c>
      <c r="V36" s="26">
        <f t="shared" si="39"/>
        <v>2.7069157159543564E-3</v>
      </c>
      <c r="W36" s="26">
        <f t="shared" si="39"/>
        <v>0.10289937688296635</v>
      </c>
      <c r="X36" s="26">
        <f t="shared" si="39"/>
        <v>6.7525068451448775E-2</v>
      </c>
      <c r="Y36" s="26">
        <f t="shared" si="39"/>
        <v>2.0929545007031331E-2</v>
      </c>
      <c r="Z36" s="26">
        <f t="shared" si="39"/>
        <v>8.2972105945683688E-2</v>
      </c>
      <c r="AA36" s="26">
        <f t="shared" si="39"/>
        <v>0.11786421591171585</v>
      </c>
      <c r="AB36" s="26">
        <f t="shared" si="39"/>
        <v>0.19957547546393165</v>
      </c>
      <c r="AC36" s="26">
        <f t="shared" si="39"/>
        <v>2.0622917953846916E-2</v>
      </c>
      <c r="AD36" s="26">
        <f t="shared" si="39"/>
        <v>0.42144365010771062</v>
      </c>
      <c r="AE36" s="26">
        <f t="shared" si="39"/>
        <v>9.1713167720498135E-3</v>
      </c>
      <c r="AF36" s="26">
        <f t="shared" si="39"/>
        <v>0.51095723194961473</v>
      </c>
      <c r="AG36" s="26">
        <f t="shared" si="39"/>
        <v>0.47878151918914763</v>
      </c>
      <c r="AH36" s="26" t="e">
        <f t="shared" si="39"/>
        <v>#DIV/0!</v>
      </c>
      <c r="AI36" s="26">
        <f t="shared" si="39"/>
        <v>0.11015083771967829</v>
      </c>
      <c r="AJ36" s="26">
        <f t="shared" si="39"/>
        <v>0.56939258953255034</v>
      </c>
      <c r="AK36" s="26" t="e">
        <f t="shared" si="39"/>
        <v>#DIV/0!</v>
      </c>
      <c r="AL36" s="26">
        <f t="shared" si="39"/>
        <v>0.10179511189406688</v>
      </c>
      <c r="AM36" s="26">
        <f t="shared" si="39"/>
        <v>0.13714285447858954</v>
      </c>
      <c r="AN36" s="26">
        <f t="shared" si="39"/>
        <v>0.90784162427536763</v>
      </c>
      <c r="AO36" s="26">
        <f t="shared" si="39"/>
        <v>9.9367573909000431E-2</v>
      </c>
      <c r="AP36" s="26">
        <f t="shared" si="39"/>
        <v>1.6328886171212323E-2</v>
      </c>
      <c r="AQ36" s="26">
        <f t="shared" si="39"/>
        <v>0.18625954809637058</v>
      </c>
      <c r="AR36" s="26">
        <f t="shared" si="39"/>
        <v>9.5406317347194198E-3</v>
      </c>
      <c r="AS36" s="26">
        <f t="shared" si="39"/>
        <v>3.1124773902496884E-2</v>
      </c>
      <c r="AT36" s="26">
        <f t="shared" si="39"/>
        <v>1.0606102953556074</v>
      </c>
      <c r="AU36" s="26">
        <f t="shared" si="39"/>
        <v>0.69867932750159467</v>
      </c>
      <c r="AV36" s="26">
        <f t="shared" si="39"/>
        <v>6.9783683944522779E-2</v>
      </c>
      <c r="AW36" s="26">
        <f t="shared" si="39"/>
        <v>9.3968693826648639</v>
      </c>
      <c r="AX36" s="8">
        <f t="shared" si="37"/>
        <v>108559.22427573043</v>
      </c>
      <c r="AY36" s="8">
        <f t="shared" si="29"/>
        <v>0.49870382564087379</v>
      </c>
      <c r="AZ36" s="183">
        <f t="shared" si="22"/>
        <v>3.040933051014858</v>
      </c>
      <c r="BA36" s="8">
        <f t="shared" si="40"/>
        <v>39.266389551333432</v>
      </c>
      <c r="BB36" s="8">
        <f t="shared" si="41"/>
        <v>12.621327507079013</v>
      </c>
      <c r="BC36" s="183">
        <f t="shared" si="42"/>
        <v>1.797437242964071</v>
      </c>
      <c r="BD36" s="8">
        <f t="shared" si="43"/>
        <v>0.99455120941236108</v>
      </c>
      <c r="BE36" s="8">
        <f t="shared" si="44"/>
        <v>0.24894459863842547</v>
      </c>
    </row>
    <row r="37" spans="1:58" s="15" customFormat="1" x14ac:dyDescent="0.25">
      <c r="B37" s="87" t="s">
        <v>537</v>
      </c>
      <c r="C37" s="34"/>
      <c r="D37" s="226">
        <f>D32-AVERAGE(D33:D35)</f>
        <v>25.020128876555077</v>
      </c>
      <c r="E37" s="226">
        <f t="shared" ref="E37:K37" si="49">E32-AVERAGE(E33:E35)</f>
        <v>14169.937557994679</v>
      </c>
      <c r="F37" s="226">
        <f t="shared" si="49"/>
        <v>3814.7288958053973</v>
      </c>
      <c r="G37" s="226">
        <f t="shared" si="49"/>
        <v>1368.5017754758951</v>
      </c>
      <c r="H37" s="226">
        <f t="shared" si="49"/>
        <v>688.68770372627205</v>
      </c>
      <c r="I37" s="226">
        <f t="shared" si="49"/>
        <v>524.01678796211183</v>
      </c>
      <c r="J37" s="226">
        <f t="shared" si="49"/>
        <v>941.86918642871217</v>
      </c>
      <c r="K37" s="226">
        <f t="shared" si="49"/>
        <v>2815.3479678038348</v>
      </c>
      <c r="AX37" s="24"/>
      <c r="BB37" s="225"/>
    </row>
    <row r="38" spans="1:58" ht="42.95" customHeight="1" x14ac:dyDescent="0.25">
      <c r="A38" s="251" t="s">
        <v>114</v>
      </c>
      <c r="B38" s="13" t="s">
        <v>120</v>
      </c>
      <c r="C38" s="1" t="s">
        <v>20</v>
      </c>
      <c r="D38" s="1" t="s">
        <v>121</v>
      </c>
      <c r="E38" s="13" t="str">
        <f t="shared" ref="E38:Q38" si="50">E1</f>
        <v>SiO2</v>
      </c>
      <c r="F38" s="13" t="str">
        <f t="shared" si="50"/>
        <v>Al2O3</v>
      </c>
      <c r="G38" s="13" t="str">
        <f t="shared" si="50"/>
        <v>Fe2O3</v>
      </c>
      <c r="H38" s="13" t="str">
        <f t="shared" si="50"/>
        <v>CaO</v>
      </c>
      <c r="I38" s="13" t="str">
        <f t="shared" si="50"/>
        <v>MgO</v>
      </c>
      <c r="J38" s="13" t="str">
        <f t="shared" si="50"/>
        <v>Na2O</v>
      </c>
      <c r="K38" s="13" t="str">
        <f t="shared" si="50"/>
        <v>K2O</v>
      </c>
      <c r="L38" s="13" t="str">
        <f t="shared" si="50"/>
        <v>Cr2O3</v>
      </c>
      <c r="M38" s="13" t="str">
        <f t="shared" si="50"/>
        <v>TiO2</v>
      </c>
      <c r="N38" s="13" t="str">
        <f t="shared" si="50"/>
        <v>MnO</v>
      </c>
      <c r="O38" s="13" t="str">
        <f t="shared" si="50"/>
        <v>P2O5</v>
      </c>
      <c r="P38" s="13" t="str">
        <f t="shared" si="50"/>
        <v>LOI</v>
      </c>
      <c r="Q38" s="13" t="str">
        <f t="shared" si="50"/>
        <v>H2O+ (calc)</v>
      </c>
      <c r="R38" s="13"/>
      <c r="S38" s="19" t="s">
        <v>84</v>
      </c>
      <c r="T38" s="19" t="s">
        <v>85</v>
      </c>
      <c r="U38" s="19" t="s">
        <v>38</v>
      </c>
      <c r="V38" s="19" t="s">
        <v>86</v>
      </c>
      <c r="W38" s="19" t="s">
        <v>87</v>
      </c>
      <c r="X38" s="19" t="s">
        <v>88</v>
      </c>
      <c r="Y38" s="19" t="s">
        <v>89</v>
      </c>
      <c r="Z38" s="19" t="s">
        <v>90</v>
      </c>
      <c r="AA38" s="19" t="s">
        <v>91</v>
      </c>
      <c r="AB38" s="19" t="s">
        <v>92</v>
      </c>
      <c r="AC38" s="19" t="s">
        <v>93</v>
      </c>
      <c r="AD38" s="19" t="s">
        <v>94</v>
      </c>
      <c r="AE38" s="19" t="s">
        <v>95</v>
      </c>
      <c r="AF38" s="19" t="s">
        <v>96</v>
      </c>
      <c r="AG38" s="19" t="s">
        <v>97</v>
      </c>
      <c r="AH38" s="19" t="s">
        <v>98</v>
      </c>
      <c r="AI38" s="19" t="s">
        <v>99</v>
      </c>
      <c r="AJ38" s="19" t="s">
        <v>100</v>
      </c>
      <c r="AK38" s="19" t="s">
        <v>101</v>
      </c>
      <c r="AL38" s="19" t="s">
        <v>102</v>
      </c>
      <c r="AM38" s="19" t="s">
        <v>103</v>
      </c>
      <c r="AN38" s="19" t="s">
        <v>104</v>
      </c>
      <c r="AO38" s="19" t="s">
        <v>105</v>
      </c>
      <c r="AP38" s="19" t="s">
        <v>106</v>
      </c>
      <c r="AQ38" s="19" t="s">
        <v>107</v>
      </c>
      <c r="AR38" s="19" t="s">
        <v>108</v>
      </c>
      <c r="AS38" s="19" t="s">
        <v>109</v>
      </c>
      <c r="AT38" s="19" t="s">
        <v>110</v>
      </c>
      <c r="AU38" s="19" t="s">
        <v>111</v>
      </c>
      <c r="AV38" s="19" t="s">
        <v>112</v>
      </c>
      <c r="AW38" s="19" t="s">
        <v>113</v>
      </c>
      <c r="AX38" s="10" t="s">
        <v>116</v>
      </c>
      <c r="AY38" s="19" t="s">
        <v>117</v>
      </c>
      <c r="AZ38" s="19"/>
      <c r="BA38" s="34" t="s">
        <v>130</v>
      </c>
      <c r="BB38" s="34" t="s">
        <v>131</v>
      </c>
      <c r="BC38" s="34" t="s">
        <v>132</v>
      </c>
      <c r="BD38" s="34" t="s">
        <v>192</v>
      </c>
      <c r="BE38" s="34" t="s">
        <v>344</v>
      </c>
      <c r="BF38" s="199"/>
    </row>
    <row r="39" spans="1:58" ht="15.75" x14ac:dyDescent="0.25">
      <c r="A39" s="251"/>
      <c r="B39" s="5" t="s">
        <v>510</v>
      </c>
      <c r="C39" s="10">
        <f>'DR2.1 Rock volumes'!O2</f>
        <v>570942.83868728473</v>
      </c>
      <c r="D39" s="8">
        <f>C39/1000</f>
        <v>570.94283868728473</v>
      </c>
      <c r="E39" s="26">
        <f t="shared" ref="E39:AV43" si="51">E$13/100*$C39</f>
        <v>334223.59395821777</v>
      </c>
      <c r="F39" s="26">
        <f t="shared" si="51"/>
        <v>92042.329405709053</v>
      </c>
      <c r="G39" s="26">
        <f t="shared" si="51"/>
        <v>40898.538677965829</v>
      </c>
      <c r="H39" s="26">
        <f t="shared" si="51"/>
        <v>26409.278193946291</v>
      </c>
      <c r="I39" s="26">
        <f t="shared" si="51"/>
        <v>7879.0111738845299</v>
      </c>
      <c r="J39" s="26">
        <f t="shared" si="51"/>
        <v>40302.220602003559</v>
      </c>
      <c r="K39" s="26">
        <f t="shared" si="51"/>
        <v>16341.652805093843</v>
      </c>
      <c r="L39" s="26" t="e">
        <f t="shared" si="51"/>
        <v>#DIV/0!</v>
      </c>
      <c r="M39" s="26">
        <f t="shared" si="51"/>
        <v>4326.4779553858689</v>
      </c>
      <c r="N39" s="26">
        <f t="shared" si="51"/>
        <v>1471.7637619494451</v>
      </c>
      <c r="O39" s="26">
        <f t="shared" si="51"/>
        <v>2010.9875540429921</v>
      </c>
      <c r="P39" s="26">
        <f t="shared" si="51"/>
        <v>2835.6827654801805</v>
      </c>
      <c r="Q39" s="26">
        <f t="shared" si="51"/>
        <v>7265.1651051973213</v>
      </c>
      <c r="R39" s="26">
        <f t="shared" si="51"/>
        <v>0</v>
      </c>
      <c r="S39" s="26">
        <f t="shared" si="51"/>
        <v>484.42533916108232</v>
      </c>
      <c r="T39" s="26">
        <f t="shared" si="51"/>
        <v>124.53710223658622</v>
      </c>
      <c r="U39" s="26" t="e">
        <f t="shared" si="51"/>
        <v>#DIV/0!</v>
      </c>
      <c r="V39" s="26" t="e">
        <f t="shared" si="51"/>
        <v>#DIV/0!</v>
      </c>
      <c r="W39" s="26" t="e">
        <f t="shared" si="51"/>
        <v>#DIV/0!</v>
      </c>
      <c r="X39" s="26" t="e">
        <f t="shared" si="51"/>
        <v>#DIV/0!</v>
      </c>
      <c r="Y39" s="26" t="e">
        <f t="shared" si="51"/>
        <v>#DIV/0!</v>
      </c>
      <c r="Z39" s="26" t="e">
        <f t="shared" si="51"/>
        <v>#DIV/0!</v>
      </c>
      <c r="AA39" s="26" t="e">
        <f t="shared" si="51"/>
        <v>#DIV/0!</v>
      </c>
      <c r="AB39" s="26" t="e">
        <f t="shared" si="51"/>
        <v>#DIV/0!</v>
      </c>
      <c r="AC39" s="26" t="e">
        <f t="shared" si="51"/>
        <v>#DIV/0!</v>
      </c>
      <c r="AD39" s="26">
        <f t="shared" si="51"/>
        <v>52.731138695480247</v>
      </c>
      <c r="AE39" s="26" t="e">
        <f t="shared" si="51"/>
        <v>#DIV/0!</v>
      </c>
      <c r="AF39" s="26">
        <f t="shared" si="51"/>
        <v>46.671795302299259</v>
      </c>
      <c r="AG39" s="26">
        <f t="shared" si="51"/>
        <v>58.253777423248152</v>
      </c>
      <c r="AH39" s="26">
        <f t="shared" si="51"/>
        <v>4.9888033673097132</v>
      </c>
      <c r="AI39" s="26" t="e">
        <f t="shared" si="51"/>
        <v>#DIV/0!</v>
      </c>
      <c r="AJ39" s="26" t="e">
        <f t="shared" si="51"/>
        <v>#DIV/0!</v>
      </c>
      <c r="AK39" s="26">
        <f t="shared" si="51"/>
        <v>11.165329606226607</v>
      </c>
      <c r="AL39" s="26">
        <f t="shared" si="51"/>
        <v>5.8923813101018006</v>
      </c>
      <c r="AM39" s="26" t="e">
        <f t="shared" si="51"/>
        <v>#DIV/0!</v>
      </c>
      <c r="AN39" s="26">
        <f t="shared" si="51"/>
        <v>482.54079007057129</v>
      </c>
      <c r="AO39" s="26" t="e">
        <f t="shared" si="51"/>
        <v>#DIV/0!</v>
      </c>
      <c r="AP39" s="26" t="e">
        <f t="shared" si="51"/>
        <v>#DIV/0!</v>
      </c>
      <c r="AQ39" s="26">
        <f t="shared" si="51"/>
        <v>14.325352627936864</v>
      </c>
      <c r="AR39" s="26" t="e">
        <f t="shared" si="51"/>
        <v>#DIV/0!</v>
      </c>
      <c r="AS39" s="26">
        <f t="shared" si="51"/>
        <v>2.3964069579653664</v>
      </c>
      <c r="AT39" s="26" t="e">
        <f t="shared" si="51"/>
        <v>#DIV/0!</v>
      </c>
      <c r="AU39" s="26">
        <f t="shared" si="51"/>
        <v>39.055504744398547</v>
      </c>
      <c r="AV39" s="26" t="e">
        <f t="shared" si="51"/>
        <v>#DIV/0!</v>
      </c>
      <c r="AW39" s="26">
        <f>AW$13/100*$C39</f>
        <v>248.48160355228055</v>
      </c>
      <c r="AX39" s="8">
        <f>SUMIF(E39:AW39, "&lt;&gt;#DIV/0!")</f>
        <v>577582.1672839321</v>
      </c>
      <c r="AY39" s="8">
        <f>ABS((AX39/C39*100)-100)</f>
        <v>1.1628709823057903</v>
      </c>
      <c r="BA39" s="8">
        <f t="shared" ref="BA39" si="52">SUM(M39,T39,AD39, AF39,AG39, AL39, AQ39, AS39, AU39, AW39)</f>
        <v>4918.8230182361658</v>
      </c>
      <c r="BB39" s="8">
        <f t="shared" ref="BB39" si="53">SUM(T39,AD39, AF39,AG39, AL39, AQ39, AS39, AU39, AW39)</f>
        <v>592.34506285029704</v>
      </c>
      <c r="BC39" s="183">
        <f>SUM(AD39,T39,AG39,AL39)</f>
        <v>241.41439966541643</v>
      </c>
      <c r="BD39" s="8" t="e">
        <f>SUM(W39,AC39,AE39,AP39,AR39,AV39,AU39)</f>
        <v>#DIV/0!</v>
      </c>
      <c r="BE39" s="8" t="e">
        <f>SUM(BC39:BD39)</f>
        <v>#DIV/0!</v>
      </c>
      <c r="BF39" s="8"/>
    </row>
    <row r="40" spans="1:58" ht="15.75" x14ac:dyDescent="0.25">
      <c r="A40" s="251"/>
      <c r="B40" s="12" t="s">
        <v>524</v>
      </c>
      <c r="C40" s="10">
        <f>'DR2.1 Rock volumes'!O4</f>
        <v>1141885.6773745695</v>
      </c>
      <c r="D40" s="8">
        <f t="shared" ref="D40:D43" si="54">C40/1000</f>
        <v>1141.8856773745695</v>
      </c>
      <c r="E40" s="26">
        <f t="shared" si="51"/>
        <v>668447.18791643553</v>
      </c>
      <c r="F40" s="26">
        <f t="shared" si="51"/>
        <v>184084.65881141811</v>
      </c>
      <c r="G40" s="26">
        <f t="shared" si="51"/>
        <v>81797.077355931659</v>
      </c>
      <c r="H40" s="26">
        <f t="shared" si="51"/>
        <v>52818.556387892582</v>
      </c>
      <c r="I40" s="26">
        <f t="shared" si="51"/>
        <v>15758.02234776906</v>
      </c>
      <c r="J40" s="26">
        <f t="shared" si="51"/>
        <v>80604.441204007118</v>
      </c>
      <c r="K40" s="26">
        <f t="shared" si="51"/>
        <v>32683.305610187686</v>
      </c>
      <c r="L40" s="26" t="e">
        <f t="shared" si="51"/>
        <v>#DIV/0!</v>
      </c>
      <c r="M40" s="26">
        <f t="shared" si="51"/>
        <v>8652.9559107717378</v>
      </c>
      <c r="N40" s="26">
        <f t="shared" si="51"/>
        <v>2943.5275238988902</v>
      </c>
      <c r="O40" s="26">
        <f t="shared" si="51"/>
        <v>4021.9751080859842</v>
      </c>
      <c r="P40" s="26">
        <f t="shared" si="51"/>
        <v>5671.365530960361</v>
      </c>
      <c r="Q40" s="26">
        <f t="shared" si="51"/>
        <v>14530.330210394643</v>
      </c>
      <c r="R40" s="26">
        <f t="shared" si="51"/>
        <v>0</v>
      </c>
      <c r="S40" s="26">
        <f t="shared" si="51"/>
        <v>968.85067832216464</v>
      </c>
      <c r="T40" s="26">
        <f t="shared" si="51"/>
        <v>249.07420447317244</v>
      </c>
      <c r="U40" s="26" t="e">
        <f t="shared" si="51"/>
        <v>#DIV/0!</v>
      </c>
      <c r="V40" s="26" t="e">
        <f t="shared" si="51"/>
        <v>#DIV/0!</v>
      </c>
      <c r="W40" s="26" t="e">
        <f t="shared" si="51"/>
        <v>#DIV/0!</v>
      </c>
      <c r="X40" s="26" t="e">
        <f t="shared" si="51"/>
        <v>#DIV/0!</v>
      </c>
      <c r="Y40" s="26" t="e">
        <f t="shared" si="51"/>
        <v>#DIV/0!</v>
      </c>
      <c r="Z40" s="26" t="e">
        <f t="shared" si="51"/>
        <v>#DIV/0!</v>
      </c>
      <c r="AA40" s="26" t="e">
        <f t="shared" si="51"/>
        <v>#DIV/0!</v>
      </c>
      <c r="AB40" s="26" t="e">
        <f t="shared" si="51"/>
        <v>#DIV/0!</v>
      </c>
      <c r="AC40" s="26" t="e">
        <f t="shared" si="51"/>
        <v>#DIV/0!</v>
      </c>
      <c r="AD40" s="26">
        <f t="shared" si="51"/>
        <v>105.46227739096049</v>
      </c>
      <c r="AE40" s="26" t="e">
        <f t="shared" si="51"/>
        <v>#DIV/0!</v>
      </c>
      <c r="AF40" s="26">
        <f t="shared" si="51"/>
        <v>93.343590604598518</v>
      </c>
      <c r="AG40" s="26">
        <f t="shared" si="51"/>
        <v>116.5075548464963</v>
      </c>
      <c r="AH40" s="26">
        <f t="shared" si="51"/>
        <v>9.9776067346194264</v>
      </c>
      <c r="AI40" s="26" t="e">
        <f t="shared" si="51"/>
        <v>#DIV/0!</v>
      </c>
      <c r="AJ40" s="26" t="e">
        <f t="shared" si="51"/>
        <v>#DIV/0!</v>
      </c>
      <c r="AK40" s="26">
        <f t="shared" si="51"/>
        <v>22.330659212453213</v>
      </c>
      <c r="AL40" s="26">
        <f t="shared" si="51"/>
        <v>11.784762620203601</v>
      </c>
      <c r="AM40" s="26" t="e">
        <f t="shared" si="51"/>
        <v>#DIV/0!</v>
      </c>
      <c r="AN40" s="26">
        <f t="shared" si="51"/>
        <v>965.08158014114258</v>
      </c>
      <c r="AO40" s="26" t="e">
        <f t="shared" si="51"/>
        <v>#DIV/0!</v>
      </c>
      <c r="AP40" s="26" t="e">
        <f t="shared" si="51"/>
        <v>#DIV/0!</v>
      </c>
      <c r="AQ40" s="26">
        <f t="shared" si="51"/>
        <v>28.650705255873728</v>
      </c>
      <c r="AR40" s="26" t="e">
        <f t="shared" si="51"/>
        <v>#DIV/0!</v>
      </c>
      <c r="AS40" s="26">
        <f t="shared" si="51"/>
        <v>4.7928139159307328</v>
      </c>
      <c r="AT40" s="26" t="e">
        <f t="shared" si="51"/>
        <v>#DIV/0!</v>
      </c>
      <c r="AU40" s="26">
        <f t="shared" si="51"/>
        <v>78.111009488797094</v>
      </c>
      <c r="AV40" s="26" t="e">
        <f t="shared" si="51"/>
        <v>#DIV/0!</v>
      </c>
      <c r="AW40" s="26">
        <f t="shared" ref="AW40:AW43" si="55">AW$13/100*$C40</f>
        <v>496.96320710456109</v>
      </c>
      <c r="AX40" s="8">
        <f t="shared" ref="AX40:AX43" si="56">SUMIF(E40:AW40, "&lt;&gt;#DIV/0!")</f>
        <v>1155164.3345678642</v>
      </c>
      <c r="AY40" s="8">
        <f t="shared" ref="AY40:AY43" si="57">ABS((AX40/C40*100)-100)</f>
        <v>1.1628709823057903</v>
      </c>
      <c r="BA40" s="8">
        <f t="shared" ref="BA40:BA43" si="58">SUM(M40,T40,AD40, AF40,AG40, AL40, AQ40, AS40, AU40, AW40)</f>
        <v>9837.6460364723316</v>
      </c>
      <c r="BB40" s="8">
        <f t="shared" ref="BB40:BB43" si="59">SUM(T40,AD40, AF40,AG40, AL40, AQ40, AS40, AU40, AW40)</f>
        <v>1184.6901257005941</v>
      </c>
      <c r="BC40" s="183">
        <f>SUM(AD40,T40,AG40,AL40)</f>
        <v>482.82879933083285</v>
      </c>
      <c r="BD40" s="8" t="e">
        <f t="shared" ref="BD40:BD43" si="60">SUM(W40,AC40,AE40,AP40,AR40,AV40,AU40)</f>
        <v>#DIV/0!</v>
      </c>
      <c r="BE40" s="8" t="e">
        <f>SUM(BC40:BD40)</f>
        <v>#DIV/0!</v>
      </c>
      <c r="BF40" s="8"/>
    </row>
    <row r="41" spans="1:58" ht="15.75" x14ac:dyDescent="0.25">
      <c r="A41" s="251"/>
      <c r="B41" s="5" t="s">
        <v>18</v>
      </c>
      <c r="C41" s="10">
        <f>'DR2.1 Rock volumes'!O5</f>
        <v>428207.12901546364</v>
      </c>
      <c r="D41" s="8">
        <f t="shared" si="54"/>
        <v>428.20712901546364</v>
      </c>
      <c r="E41" s="26">
        <f t="shared" si="51"/>
        <v>250667.69546866338</v>
      </c>
      <c r="F41" s="26">
        <f t="shared" si="51"/>
        <v>69031.747054281805</v>
      </c>
      <c r="G41" s="26">
        <f t="shared" si="51"/>
        <v>30673.904008474376</v>
      </c>
      <c r="H41" s="26">
        <f t="shared" si="51"/>
        <v>19806.958645459723</v>
      </c>
      <c r="I41" s="26">
        <f t="shared" si="51"/>
        <v>5909.2583804133992</v>
      </c>
      <c r="J41" s="26">
        <f t="shared" si="51"/>
        <v>30226.665451502675</v>
      </c>
      <c r="K41" s="26">
        <f t="shared" si="51"/>
        <v>12256.239603820384</v>
      </c>
      <c r="L41" s="26" t="e">
        <f t="shared" si="51"/>
        <v>#DIV/0!</v>
      </c>
      <c r="M41" s="26">
        <f t="shared" si="51"/>
        <v>3244.8584665394023</v>
      </c>
      <c r="N41" s="26">
        <f t="shared" si="51"/>
        <v>1103.822821462084</v>
      </c>
      <c r="O41" s="26">
        <f t="shared" si="51"/>
        <v>1508.2406655322443</v>
      </c>
      <c r="P41" s="26">
        <f t="shared" si="51"/>
        <v>2126.7620741101359</v>
      </c>
      <c r="Q41" s="26">
        <f t="shared" si="51"/>
        <v>5448.8738288979921</v>
      </c>
      <c r="R41" s="26">
        <f t="shared" si="51"/>
        <v>0</v>
      </c>
      <c r="S41" s="26">
        <f t="shared" si="51"/>
        <v>363.3190043708118</v>
      </c>
      <c r="T41" s="26">
        <f t="shared" si="51"/>
        <v>93.402826677439691</v>
      </c>
      <c r="U41" s="26" t="e">
        <f t="shared" si="51"/>
        <v>#DIV/0!</v>
      </c>
      <c r="V41" s="26" t="e">
        <f t="shared" si="51"/>
        <v>#DIV/0!</v>
      </c>
      <c r="W41" s="26" t="e">
        <f t="shared" si="51"/>
        <v>#DIV/0!</v>
      </c>
      <c r="X41" s="26" t="e">
        <f t="shared" si="51"/>
        <v>#DIV/0!</v>
      </c>
      <c r="Y41" s="26" t="e">
        <f t="shared" si="51"/>
        <v>#DIV/0!</v>
      </c>
      <c r="Z41" s="26" t="e">
        <f t="shared" si="51"/>
        <v>#DIV/0!</v>
      </c>
      <c r="AA41" s="26" t="e">
        <f t="shared" si="51"/>
        <v>#DIV/0!</v>
      </c>
      <c r="AB41" s="26" t="e">
        <f t="shared" si="51"/>
        <v>#DIV/0!</v>
      </c>
      <c r="AC41" s="26" t="e">
        <f t="shared" si="51"/>
        <v>#DIV/0!</v>
      </c>
      <c r="AD41" s="26">
        <f t="shared" si="51"/>
        <v>39.548354021610194</v>
      </c>
      <c r="AE41" s="26" t="e">
        <f t="shared" si="51"/>
        <v>#DIV/0!</v>
      </c>
      <c r="AF41" s="26">
        <f t="shared" si="51"/>
        <v>35.003846476724448</v>
      </c>
      <c r="AG41" s="26">
        <f t="shared" si="51"/>
        <v>43.690333067436121</v>
      </c>
      <c r="AH41" s="26">
        <f t="shared" si="51"/>
        <v>3.741602525482286</v>
      </c>
      <c r="AI41" s="26" t="e">
        <f t="shared" si="51"/>
        <v>#DIV/0!</v>
      </c>
      <c r="AJ41" s="26" t="e">
        <f t="shared" si="51"/>
        <v>#DIV/0!</v>
      </c>
      <c r="AK41" s="26">
        <f t="shared" si="51"/>
        <v>8.3739972046699567</v>
      </c>
      <c r="AL41" s="26">
        <f t="shared" si="51"/>
        <v>4.4192859825763513</v>
      </c>
      <c r="AM41" s="26" t="e">
        <f t="shared" si="51"/>
        <v>#DIV/0!</v>
      </c>
      <c r="AN41" s="26">
        <f t="shared" si="51"/>
        <v>361.90559255292857</v>
      </c>
      <c r="AO41" s="26" t="e">
        <f t="shared" si="51"/>
        <v>#DIV/0!</v>
      </c>
      <c r="AP41" s="26" t="e">
        <f t="shared" si="51"/>
        <v>#DIV/0!</v>
      </c>
      <c r="AQ41" s="26">
        <f t="shared" si="51"/>
        <v>10.744014470952649</v>
      </c>
      <c r="AR41" s="26" t="e">
        <f t="shared" si="51"/>
        <v>#DIV/0!</v>
      </c>
      <c r="AS41" s="26">
        <f t="shared" si="51"/>
        <v>1.7973052184740252</v>
      </c>
      <c r="AT41" s="26" t="e">
        <f t="shared" si="51"/>
        <v>#DIV/0!</v>
      </c>
      <c r="AU41" s="26">
        <f t="shared" si="51"/>
        <v>29.291628558298914</v>
      </c>
      <c r="AV41" s="26" t="e">
        <f t="shared" si="51"/>
        <v>#DIV/0!</v>
      </c>
      <c r="AW41" s="26">
        <f t="shared" si="55"/>
        <v>186.36120266421045</v>
      </c>
      <c r="AX41" s="8">
        <f t="shared" si="56"/>
        <v>433186.62546294916</v>
      </c>
      <c r="AY41" s="8">
        <f t="shared" si="57"/>
        <v>1.1628709823057903</v>
      </c>
      <c r="BA41" s="8">
        <f t="shared" si="58"/>
        <v>3689.1172636771248</v>
      </c>
      <c r="BB41" s="8">
        <f t="shared" si="59"/>
        <v>444.25879713772281</v>
      </c>
      <c r="BC41" s="183">
        <f>SUM(AD41,T41,AG41,AL41)</f>
        <v>181.06079974906234</v>
      </c>
      <c r="BD41" s="8" t="e">
        <f t="shared" si="60"/>
        <v>#DIV/0!</v>
      </c>
      <c r="BE41" s="8" t="e">
        <f>SUM(BC41:BD41)</f>
        <v>#DIV/0!</v>
      </c>
      <c r="BF41" s="8"/>
    </row>
    <row r="42" spans="1:58" ht="15.75" x14ac:dyDescent="0.25">
      <c r="A42" s="251"/>
      <c r="B42" s="12" t="s">
        <v>482</v>
      </c>
      <c r="C42" s="10">
        <f>'DR2.1 Rock volumes'!O6</f>
        <v>522565.08427751879</v>
      </c>
      <c r="D42" s="8">
        <f t="shared" si="54"/>
        <v>522.56508427751874</v>
      </c>
      <c r="E42" s="26">
        <f t="shared" si="51"/>
        <v>305903.79405734537</v>
      </c>
      <c r="F42" s="26">
        <f t="shared" si="51"/>
        <v>84243.297864250228</v>
      </c>
      <c r="G42" s="26">
        <f t="shared" si="51"/>
        <v>37433.078870412923</v>
      </c>
      <c r="H42" s="26">
        <f t="shared" si="51"/>
        <v>24171.538287192339</v>
      </c>
      <c r="I42" s="26">
        <f t="shared" si="51"/>
        <v>7211.3981630297603</v>
      </c>
      <c r="J42" s="26">
        <f t="shared" si="51"/>
        <v>36887.288671278635</v>
      </c>
      <c r="K42" s="26">
        <f t="shared" si="51"/>
        <v>14956.973967765431</v>
      </c>
      <c r="L42" s="26" t="e">
        <f t="shared" si="51"/>
        <v>#DIV/0!</v>
      </c>
      <c r="M42" s="26">
        <f t="shared" si="51"/>
        <v>3959.8820830807535</v>
      </c>
      <c r="N42" s="26">
        <f t="shared" si="51"/>
        <v>1347.0566616931596</v>
      </c>
      <c r="O42" s="26">
        <f t="shared" si="51"/>
        <v>1840.5903523997054</v>
      </c>
      <c r="P42" s="26">
        <f t="shared" si="51"/>
        <v>2595.4065852450099</v>
      </c>
      <c r="Q42" s="26">
        <f t="shared" si="51"/>
        <v>6649.5651722622752</v>
      </c>
      <c r="R42" s="26">
        <f t="shared" si="51"/>
        <v>0</v>
      </c>
      <c r="S42" s="26">
        <f t="shared" si="51"/>
        <v>443.37848035173943</v>
      </c>
      <c r="T42" s="26">
        <f t="shared" si="51"/>
        <v>113.98468798657515</v>
      </c>
      <c r="U42" s="26" t="e">
        <f t="shared" si="51"/>
        <v>#DIV/0!</v>
      </c>
      <c r="V42" s="26" t="e">
        <f t="shared" si="51"/>
        <v>#DIV/0!</v>
      </c>
      <c r="W42" s="26" t="e">
        <f t="shared" si="51"/>
        <v>#DIV/0!</v>
      </c>
      <c r="X42" s="26" t="e">
        <f t="shared" si="51"/>
        <v>#DIV/0!</v>
      </c>
      <c r="Y42" s="26" t="e">
        <f t="shared" si="51"/>
        <v>#DIV/0!</v>
      </c>
      <c r="Z42" s="26" t="e">
        <f t="shared" si="51"/>
        <v>#DIV/0!</v>
      </c>
      <c r="AA42" s="26" t="e">
        <f t="shared" si="51"/>
        <v>#DIV/0!</v>
      </c>
      <c r="AB42" s="26" t="e">
        <f t="shared" si="51"/>
        <v>#DIV/0!</v>
      </c>
      <c r="AC42" s="26" t="e">
        <f t="shared" si="51"/>
        <v>#DIV/0!</v>
      </c>
      <c r="AD42" s="26">
        <f t="shared" si="51"/>
        <v>48.263066053703085</v>
      </c>
      <c r="AE42" s="26" t="e">
        <f t="shared" si="51"/>
        <v>#DIV/0!</v>
      </c>
      <c r="AF42" s="26">
        <f t="shared" si="51"/>
        <v>42.717149586470988</v>
      </c>
      <c r="AG42" s="26">
        <f t="shared" si="51"/>
        <v>53.317754503506031</v>
      </c>
      <c r="AH42" s="26">
        <f t="shared" si="51"/>
        <v>4.5660866122362469</v>
      </c>
      <c r="AI42" s="26" t="e">
        <f t="shared" si="51"/>
        <v>#DIV/0!</v>
      </c>
      <c r="AJ42" s="26" t="e">
        <f t="shared" si="51"/>
        <v>#DIV/0!</v>
      </c>
      <c r="AK42" s="26">
        <f t="shared" si="51"/>
        <v>10.219256659876944</v>
      </c>
      <c r="AL42" s="26">
        <f t="shared" si="51"/>
        <v>5.3931015983810759</v>
      </c>
      <c r="AM42" s="26" t="e">
        <f t="shared" si="51"/>
        <v>#DIV/0!</v>
      </c>
      <c r="AN42" s="26">
        <f t="shared" si="51"/>
        <v>441.65361494039234</v>
      </c>
      <c r="AO42" s="26" t="e">
        <f t="shared" si="51"/>
        <v>#DIV/0!</v>
      </c>
      <c r="AP42" s="26" t="e">
        <f t="shared" si="51"/>
        <v>#DIV/0!</v>
      </c>
      <c r="AQ42" s="26">
        <f t="shared" si="51"/>
        <v>13.111521147256521</v>
      </c>
      <c r="AR42" s="26" t="e">
        <f t="shared" si="51"/>
        <v>#DIV/0!</v>
      </c>
      <c r="AS42" s="26">
        <f t="shared" si="51"/>
        <v>2.1933519769363441</v>
      </c>
      <c r="AT42" s="26" t="e">
        <f t="shared" si="51"/>
        <v>#DIV/0!</v>
      </c>
      <c r="AU42" s="26">
        <f t="shared" si="51"/>
        <v>35.746210908227269</v>
      </c>
      <c r="AV42" s="26" t="e">
        <f t="shared" si="51"/>
        <v>#DIV/0!</v>
      </c>
      <c r="AW42" s="26">
        <f t="shared" si="55"/>
        <v>227.42698796302861</v>
      </c>
      <c r="AX42" s="8">
        <f t="shared" si="56"/>
        <v>528641.84200624388</v>
      </c>
      <c r="AY42" s="8">
        <f t="shared" si="57"/>
        <v>1.1628709823057903</v>
      </c>
      <c r="BA42" s="8">
        <f t="shared" si="58"/>
        <v>4502.0359148048374</v>
      </c>
      <c r="BB42" s="8">
        <f t="shared" si="59"/>
        <v>542.15383172408508</v>
      </c>
      <c r="BC42" s="183">
        <f>SUM(AD42,T42,AG42,AL42)</f>
        <v>220.95861014216533</v>
      </c>
      <c r="BD42" s="8" t="e">
        <f t="shared" si="60"/>
        <v>#DIV/0!</v>
      </c>
      <c r="BE42" s="8" t="e">
        <f>SUM(BC42:BD42)</f>
        <v>#DIV/0!</v>
      </c>
      <c r="BF42" s="8"/>
    </row>
    <row r="43" spans="1:58" ht="15.75" hidden="1" x14ac:dyDescent="0.25">
      <c r="A43" s="251"/>
      <c r="B43" s="12" t="s">
        <v>122</v>
      </c>
      <c r="C43" s="10">
        <v>316597.14125816501</v>
      </c>
      <c r="D43" s="8">
        <f t="shared" si="54"/>
        <v>316.59714125816498</v>
      </c>
      <c r="E43" s="26">
        <f t="shared" si="51"/>
        <v>185332.44874651585</v>
      </c>
      <c r="F43" s="26">
        <f t="shared" si="51"/>
        <v>51038.976916830179</v>
      </c>
      <c r="G43" s="26">
        <f t="shared" si="51"/>
        <v>22678.908552126552</v>
      </c>
      <c r="H43" s="26">
        <f t="shared" si="51"/>
        <v>14644.376656197119</v>
      </c>
      <c r="I43" s="26">
        <f t="shared" si="51"/>
        <v>4369.0405493626777</v>
      </c>
      <c r="J43" s="26">
        <f t="shared" si="51"/>
        <v>22348.240426812474</v>
      </c>
      <c r="K43" s="26">
        <f t="shared" si="51"/>
        <v>9061.7137320114816</v>
      </c>
      <c r="L43" s="26" t="e">
        <f t="shared" si="51"/>
        <v>#DIV/0!</v>
      </c>
      <c r="M43" s="26">
        <f t="shared" si="51"/>
        <v>2399.1027815340949</v>
      </c>
      <c r="N43" s="26">
        <f t="shared" si="51"/>
        <v>816.11707524326982</v>
      </c>
      <c r="O43" s="26">
        <f t="shared" si="51"/>
        <v>1115.125486431537</v>
      </c>
      <c r="P43" s="26">
        <f t="shared" si="51"/>
        <v>1572.4324682488859</v>
      </c>
      <c r="Q43" s="26">
        <f t="shared" si="51"/>
        <v>4028.6528654296139</v>
      </c>
      <c r="R43" s="26">
        <f t="shared" si="51"/>
        <v>0</v>
      </c>
      <c r="S43" s="26">
        <f t="shared" si="51"/>
        <v>268.62177286265569</v>
      </c>
      <c r="T43" s="26">
        <f t="shared" si="51"/>
        <v>69.05785987145812</v>
      </c>
      <c r="U43" s="26" t="e">
        <f t="shared" si="51"/>
        <v>#DIV/0!</v>
      </c>
      <c r="V43" s="26" t="e">
        <f t="shared" si="51"/>
        <v>#DIV/0!</v>
      </c>
      <c r="W43" s="26" t="e">
        <f t="shared" si="51"/>
        <v>#DIV/0!</v>
      </c>
      <c r="X43" s="26" t="e">
        <f t="shared" si="51"/>
        <v>#DIV/0!</v>
      </c>
      <c r="Y43" s="26" t="e">
        <f t="shared" si="51"/>
        <v>#DIV/0!</v>
      </c>
      <c r="Z43" s="26" t="e">
        <f t="shared" si="51"/>
        <v>#DIV/0!</v>
      </c>
      <c r="AA43" s="26" t="e">
        <f t="shared" si="51"/>
        <v>#DIV/0!</v>
      </c>
      <c r="AB43" s="26" t="e">
        <f t="shared" si="51"/>
        <v>#DIV/0!</v>
      </c>
      <c r="AC43" s="26" t="e">
        <f t="shared" si="51"/>
        <v>#DIV/0!</v>
      </c>
      <c r="AD43" s="26">
        <f t="shared" si="51"/>
        <v>29.240278772321609</v>
      </c>
      <c r="AE43" s="26" t="e">
        <f t="shared" si="51"/>
        <v>#DIV/0!</v>
      </c>
      <c r="AF43" s="26">
        <f t="shared" si="51"/>
        <v>25.880273766227859</v>
      </c>
      <c r="AG43" s="26">
        <f t="shared" si="51"/>
        <v>32.302672264169232</v>
      </c>
      <c r="AH43" s="26">
        <f t="shared" si="51"/>
        <v>2.7663730541236364</v>
      </c>
      <c r="AI43" s="26" t="e">
        <f t="shared" si="51"/>
        <v>#DIV/0!</v>
      </c>
      <c r="AJ43" s="26" t="e">
        <f t="shared" si="51"/>
        <v>#DIV/0!</v>
      </c>
      <c r="AK43" s="26">
        <f t="shared" si="51"/>
        <v>6.1913578645876122</v>
      </c>
      <c r="AL43" s="26">
        <f t="shared" si="51"/>
        <v>3.2674218005264164</v>
      </c>
      <c r="AM43" s="26" t="e">
        <f t="shared" si="51"/>
        <v>#DIV/0!</v>
      </c>
      <c r="AN43" s="26">
        <f t="shared" ref="AN43:AV43" si="61">AN$13/100*$C43</f>
        <v>267.57675957202878</v>
      </c>
      <c r="AO43" s="26" t="e">
        <f t="shared" si="61"/>
        <v>#DIV/0!</v>
      </c>
      <c r="AP43" s="26" t="e">
        <f t="shared" si="61"/>
        <v>#DIV/0!</v>
      </c>
      <c r="AQ43" s="26">
        <f t="shared" si="61"/>
        <v>7.943642309180535</v>
      </c>
      <c r="AR43" s="26" t="e">
        <f t="shared" si="61"/>
        <v>#DIV/0!</v>
      </c>
      <c r="AS43" s="26">
        <f t="shared" si="61"/>
        <v>1.3288468490600709</v>
      </c>
      <c r="AT43" s="26" t="e">
        <f t="shared" si="61"/>
        <v>#DIV/0!</v>
      </c>
      <c r="AU43" s="26">
        <f t="shared" si="61"/>
        <v>21.65691609496433</v>
      </c>
      <c r="AV43" s="26" t="e">
        <f t="shared" si="61"/>
        <v>#DIV/0!</v>
      </c>
      <c r="AW43" s="26">
        <f t="shared" si="55"/>
        <v>137.78711284087908</v>
      </c>
      <c r="AX43" s="8">
        <f t="shared" si="56"/>
        <v>320278.75754466589</v>
      </c>
      <c r="AY43" s="8">
        <f t="shared" si="57"/>
        <v>1.1628709823057903</v>
      </c>
      <c r="BA43" s="8">
        <f t="shared" si="58"/>
        <v>2727.5678061028825</v>
      </c>
      <c r="BB43" s="8">
        <f t="shared" si="59"/>
        <v>328.46502456878727</v>
      </c>
      <c r="BC43" s="183">
        <f>SUM(AD43,T43,AG43,AL43)</f>
        <v>133.8682327084754</v>
      </c>
      <c r="BD43" s="8" t="e">
        <f t="shared" si="60"/>
        <v>#DIV/0!</v>
      </c>
      <c r="BE43" s="8" t="e">
        <f>SUM(BC43:BD43)</f>
        <v>#DIV/0!</v>
      </c>
      <c r="BF43" s="8"/>
    </row>
    <row r="44" spans="1:58" x14ac:dyDescent="0.25">
      <c r="A44" s="28"/>
      <c r="B44" s="12"/>
      <c r="C44" s="10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1:58" hidden="1" x14ac:dyDescent="0.25">
      <c r="B45" s="13" t="s">
        <v>123</v>
      </c>
      <c r="E45" s="8"/>
    </row>
    <row r="46" spans="1:58" hidden="1" x14ac:dyDescent="0.25">
      <c r="B46" s="12" t="s">
        <v>124</v>
      </c>
      <c r="C46" s="10"/>
      <c r="D46" s="8"/>
      <c r="E46" s="29">
        <f t="shared" ref="E46:AW46" si="62">E23/E39</f>
        <v>0.40135684315764536</v>
      </c>
      <c r="F46" s="29">
        <f t="shared" si="62"/>
        <v>4.1610918833430183E-2</v>
      </c>
      <c r="G46" s="29">
        <f t="shared" si="62"/>
        <v>3.2622941290081545E-2</v>
      </c>
      <c r="H46" s="29">
        <f t="shared" si="62"/>
        <v>2.4046564313014735E-2</v>
      </c>
      <c r="I46" s="29">
        <f t="shared" si="62"/>
        <v>5.6547596879255466E-2</v>
      </c>
      <c r="J46" s="29">
        <f t="shared" si="62"/>
        <v>2.2968638601424257E-2</v>
      </c>
      <c r="K46" s="29">
        <f t="shared" si="62"/>
        <v>0.16632999583589878</v>
      </c>
      <c r="L46" s="29" t="e">
        <f t="shared" si="62"/>
        <v>#DIV/0!</v>
      </c>
      <c r="M46" s="29">
        <f t="shared" si="62"/>
        <v>3.1555904350661031E-2</v>
      </c>
      <c r="N46" s="29">
        <f t="shared" si="62"/>
        <v>9.2331013680305024E-2</v>
      </c>
      <c r="O46" s="29">
        <f t="shared" si="62"/>
        <v>2.5715905227930904E-2</v>
      </c>
      <c r="P46" s="29">
        <f t="shared" si="62"/>
        <v>0.15975617795424138</v>
      </c>
      <c r="Q46" s="29">
        <f t="shared" si="62"/>
        <v>8.4687386733142939E-2</v>
      </c>
      <c r="R46" s="29" t="e">
        <f t="shared" si="62"/>
        <v>#DIV/0!</v>
      </c>
      <c r="S46" s="29">
        <f t="shared" si="62"/>
        <v>9.0484958567550094E-2</v>
      </c>
      <c r="T46" s="29">
        <f t="shared" si="62"/>
        <v>0.11430058381913835</v>
      </c>
      <c r="U46" s="29" t="e">
        <f t="shared" si="62"/>
        <v>#DIV/0!</v>
      </c>
      <c r="V46" s="29" t="e">
        <f t="shared" si="62"/>
        <v>#DIV/0!</v>
      </c>
      <c r="W46" s="29" t="e">
        <f t="shared" si="62"/>
        <v>#DIV/0!</v>
      </c>
      <c r="X46" s="29" t="e">
        <f t="shared" si="62"/>
        <v>#DIV/0!</v>
      </c>
      <c r="Y46" s="29" t="e">
        <f t="shared" si="62"/>
        <v>#DIV/0!</v>
      </c>
      <c r="Z46" s="29" t="e">
        <f t="shared" si="62"/>
        <v>#DIV/0!</v>
      </c>
      <c r="AA46" s="29" t="e">
        <f t="shared" si="62"/>
        <v>#DIV/0!</v>
      </c>
      <c r="AB46" s="29" t="e">
        <f t="shared" si="62"/>
        <v>#DIV/0!</v>
      </c>
      <c r="AC46" s="29" t="e">
        <f t="shared" si="62"/>
        <v>#DIV/0!</v>
      </c>
      <c r="AD46" s="29">
        <f t="shared" si="62"/>
        <v>0.14506143487109513</v>
      </c>
      <c r="AE46" s="29" t="e">
        <f t="shared" si="62"/>
        <v>#DIV/0!</v>
      </c>
      <c r="AF46" s="29">
        <f t="shared" si="62"/>
        <v>0.16871333889366635</v>
      </c>
      <c r="AG46" s="29">
        <f t="shared" si="62"/>
        <v>0.11354888127179</v>
      </c>
      <c r="AH46" s="29">
        <f t="shared" si="62"/>
        <v>0.13296371347754257</v>
      </c>
      <c r="AI46" s="29" t="e">
        <f t="shared" si="62"/>
        <v>#DIV/0!</v>
      </c>
      <c r="AJ46" s="29" t="e">
        <f t="shared" si="62"/>
        <v>#DIV/0!</v>
      </c>
      <c r="AK46" s="29" t="e">
        <f t="shared" si="62"/>
        <v>#DIV/0!</v>
      </c>
      <c r="AL46" s="29">
        <f t="shared" si="62"/>
        <v>0.19664553888012509</v>
      </c>
      <c r="AM46" s="29" t="e">
        <f t="shared" si="62"/>
        <v>#DIV/0!</v>
      </c>
      <c r="AN46" s="29">
        <f t="shared" si="62"/>
        <v>3.6762317850141848E-2</v>
      </c>
      <c r="AO46" s="29" t="e">
        <f t="shared" si="62"/>
        <v>#DIV/0!</v>
      </c>
      <c r="AP46" s="29" t="e">
        <f t="shared" si="62"/>
        <v>#DIV/0!</v>
      </c>
      <c r="AQ46" s="29">
        <f t="shared" si="62"/>
        <v>4.9342971423802569E-2</v>
      </c>
      <c r="AR46" s="29" t="e">
        <f t="shared" si="62"/>
        <v>#DIV/0!</v>
      </c>
      <c r="AS46" s="29">
        <f t="shared" si="62"/>
        <v>0.10325793145855193</v>
      </c>
      <c r="AT46" s="29" t="e">
        <f t="shared" si="62"/>
        <v>#DIV/0!</v>
      </c>
      <c r="AU46" s="29">
        <f t="shared" si="62"/>
        <v>9.7325577657975892E-2</v>
      </c>
      <c r="AV46" s="29" t="e">
        <f t="shared" si="62"/>
        <v>#DIV/0!</v>
      </c>
      <c r="AW46" s="29">
        <f t="shared" si="62"/>
        <v>8.8910341187060052E-2</v>
      </c>
    </row>
    <row r="47" spans="1:58" hidden="1" x14ac:dyDescent="0.25">
      <c r="B47" s="12" t="s">
        <v>125</v>
      </c>
      <c r="C47" s="10"/>
      <c r="D47" s="8"/>
      <c r="E47" s="29" t="e">
        <f>#REF!/#REF!</f>
        <v>#REF!</v>
      </c>
      <c r="F47" s="29" t="e">
        <f>#REF!/#REF!</f>
        <v>#REF!</v>
      </c>
      <c r="G47" s="29" t="e">
        <f>#REF!/#REF!</f>
        <v>#REF!</v>
      </c>
      <c r="H47" s="29" t="e">
        <f>#REF!/#REF!</f>
        <v>#REF!</v>
      </c>
      <c r="I47" s="29" t="e">
        <f>#REF!/#REF!</f>
        <v>#REF!</v>
      </c>
      <c r="J47" s="29" t="e">
        <f>#REF!/#REF!</f>
        <v>#REF!</v>
      </c>
      <c r="K47" s="29" t="e">
        <f>#REF!/#REF!</f>
        <v>#REF!</v>
      </c>
      <c r="L47" s="29" t="e">
        <f>#REF!/#REF!</f>
        <v>#REF!</v>
      </c>
      <c r="M47" s="29" t="e">
        <f>#REF!/#REF!</f>
        <v>#REF!</v>
      </c>
      <c r="N47" s="29" t="e">
        <f>#REF!/#REF!</f>
        <v>#REF!</v>
      </c>
      <c r="O47" s="29" t="e">
        <f>#REF!/#REF!</f>
        <v>#REF!</v>
      </c>
      <c r="P47" s="29" t="e">
        <f>#REF!/#REF!</f>
        <v>#REF!</v>
      </c>
      <c r="Q47" s="29" t="e">
        <f>#REF!/#REF!</f>
        <v>#REF!</v>
      </c>
      <c r="R47" s="29" t="e">
        <f>#REF!/#REF!</f>
        <v>#REF!</v>
      </c>
      <c r="S47" s="29" t="e">
        <f>#REF!/#REF!</f>
        <v>#REF!</v>
      </c>
      <c r="T47" s="29" t="e">
        <f>#REF!/#REF!</f>
        <v>#REF!</v>
      </c>
      <c r="U47" s="29" t="e">
        <f>#REF!/#REF!</f>
        <v>#REF!</v>
      </c>
      <c r="V47" s="29" t="e">
        <f>#REF!/#REF!</f>
        <v>#REF!</v>
      </c>
      <c r="W47" s="29" t="e">
        <f>#REF!/#REF!</f>
        <v>#REF!</v>
      </c>
      <c r="X47" s="29" t="e">
        <f>#REF!/#REF!</f>
        <v>#REF!</v>
      </c>
      <c r="Y47" s="29" t="e">
        <f>#REF!/#REF!</f>
        <v>#REF!</v>
      </c>
      <c r="Z47" s="29" t="e">
        <f>#REF!/#REF!</f>
        <v>#REF!</v>
      </c>
      <c r="AA47" s="29" t="e">
        <f>#REF!/#REF!</f>
        <v>#REF!</v>
      </c>
      <c r="AB47" s="29" t="e">
        <f>#REF!/#REF!</f>
        <v>#REF!</v>
      </c>
      <c r="AC47" s="29" t="e">
        <f>#REF!/#REF!</f>
        <v>#REF!</v>
      </c>
      <c r="AD47" s="29" t="e">
        <f>#REF!/#REF!</f>
        <v>#REF!</v>
      </c>
      <c r="AE47" s="29" t="e">
        <f>#REF!/#REF!</f>
        <v>#REF!</v>
      </c>
      <c r="AF47" s="29" t="e">
        <f>#REF!/#REF!</f>
        <v>#REF!</v>
      </c>
      <c r="AG47" s="29" t="e">
        <f>#REF!/#REF!</f>
        <v>#REF!</v>
      </c>
      <c r="AH47" s="29" t="e">
        <f>#REF!/#REF!</f>
        <v>#REF!</v>
      </c>
      <c r="AI47" s="29" t="e">
        <f>#REF!/#REF!</f>
        <v>#REF!</v>
      </c>
      <c r="AJ47" s="29" t="e">
        <f>#REF!/#REF!</f>
        <v>#REF!</v>
      </c>
      <c r="AK47" s="29" t="e">
        <f>#REF!/#REF!</f>
        <v>#REF!</v>
      </c>
      <c r="AL47" s="29" t="e">
        <f>#REF!/#REF!</f>
        <v>#REF!</v>
      </c>
      <c r="AM47" s="29" t="e">
        <f>#REF!/#REF!</f>
        <v>#REF!</v>
      </c>
      <c r="AN47" s="29" t="e">
        <f>#REF!/#REF!</f>
        <v>#REF!</v>
      </c>
      <c r="AO47" s="29" t="e">
        <f>#REF!/#REF!</f>
        <v>#REF!</v>
      </c>
      <c r="AP47" s="29" t="e">
        <f>#REF!/#REF!</f>
        <v>#REF!</v>
      </c>
      <c r="AQ47" s="29" t="e">
        <f>#REF!/#REF!</f>
        <v>#REF!</v>
      </c>
      <c r="AR47" s="29" t="e">
        <f>#REF!/#REF!</f>
        <v>#REF!</v>
      </c>
      <c r="AS47" s="29" t="e">
        <f>#REF!/#REF!</f>
        <v>#REF!</v>
      </c>
      <c r="AT47" s="29" t="e">
        <f>#REF!/#REF!</f>
        <v>#REF!</v>
      </c>
      <c r="AU47" s="29" t="e">
        <f>#REF!/#REF!</f>
        <v>#REF!</v>
      </c>
      <c r="AV47" s="29" t="e">
        <f>#REF!/#REF!</f>
        <v>#REF!</v>
      </c>
      <c r="AW47" s="29" t="e">
        <f>#REF!/#REF!</f>
        <v>#REF!</v>
      </c>
    </row>
    <row r="48" spans="1:58" hidden="1" x14ac:dyDescent="0.25">
      <c r="B48" s="12" t="s">
        <v>126</v>
      </c>
      <c r="C48" s="10"/>
      <c r="D48" s="8"/>
      <c r="E48" s="29" t="e">
        <f>#REF!/E40</f>
        <v>#REF!</v>
      </c>
      <c r="F48" s="29" t="e">
        <f>#REF!/F40</f>
        <v>#REF!</v>
      </c>
      <c r="G48" s="29" t="e">
        <f>#REF!/G40</f>
        <v>#REF!</v>
      </c>
      <c r="H48" s="29" t="e">
        <f>#REF!/H40</f>
        <v>#REF!</v>
      </c>
      <c r="I48" s="29" t="e">
        <f>#REF!/I40</f>
        <v>#REF!</v>
      </c>
      <c r="J48" s="29" t="e">
        <f>#REF!/J40</f>
        <v>#REF!</v>
      </c>
      <c r="K48" s="29" t="e">
        <f>#REF!/K40</f>
        <v>#REF!</v>
      </c>
      <c r="L48" s="29" t="e">
        <f>#REF!/L40</f>
        <v>#REF!</v>
      </c>
      <c r="M48" s="29" t="e">
        <f>#REF!/M40</f>
        <v>#REF!</v>
      </c>
      <c r="N48" s="29" t="e">
        <f>#REF!/N40</f>
        <v>#REF!</v>
      </c>
      <c r="O48" s="29" t="e">
        <f>#REF!/O40</f>
        <v>#REF!</v>
      </c>
      <c r="P48" s="29" t="e">
        <f>#REF!/P40</f>
        <v>#REF!</v>
      </c>
      <c r="Q48" s="29" t="e">
        <f>#REF!/Q40</f>
        <v>#REF!</v>
      </c>
      <c r="R48" s="29" t="e">
        <f>#REF!/R40</f>
        <v>#REF!</v>
      </c>
      <c r="S48" s="29" t="e">
        <f>#REF!/S40</f>
        <v>#REF!</v>
      </c>
      <c r="T48" s="29" t="e">
        <f>#REF!/T40</f>
        <v>#REF!</v>
      </c>
      <c r="U48" s="29" t="e">
        <f>#REF!/U40</f>
        <v>#REF!</v>
      </c>
      <c r="V48" s="29" t="e">
        <f>#REF!/V40</f>
        <v>#REF!</v>
      </c>
      <c r="W48" s="29" t="e">
        <f>#REF!/W40</f>
        <v>#REF!</v>
      </c>
      <c r="X48" s="29" t="e">
        <f>#REF!/X40</f>
        <v>#REF!</v>
      </c>
      <c r="Y48" s="29" t="e">
        <f>#REF!/Y40</f>
        <v>#REF!</v>
      </c>
      <c r="Z48" s="29" t="e">
        <f>#REF!/Z40</f>
        <v>#REF!</v>
      </c>
      <c r="AA48" s="29" t="e">
        <f>#REF!/AA40</f>
        <v>#REF!</v>
      </c>
      <c r="AB48" s="29" t="e">
        <f>#REF!/AB40</f>
        <v>#REF!</v>
      </c>
      <c r="AC48" s="29" t="e">
        <f>#REF!/AC40</f>
        <v>#REF!</v>
      </c>
      <c r="AD48" s="29" t="e">
        <f>#REF!/AD40</f>
        <v>#REF!</v>
      </c>
      <c r="AE48" s="29" t="e">
        <f>#REF!/AE40</f>
        <v>#REF!</v>
      </c>
      <c r="AF48" s="29" t="e">
        <f>#REF!/AF40</f>
        <v>#REF!</v>
      </c>
      <c r="AG48" s="29" t="e">
        <f>#REF!/AG40</f>
        <v>#REF!</v>
      </c>
      <c r="AH48" s="29" t="e">
        <f>#REF!/AH40</f>
        <v>#REF!</v>
      </c>
      <c r="AI48" s="29" t="e">
        <f>#REF!/AI40</f>
        <v>#REF!</v>
      </c>
      <c r="AJ48" s="29" t="e">
        <f>#REF!/AJ40</f>
        <v>#REF!</v>
      </c>
      <c r="AK48" s="29" t="e">
        <f>#REF!/AK40</f>
        <v>#REF!</v>
      </c>
      <c r="AL48" s="29" t="e">
        <f>#REF!/AL40</f>
        <v>#REF!</v>
      </c>
      <c r="AM48" s="29" t="e">
        <f>#REF!/AM40</f>
        <v>#REF!</v>
      </c>
      <c r="AN48" s="29" t="e">
        <f>#REF!/AN40</f>
        <v>#REF!</v>
      </c>
      <c r="AO48" s="29" t="e">
        <f>#REF!/AO40</f>
        <v>#REF!</v>
      </c>
      <c r="AP48" s="29" t="e">
        <f>#REF!/AP40</f>
        <v>#REF!</v>
      </c>
      <c r="AQ48" s="29" t="e">
        <f>#REF!/AQ40</f>
        <v>#REF!</v>
      </c>
      <c r="AR48" s="29" t="e">
        <f>#REF!/AR40</f>
        <v>#REF!</v>
      </c>
      <c r="AS48" s="29" t="e">
        <f>#REF!/AS40</f>
        <v>#REF!</v>
      </c>
      <c r="AT48" s="29" t="e">
        <f>#REF!/AT40</f>
        <v>#REF!</v>
      </c>
      <c r="AU48" s="29" t="e">
        <f>#REF!/AU40</f>
        <v>#REF!</v>
      </c>
      <c r="AV48" s="29" t="e">
        <f>#REF!/AV40</f>
        <v>#REF!</v>
      </c>
      <c r="AW48" s="29" t="e">
        <f>#REF!/AW40</f>
        <v>#REF!</v>
      </c>
    </row>
    <row r="49" spans="1:58" hidden="1" x14ac:dyDescent="0.25">
      <c r="B49" s="12" t="s">
        <v>127</v>
      </c>
      <c r="C49" s="10"/>
      <c r="D49" s="8"/>
      <c r="E49" s="29">
        <f t="shared" ref="E49:AW49" si="63">E26/E41</f>
        <v>0.40135684315764564</v>
      </c>
      <c r="F49" s="29">
        <f t="shared" si="63"/>
        <v>4.1610918833430204E-2</v>
      </c>
      <c r="G49" s="29">
        <f t="shared" si="63"/>
        <v>3.2622941290081565E-2</v>
      </c>
      <c r="H49" s="29">
        <f t="shared" si="63"/>
        <v>2.4046564313014749E-2</v>
      </c>
      <c r="I49" s="29">
        <f t="shared" si="63"/>
        <v>5.65475968792555E-2</v>
      </c>
      <c r="J49" s="29">
        <f t="shared" si="63"/>
        <v>2.2968638601424275E-2</v>
      </c>
      <c r="K49" s="29">
        <f t="shared" si="63"/>
        <v>0.16632999583589889</v>
      </c>
      <c r="L49" s="29" t="e">
        <f t="shared" si="63"/>
        <v>#DIV/0!</v>
      </c>
      <c r="M49" s="29">
        <f t="shared" si="63"/>
        <v>3.1555904350661051E-2</v>
      </c>
      <c r="N49" s="29">
        <f t="shared" si="63"/>
        <v>9.233101368030508E-2</v>
      </c>
      <c r="O49" s="29">
        <f t="shared" si="63"/>
        <v>2.5715905227930921E-2</v>
      </c>
      <c r="P49" s="29">
        <f t="shared" si="63"/>
        <v>0.15975617795424149</v>
      </c>
      <c r="Q49" s="29">
        <f t="shared" si="63"/>
        <v>8.4687386733142994E-2</v>
      </c>
      <c r="R49" s="29" t="e">
        <f t="shared" si="63"/>
        <v>#DIV/0!</v>
      </c>
      <c r="S49" s="29">
        <f t="shared" si="63"/>
        <v>9.0484958567550164E-2</v>
      </c>
      <c r="T49" s="29">
        <f t="shared" si="63"/>
        <v>0.11430058381913841</v>
      </c>
      <c r="U49" s="29" t="e">
        <f t="shared" si="63"/>
        <v>#DIV/0!</v>
      </c>
      <c r="V49" s="29" t="e">
        <f t="shared" si="63"/>
        <v>#DIV/0!</v>
      </c>
      <c r="W49" s="29" t="e">
        <f t="shared" si="63"/>
        <v>#DIV/0!</v>
      </c>
      <c r="X49" s="29" t="e">
        <f t="shared" si="63"/>
        <v>#DIV/0!</v>
      </c>
      <c r="Y49" s="29" t="e">
        <f t="shared" si="63"/>
        <v>#DIV/0!</v>
      </c>
      <c r="Z49" s="29" t="e">
        <f t="shared" si="63"/>
        <v>#DIV/0!</v>
      </c>
      <c r="AA49" s="29" t="e">
        <f t="shared" si="63"/>
        <v>#DIV/0!</v>
      </c>
      <c r="AB49" s="29" t="e">
        <f t="shared" si="63"/>
        <v>#DIV/0!</v>
      </c>
      <c r="AC49" s="29" t="e">
        <f t="shared" si="63"/>
        <v>#DIV/0!</v>
      </c>
      <c r="AD49" s="29">
        <f t="shared" si="63"/>
        <v>0.14506143487109519</v>
      </c>
      <c r="AE49" s="29" t="e">
        <f t="shared" si="63"/>
        <v>#DIV/0!</v>
      </c>
      <c r="AF49" s="29">
        <f t="shared" si="63"/>
        <v>0.16871333889366649</v>
      </c>
      <c r="AG49" s="29">
        <f t="shared" si="63"/>
        <v>0.11354888127179007</v>
      </c>
      <c r="AH49" s="29">
        <f t="shared" si="63"/>
        <v>0.13296371347754263</v>
      </c>
      <c r="AI49" s="29" t="e">
        <f t="shared" si="63"/>
        <v>#DIV/0!</v>
      </c>
      <c r="AJ49" s="29" t="e">
        <f t="shared" si="63"/>
        <v>#DIV/0!</v>
      </c>
      <c r="AK49" s="29" t="e">
        <f t="shared" si="63"/>
        <v>#DIV/0!</v>
      </c>
      <c r="AL49" s="29">
        <f t="shared" si="63"/>
        <v>0.1966455388801252</v>
      </c>
      <c r="AM49" s="29" t="e">
        <f t="shared" si="63"/>
        <v>#DIV/0!</v>
      </c>
      <c r="AN49" s="29">
        <f t="shared" si="63"/>
        <v>3.6762317850141869E-2</v>
      </c>
      <c r="AO49" s="29" t="e">
        <f t="shared" si="63"/>
        <v>#DIV/0!</v>
      </c>
      <c r="AP49" s="29" t="e">
        <f t="shared" si="63"/>
        <v>#DIV/0!</v>
      </c>
      <c r="AQ49" s="29">
        <f t="shared" si="63"/>
        <v>4.9342971423802603E-2</v>
      </c>
      <c r="AR49" s="29" t="e">
        <f t="shared" si="63"/>
        <v>#DIV/0!</v>
      </c>
      <c r="AS49" s="29">
        <f t="shared" si="63"/>
        <v>0.10325793145855199</v>
      </c>
      <c r="AT49" s="29" t="e">
        <f t="shared" si="63"/>
        <v>#DIV/0!</v>
      </c>
      <c r="AU49" s="29">
        <f t="shared" si="63"/>
        <v>9.7325577657975962E-2</v>
      </c>
      <c r="AV49" s="29" t="e">
        <f t="shared" si="63"/>
        <v>#DIV/0!</v>
      </c>
      <c r="AW49" s="29">
        <f t="shared" si="63"/>
        <v>8.8910341187060107E-2</v>
      </c>
    </row>
    <row r="50" spans="1:58" hidden="1" x14ac:dyDescent="0.25">
      <c r="B50" s="12" t="s">
        <v>128</v>
      </c>
      <c r="C50" s="10"/>
      <c r="D50" s="8"/>
      <c r="E50" s="29" t="e">
        <f>#REF!/E42</f>
        <v>#REF!</v>
      </c>
      <c r="F50" s="29" t="e">
        <f>#REF!/F42</f>
        <v>#REF!</v>
      </c>
      <c r="G50" s="29" t="e">
        <f>#REF!/G42</f>
        <v>#REF!</v>
      </c>
      <c r="H50" s="29" t="e">
        <f>#REF!/H42</f>
        <v>#REF!</v>
      </c>
      <c r="I50" s="29" t="e">
        <f>#REF!/I42</f>
        <v>#REF!</v>
      </c>
      <c r="J50" s="29" t="e">
        <f>#REF!/J42</f>
        <v>#REF!</v>
      </c>
      <c r="K50" s="29" t="e">
        <f>#REF!/K42</f>
        <v>#REF!</v>
      </c>
      <c r="L50" s="29" t="e">
        <f>#REF!/L42</f>
        <v>#REF!</v>
      </c>
      <c r="M50" s="29" t="e">
        <f>#REF!/M42</f>
        <v>#REF!</v>
      </c>
      <c r="N50" s="29" t="e">
        <f>#REF!/N42</f>
        <v>#REF!</v>
      </c>
      <c r="O50" s="29" t="e">
        <f>#REF!/O42</f>
        <v>#REF!</v>
      </c>
      <c r="P50" s="29" t="e">
        <f>#REF!/P42</f>
        <v>#REF!</v>
      </c>
      <c r="Q50" s="29" t="e">
        <f>#REF!/Q42</f>
        <v>#REF!</v>
      </c>
      <c r="R50" s="29" t="e">
        <f>#REF!/R42</f>
        <v>#REF!</v>
      </c>
      <c r="S50" s="29" t="e">
        <f>#REF!/S42</f>
        <v>#REF!</v>
      </c>
      <c r="T50" s="29" t="e">
        <f>#REF!/T42</f>
        <v>#REF!</v>
      </c>
      <c r="U50" s="29" t="e">
        <f>#REF!/U42</f>
        <v>#REF!</v>
      </c>
      <c r="V50" s="29" t="e">
        <f>#REF!/V42</f>
        <v>#REF!</v>
      </c>
      <c r="W50" s="29" t="e">
        <f>#REF!/W42</f>
        <v>#REF!</v>
      </c>
      <c r="X50" s="29" t="e">
        <f>#REF!/X42</f>
        <v>#REF!</v>
      </c>
      <c r="Y50" s="29" t="e">
        <f>#REF!/Y42</f>
        <v>#REF!</v>
      </c>
      <c r="Z50" s="29" t="e">
        <f>#REF!/Z42</f>
        <v>#REF!</v>
      </c>
      <c r="AA50" s="29" t="e">
        <f>#REF!/AA42</f>
        <v>#REF!</v>
      </c>
      <c r="AB50" s="29" t="e">
        <f>#REF!/AB42</f>
        <v>#REF!</v>
      </c>
      <c r="AC50" s="29" t="e">
        <f>#REF!/AC42</f>
        <v>#REF!</v>
      </c>
      <c r="AD50" s="29" t="e">
        <f>#REF!/AD42</f>
        <v>#REF!</v>
      </c>
      <c r="AE50" s="29" t="e">
        <f>#REF!/AE42</f>
        <v>#REF!</v>
      </c>
      <c r="AF50" s="29" t="e">
        <f>#REF!/AF42</f>
        <v>#REF!</v>
      </c>
      <c r="AG50" s="29" t="e">
        <f>#REF!/AG42</f>
        <v>#REF!</v>
      </c>
      <c r="AH50" s="29" t="e">
        <f>#REF!/AH42</f>
        <v>#REF!</v>
      </c>
      <c r="AI50" s="29" t="e">
        <f>#REF!/AI42</f>
        <v>#REF!</v>
      </c>
      <c r="AJ50" s="29" t="e">
        <f>#REF!/AJ42</f>
        <v>#REF!</v>
      </c>
      <c r="AK50" s="29" t="e">
        <f>#REF!/AK42</f>
        <v>#REF!</v>
      </c>
      <c r="AL50" s="29" t="e">
        <f>#REF!/AL42</f>
        <v>#REF!</v>
      </c>
      <c r="AM50" s="29" t="e">
        <f>#REF!/AM42</f>
        <v>#REF!</v>
      </c>
      <c r="AN50" s="29" t="e">
        <f>#REF!/AN42</f>
        <v>#REF!</v>
      </c>
      <c r="AO50" s="29" t="e">
        <f>#REF!/AO42</f>
        <v>#REF!</v>
      </c>
      <c r="AP50" s="29" t="e">
        <f>#REF!/AP42</f>
        <v>#REF!</v>
      </c>
      <c r="AQ50" s="29" t="e">
        <f>#REF!/AQ42</f>
        <v>#REF!</v>
      </c>
      <c r="AR50" s="29" t="e">
        <f>#REF!/AR42</f>
        <v>#REF!</v>
      </c>
      <c r="AS50" s="29" t="e">
        <f>#REF!/AS42</f>
        <v>#REF!</v>
      </c>
      <c r="AT50" s="29" t="e">
        <f>#REF!/AT42</f>
        <v>#REF!</v>
      </c>
      <c r="AU50" s="29" t="e">
        <f>#REF!/AU42</f>
        <v>#REF!</v>
      </c>
      <c r="AV50" s="29" t="e">
        <f>#REF!/AV42</f>
        <v>#REF!</v>
      </c>
      <c r="AW50" s="29" t="e">
        <f>#REF!/AW42</f>
        <v>#REF!</v>
      </c>
    </row>
    <row r="51" spans="1:58" s="15" customFormat="1" x14ac:dyDescent="0.25">
      <c r="B51" s="15" t="s">
        <v>535</v>
      </c>
      <c r="C51" s="17"/>
      <c r="D51" s="24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4"/>
    </row>
    <row r="52" spans="1:58" x14ac:dyDescent="0.25">
      <c r="B52" t="s">
        <v>129</v>
      </c>
      <c r="C52" s="10"/>
      <c r="D52" s="8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</row>
    <row r="53" spans="1:58" s="15" customFormat="1" ht="42.4" customHeight="1" x14ac:dyDescent="0.3">
      <c r="A53" s="31"/>
      <c r="B53" s="206" t="s">
        <v>516</v>
      </c>
      <c r="C53" s="32" t="str">
        <f t="shared" ref="C53:AW53" si="64">C38</f>
        <v>Total Tonnage (Mt)</v>
      </c>
      <c r="D53" s="32" t="str">
        <f t="shared" si="64"/>
        <v>Total Rock (Gt)</v>
      </c>
      <c r="E53" s="32" t="str">
        <f t="shared" si="64"/>
        <v>SiO2</v>
      </c>
      <c r="F53" s="32" t="str">
        <f t="shared" si="64"/>
        <v>Al2O3</v>
      </c>
      <c r="G53" s="32" t="str">
        <f t="shared" si="64"/>
        <v>Fe2O3</v>
      </c>
      <c r="H53" s="32" t="str">
        <f t="shared" si="64"/>
        <v>CaO</v>
      </c>
      <c r="I53" s="32" t="str">
        <f t="shared" si="64"/>
        <v>MgO</v>
      </c>
      <c r="J53" s="32" t="str">
        <f t="shared" si="64"/>
        <v>Na2O</v>
      </c>
      <c r="K53" s="32" t="str">
        <f t="shared" si="64"/>
        <v>K2O</v>
      </c>
      <c r="L53" s="32" t="str">
        <f t="shared" si="64"/>
        <v>Cr2O3</v>
      </c>
      <c r="M53" s="32" t="str">
        <f t="shared" si="64"/>
        <v>TiO2</v>
      </c>
      <c r="N53" s="32" t="str">
        <f t="shared" si="64"/>
        <v>MnO</v>
      </c>
      <c r="O53" s="32" t="str">
        <f t="shared" si="64"/>
        <v>P2O5</v>
      </c>
      <c r="P53" s="32" t="str">
        <f t="shared" si="64"/>
        <v>LOI</v>
      </c>
      <c r="Q53" s="32" t="str">
        <f t="shared" si="64"/>
        <v>H2O+ (calc)</v>
      </c>
      <c r="R53" s="32">
        <f t="shared" si="64"/>
        <v>0</v>
      </c>
      <c r="S53" s="32" t="str">
        <f t="shared" si="64"/>
        <v>BaO</v>
      </c>
      <c r="T53" s="32" t="str">
        <f t="shared" si="64"/>
        <v>Ce2O3</v>
      </c>
      <c r="U53" s="32" t="str">
        <f t="shared" si="64"/>
        <v>Cr2O3</v>
      </c>
      <c r="V53" s="32" t="str">
        <f t="shared" si="64"/>
        <v>Cs2O3</v>
      </c>
      <c r="W53" s="32" t="str">
        <f t="shared" si="64"/>
        <v>Dy2O3</v>
      </c>
      <c r="X53" s="32" t="str">
        <f t="shared" si="64"/>
        <v>Er2O3</v>
      </c>
      <c r="Y53" s="32" t="str">
        <f t="shared" si="64"/>
        <v>Eu2O3</v>
      </c>
      <c r="Z53" s="32" t="str">
        <f t="shared" si="64"/>
        <v>Ga2O3</v>
      </c>
      <c r="AA53" s="32" t="str">
        <f t="shared" si="64"/>
        <v>Gd2O3</v>
      </c>
      <c r="AB53" s="32" t="str">
        <f t="shared" si="64"/>
        <v>HfO2</v>
      </c>
      <c r="AC53" s="32" t="str">
        <f t="shared" si="64"/>
        <v>Ho2O3</v>
      </c>
      <c r="AD53" s="32" t="str">
        <f t="shared" si="64"/>
        <v>La2O3</v>
      </c>
      <c r="AE53" s="32" t="str">
        <f t="shared" si="64"/>
        <v>Lu2O3</v>
      </c>
      <c r="AF53" s="32" t="str">
        <f t="shared" si="64"/>
        <v>Nb2O5</v>
      </c>
      <c r="AG53" s="32" t="str">
        <f t="shared" si="64"/>
        <v>Nd2O3</v>
      </c>
      <c r="AH53" s="32" t="str">
        <f t="shared" si="64"/>
        <v>NiO2</v>
      </c>
      <c r="AI53" s="32" t="str">
        <f t="shared" si="64"/>
        <v>Pr2O3</v>
      </c>
      <c r="AJ53" s="32" t="str">
        <f t="shared" si="64"/>
        <v>Rb2O</v>
      </c>
      <c r="AK53" s="32" t="str">
        <f t="shared" si="64"/>
        <v>Sc2O3</v>
      </c>
      <c r="AL53" s="32" t="str">
        <f t="shared" si="64"/>
        <v>Sm2O3</v>
      </c>
      <c r="AM53" s="32" t="str">
        <f t="shared" si="64"/>
        <v>SnO2</v>
      </c>
      <c r="AN53" s="32" t="str">
        <f t="shared" si="64"/>
        <v>SrO</v>
      </c>
      <c r="AO53" s="32" t="str">
        <f t="shared" si="64"/>
        <v>Ta2O5</v>
      </c>
      <c r="AP53" s="32" t="str">
        <f t="shared" si="64"/>
        <v>Tb2O3</v>
      </c>
      <c r="AQ53" s="32" t="str">
        <f t="shared" si="64"/>
        <v>ThO2</v>
      </c>
      <c r="AR53" s="32" t="str">
        <f t="shared" si="64"/>
        <v>Tm2O3</v>
      </c>
      <c r="AS53" s="32" t="str">
        <f t="shared" si="64"/>
        <v>UO2</v>
      </c>
      <c r="AT53" s="32" t="str">
        <f t="shared" si="64"/>
        <v>V2O5</v>
      </c>
      <c r="AU53" s="32" t="str">
        <f t="shared" si="64"/>
        <v>Y2O3</v>
      </c>
      <c r="AV53" s="32" t="str">
        <f t="shared" si="64"/>
        <v>Yb2O3</v>
      </c>
      <c r="AW53" s="32" t="str">
        <f t="shared" si="64"/>
        <v>ZrO2</v>
      </c>
      <c r="AX53" s="175" t="s">
        <v>116</v>
      </c>
      <c r="AY53" s="33" t="s">
        <v>117</v>
      </c>
      <c r="BA53" s="34" t="s">
        <v>130</v>
      </c>
      <c r="BB53" s="34" t="s">
        <v>131</v>
      </c>
      <c r="BC53" s="34" t="s">
        <v>132</v>
      </c>
      <c r="BD53" s="34" t="s">
        <v>192</v>
      </c>
      <c r="BE53" s="34" t="s">
        <v>344</v>
      </c>
      <c r="BF53" s="34"/>
    </row>
    <row r="54" spans="1:58" x14ac:dyDescent="0.25">
      <c r="A54" s="35"/>
      <c r="B54" s="36" t="s">
        <v>133</v>
      </c>
      <c r="C54" s="37">
        <f t="shared" ref="C54:AW54" si="65">C39</f>
        <v>570942.83868728473</v>
      </c>
      <c r="D54" s="38">
        <f t="shared" si="65"/>
        <v>570.94283868728473</v>
      </c>
      <c r="E54" s="38">
        <f t="shared" si="65"/>
        <v>334223.59395821777</v>
      </c>
      <c r="F54" s="38">
        <f t="shared" si="65"/>
        <v>92042.329405709053</v>
      </c>
      <c r="G54" s="38">
        <f t="shared" si="65"/>
        <v>40898.538677965829</v>
      </c>
      <c r="H54" s="38">
        <f t="shared" si="65"/>
        <v>26409.278193946291</v>
      </c>
      <c r="I54" s="38">
        <f t="shared" si="65"/>
        <v>7879.0111738845299</v>
      </c>
      <c r="J54" s="38">
        <f t="shared" si="65"/>
        <v>40302.220602003559</v>
      </c>
      <c r="K54" s="38">
        <f t="shared" si="65"/>
        <v>16341.652805093843</v>
      </c>
      <c r="L54" s="38" t="e">
        <f t="shared" si="65"/>
        <v>#DIV/0!</v>
      </c>
      <c r="M54" s="38">
        <f t="shared" si="65"/>
        <v>4326.4779553858689</v>
      </c>
      <c r="N54" s="38">
        <f t="shared" si="65"/>
        <v>1471.7637619494451</v>
      </c>
      <c r="O54" s="38">
        <f t="shared" si="65"/>
        <v>2010.9875540429921</v>
      </c>
      <c r="P54" s="38">
        <f t="shared" si="65"/>
        <v>2835.6827654801805</v>
      </c>
      <c r="Q54" s="38">
        <f t="shared" si="65"/>
        <v>7265.1651051973213</v>
      </c>
      <c r="R54" s="38">
        <f t="shared" si="65"/>
        <v>0</v>
      </c>
      <c r="S54" s="38">
        <f t="shared" si="65"/>
        <v>484.42533916108232</v>
      </c>
      <c r="T54" s="38">
        <f t="shared" si="65"/>
        <v>124.53710223658622</v>
      </c>
      <c r="U54" s="38" t="e">
        <f t="shared" si="65"/>
        <v>#DIV/0!</v>
      </c>
      <c r="V54" s="38" t="e">
        <f t="shared" si="65"/>
        <v>#DIV/0!</v>
      </c>
      <c r="W54" s="38" t="e">
        <f t="shared" si="65"/>
        <v>#DIV/0!</v>
      </c>
      <c r="X54" s="38" t="e">
        <f t="shared" si="65"/>
        <v>#DIV/0!</v>
      </c>
      <c r="Y54" s="38" t="e">
        <f t="shared" si="65"/>
        <v>#DIV/0!</v>
      </c>
      <c r="Z54" s="38" t="e">
        <f t="shared" si="65"/>
        <v>#DIV/0!</v>
      </c>
      <c r="AA54" s="38" t="e">
        <f t="shared" si="65"/>
        <v>#DIV/0!</v>
      </c>
      <c r="AB54" s="38" t="e">
        <f t="shared" si="65"/>
        <v>#DIV/0!</v>
      </c>
      <c r="AC54" s="38" t="e">
        <f t="shared" si="65"/>
        <v>#DIV/0!</v>
      </c>
      <c r="AD54" s="38">
        <f t="shared" si="65"/>
        <v>52.731138695480247</v>
      </c>
      <c r="AE54" s="38" t="e">
        <f t="shared" si="65"/>
        <v>#DIV/0!</v>
      </c>
      <c r="AF54" s="38">
        <f t="shared" si="65"/>
        <v>46.671795302299259</v>
      </c>
      <c r="AG54" s="38">
        <f t="shared" si="65"/>
        <v>58.253777423248152</v>
      </c>
      <c r="AH54" s="38">
        <f t="shared" si="65"/>
        <v>4.9888033673097132</v>
      </c>
      <c r="AI54" s="38" t="e">
        <f t="shared" si="65"/>
        <v>#DIV/0!</v>
      </c>
      <c r="AJ54" s="38" t="e">
        <f t="shared" si="65"/>
        <v>#DIV/0!</v>
      </c>
      <c r="AK54" s="38">
        <f t="shared" si="65"/>
        <v>11.165329606226607</v>
      </c>
      <c r="AL54" s="38">
        <f t="shared" si="65"/>
        <v>5.8923813101018006</v>
      </c>
      <c r="AM54" s="38" t="e">
        <f t="shared" si="65"/>
        <v>#DIV/0!</v>
      </c>
      <c r="AN54" s="38">
        <f t="shared" si="65"/>
        <v>482.54079007057129</v>
      </c>
      <c r="AO54" s="38" t="e">
        <f t="shared" si="65"/>
        <v>#DIV/0!</v>
      </c>
      <c r="AP54" s="38" t="e">
        <f t="shared" si="65"/>
        <v>#DIV/0!</v>
      </c>
      <c r="AQ54" s="38">
        <f t="shared" si="65"/>
        <v>14.325352627936864</v>
      </c>
      <c r="AR54" s="38" t="e">
        <f t="shared" si="65"/>
        <v>#DIV/0!</v>
      </c>
      <c r="AS54" s="38">
        <f t="shared" si="65"/>
        <v>2.3964069579653664</v>
      </c>
      <c r="AT54" s="38" t="e">
        <f t="shared" si="65"/>
        <v>#DIV/0!</v>
      </c>
      <c r="AU54" s="38">
        <f t="shared" si="65"/>
        <v>39.055504744398547</v>
      </c>
      <c r="AV54" s="38" t="e">
        <f t="shared" si="65"/>
        <v>#DIV/0!</v>
      </c>
      <c r="AW54" s="38">
        <f t="shared" si="65"/>
        <v>248.48160355228055</v>
      </c>
      <c r="AX54" s="37">
        <f>SUMIF(E54:AW54, "&lt;&gt;#DIV/0!")</f>
        <v>577582.1672839321</v>
      </c>
      <c r="AY54" s="35">
        <f>ABS((AX54/C54*100)-100)</f>
        <v>1.1628709823057903</v>
      </c>
      <c r="BA54" s="8">
        <f t="shared" ref="BA54:BA55" si="66">SUM(M54,T54,AD54, AF54,AG54, AL54, AQ54, AS54, AU54, AW54)</f>
        <v>4918.8230182361658</v>
      </c>
      <c r="BB54" s="8">
        <f t="shared" ref="BB54:BB55" si="67">SUM(T54,AD54, AF54,AG54, AL54, AQ54, AS54, AU54, AW54)</f>
        <v>592.34506285029704</v>
      </c>
      <c r="BC54" s="8" t="e">
        <f>SUM(T54,AD54,AG54, AL54,AI54,AA54,Y54)</f>
        <v>#DIV/0!</v>
      </c>
      <c r="BD54" s="8" t="e">
        <f>SUM(W54,AC54,AE54,AP54,AR54,AV54,AU54)</f>
        <v>#DIV/0!</v>
      </c>
      <c r="BE54" s="8" t="e">
        <f>SUM(BC54:BD54)</f>
        <v>#DIV/0!</v>
      </c>
      <c r="BF54" s="8"/>
    </row>
    <row r="55" spans="1:58" x14ac:dyDescent="0.25">
      <c r="A55" s="35"/>
      <c r="B55" s="36" t="s">
        <v>134</v>
      </c>
      <c r="C55" s="37">
        <f t="shared" ref="C55:AW55" si="68">C23</f>
        <v>144800.22299209086</v>
      </c>
      <c r="D55" s="38">
        <f t="shared" si="68"/>
        <v>144.80022299209085</v>
      </c>
      <c r="E55" s="38">
        <f t="shared" si="68"/>
        <v>134142.92657987296</v>
      </c>
      <c r="F55" s="38">
        <f t="shared" si="68"/>
        <v>3829.9658981408033</v>
      </c>
      <c r="G55" s="38">
        <f t="shared" si="68"/>
        <v>1334.2306261414085</v>
      </c>
      <c r="H55" s="38">
        <f t="shared" si="68"/>
        <v>635.05240655102716</v>
      </c>
      <c r="I55" s="38">
        <f t="shared" si="68"/>
        <v>445.5391476679718</v>
      </c>
      <c r="J55" s="38">
        <f t="shared" si="68"/>
        <v>925.68713984229498</v>
      </c>
      <c r="K55" s="38">
        <f t="shared" si="68"/>
        <v>2718.1070430229624</v>
      </c>
      <c r="L55" s="38" t="e">
        <f t="shared" si="68"/>
        <v>#DIV/0!</v>
      </c>
      <c r="M55" s="38">
        <f t="shared" si="68"/>
        <v>136.52592453539998</v>
      </c>
      <c r="N55" s="38">
        <f t="shared" si="68"/>
        <v>135.88944003873141</v>
      </c>
      <c r="O55" s="38">
        <f t="shared" si="68"/>
        <v>51.714365354318161</v>
      </c>
      <c r="P55" s="38">
        <f t="shared" si="68"/>
        <v>453.01784050382707</v>
      </c>
      <c r="Q55" s="38">
        <f t="shared" si="68"/>
        <v>615.26784694398066</v>
      </c>
      <c r="R55" s="38">
        <f t="shared" si="68"/>
        <v>0</v>
      </c>
      <c r="S55" s="38">
        <f t="shared" si="68"/>
        <v>43.833206743061936</v>
      </c>
      <c r="T55" s="38">
        <f t="shared" si="68"/>
        <v>14.234663492785526</v>
      </c>
      <c r="U55" s="38">
        <f t="shared" si="68"/>
        <v>2.1162552590294079</v>
      </c>
      <c r="V55" s="38">
        <f t="shared" si="68"/>
        <v>1.9061718555013329E-2</v>
      </c>
      <c r="W55" s="38">
        <f t="shared" si="68"/>
        <v>0.7290505326442408</v>
      </c>
      <c r="X55" s="38">
        <f t="shared" si="68"/>
        <v>0.38248761703026296</v>
      </c>
      <c r="Y55" s="38">
        <f t="shared" si="68"/>
        <v>0.19062127337181312</v>
      </c>
      <c r="Z55" s="38">
        <f t="shared" si="68"/>
        <v>0.66477203174776933</v>
      </c>
      <c r="AA55" s="38">
        <f t="shared" si="68"/>
        <v>0.92242542730277999</v>
      </c>
      <c r="AB55" s="38">
        <f t="shared" si="68"/>
        <v>0.49915310100259719</v>
      </c>
      <c r="AC55" s="38">
        <f t="shared" si="68"/>
        <v>0.12708090831976179</v>
      </c>
      <c r="AD55" s="38">
        <f t="shared" si="68"/>
        <v>7.6492546415530915</v>
      </c>
      <c r="AE55" s="38">
        <f t="shared" si="68"/>
        <v>4.4962752627176E-2</v>
      </c>
      <c r="AF55" s="38">
        <f t="shared" si="68"/>
        <v>7.8741544176126403</v>
      </c>
      <c r="AG55" s="38">
        <f t="shared" si="68"/>
        <v>6.6146512562656854</v>
      </c>
      <c r="AH55" s="38">
        <f t="shared" si="68"/>
        <v>0.66332982152676823</v>
      </c>
      <c r="AI55" s="38">
        <f t="shared" si="68"/>
        <v>1.7661611449312367</v>
      </c>
      <c r="AJ55" s="38">
        <f t="shared" si="68"/>
        <v>4.7030996587652707</v>
      </c>
      <c r="AK55" s="38" t="e">
        <f t="shared" si="68"/>
        <v>#DIV/0!</v>
      </c>
      <c r="AL55" s="38">
        <f t="shared" si="68"/>
        <v>1.1587104980121461</v>
      </c>
      <c r="AM55" s="38">
        <f t="shared" si="68"/>
        <v>0.24040401329868424</v>
      </c>
      <c r="AN55" s="38">
        <f t="shared" si="68"/>
        <v>17.739317900232912</v>
      </c>
      <c r="AO55" s="38">
        <f t="shared" si="68"/>
        <v>0.27202392660868019</v>
      </c>
      <c r="AP55" s="38">
        <f t="shared" si="68"/>
        <v>0.12140908358516159</v>
      </c>
      <c r="AQ55" s="38">
        <f t="shared" si="68"/>
        <v>0.70685546535618371</v>
      </c>
      <c r="AR55" s="38">
        <f t="shared" si="68"/>
        <v>5.0376175794607465E-2</v>
      </c>
      <c r="AS55" s="38">
        <f t="shared" si="68"/>
        <v>0.24744802541238473</v>
      </c>
      <c r="AT55" s="38">
        <f t="shared" si="68"/>
        <v>2.2295397134872701</v>
      </c>
      <c r="AU55" s="38">
        <f t="shared" si="68"/>
        <v>3.8010995599724069</v>
      </c>
      <c r="AV55" s="38">
        <f t="shared" si="68"/>
        <v>0.3473979339460585</v>
      </c>
      <c r="AW55" s="38">
        <f t="shared" si="68"/>
        <v>22.092584150541057</v>
      </c>
      <c r="AX55" s="37">
        <f>SUMIF(E55:AW55, "&lt;&gt;#DIV/0!")</f>
        <v>145565.96581686006</v>
      </c>
      <c r="AY55" s="35">
        <f>ABS((AX55/C55*100)-100)</f>
        <v>0.52882710326420579</v>
      </c>
      <c r="AZ55" s="8">
        <f>SUM(AE55,U55,Z55,Y55,X55,AB55,AD55,AF55,AH55,AJ55,AM55,AQ55,AS55,AW55)</f>
        <v>48.075382228875114</v>
      </c>
      <c r="BA55" s="8">
        <f t="shared" si="66"/>
        <v>200.90534604291108</v>
      </c>
      <c r="BB55" s="8">
        <f t="shared" si="67"/>
        <v>64.379421507511125</v>
      </c>
      <c r="BC55" s="8">
        <f>SUM(T55,AD55,AG55, AL55,AI55,AA55,Y55)</f>
        <v>32.53648773422227</v>
      </c>
      <c r="BD55" s="8">
        <f>SUM(W55,AC55,AE55,AP55,AR55,AV55,AU55,X55)</f>
        <v>5.603864563919676</v>
      </c>
      <c r="BE55" s="8">
        <f>SUM(BC55:BD55)</f>
        <v>38.140352298141948</v>
      </c>
      <c r="BF55" s="8"/>
    </row>
    <row r="56" spans="1:58" x14ac:dyDescent="0.25">
      <c r="A56" s="35"/>
      <c r="B56" s="36" t="s">
        <v>135</v>
      </c>
      <c r="C56" s="37">
        <f t="shared" ref="C56:AH56" si="69">C33</f>
        <v>144800.22299209086</v>
      </c>
      <c r="D56" s="38">
        <f t="shared" si="69"/>
        <v>144.80022299209085</v>
      </c>
      <c r="E56" s="38">
        <f t="shared" si="69"/>
        <v>142672.62504892703</v>
      </c>
      <c r="F56" s="38">
        <f t="shared" si="69"/>
        <v>844.66796745386341</v>
      </c>
      <c r="G56" s="38">
        <f t="shared" si="69"/>
        <v>256.7790621059745</v>
      </c>
      <c r="H56" s="38">
        <f t="shared" si="69"/>
        <v>86.880133795254537</v>
      </c>
      <c r="I56" s="38">
        <f t="shared" si="69"/>
        <v>22.276957383398599</v>
      </c>
      <c r="J56" s="38">
        <f t="shared" si="69"/>
        <v>185.34428542987635</v>
      </c>
      <c r="K56" s="38">
        <f t="shared" si="69"/>
        <v>497.14743227284532</v>
      </c>
      <c r="L56" s="38" t="e">
        <f t="shared" si="69"/>
        <v>#DIV/0!</v>
      </c>
      <c r="M56" s="38">
        <f t="shared" si="69"/>
        <v>35.717388338049084</v>
      </c>
      <c r="N56" s="38">
        <f t="shared" si="69"/>
        <v>14.480022299209086</v>
      </c>
      <c r="O56" s="38">
        <f t="shared" si="69"/>
        <v>55.506752146968175</v>
      </c>
      <c r="P56" s="38">
        <f t="shared" si="69"/>
        <v>397.71794581827623</v>
      </c>
      <c r="Q56" s="38">
        <f t="shared" si="69"/>
        <v>425.40360664731247</v>
      </c>
      <c r="R56" s="38">
        <f t="shared" si="69"/>
        <v>0</v>
      </c>
      <c r="S56" s="38">
        <f t="shared" si="69"/>
        <v>3.9339565916196233</v>
      </c>
      <c r="T56" s="38">
        <f t="shared" si="69"/>
        <v>1.0662469641517982</v>
      </c>
      <c r="U56" s="38">
        <f t="shared" si="69"/>
        <v>2.1162552590294079</v>
      </c>
      <c r="V56" s="38">
        <f t="shared" si="69"/>
        <v>3.628588278928712E-3</v>
      </c>
      <c r="W56" s="38">
        <f t="shared" si="69"/>
        <v>0.13793538922025883</v>
      </c>
      <c r="X56" s="38">
        <f t="shared" si="69"/>
        <v>9.0516550061995896E-2</v>
      </c>
      <c r="Y56" s="38">
        <f t="shared" si="69"/>
        <v>2.8055805819225364E-2</v>
      </c>
      <c r="Z56" s="38">
        <f t="shared" si="69"/>
        <v>0.11122311985483915</v>
      </c>
      <c r="AA56" s="38">
        <f t="shared" si="69"/>
        <v>0.15799557771291414</v>
      </c>
      <c r="AB56" s="38">
        <f t="shared" si="69"/>
        <v>0.26752854799349729</v>
      </c>
      <c r="AC56" s="38">
        <f t="shared" si="69"/>
        <v>2.764477590624001E-2</v>
      </c>
      <c r="AD56" s="38">
        <f t="shared" si="69"/>
        <v>0.5649401937402464</v>
      </c>
      <c r="AE56" s="38">
        <f t="shared" si="69"/>
        <v>1.2294040906134888E-2</v>
      </c>
      <c r="AF56" s="38">
        <f t="shared" si="69"/>
        <v>0.68493208412754814</v>
      </c>
      <c r="AG56" s="38">
        <f t="shared" si="69"/>
        <v>0.64180092437230407</v>
      </c>
      <c r="AH56" s="38" t="e">
        <f t="shared" si="69"/>
        <v>#DIV/0!</v>
      </c>
      <c r="AI56" s="38">
        <f t="shared" ref="AI56:AY56" si="70">AI33</f>
        <v>0.14765588610980707</v>
      </c>
      <c r="AJ56" s="38">
        <f t="shared" si="70"/>
        <v>0.76326398502520543</v>
      </c>
      <c r="AK56" s="38" t="e">
        <f t="shared" si="70"/>
        <v>#DIV/0!</v>
      </c>
      <c r="AL56" s="38">
        <f t="shared" si="70"/>
        <v>0.13645513515400348</v>
      </c>
      <c r="AM56" s="38">
        <f t="shared" si="70"/>
        <v>0.18383836311075857</v>
      </c>
      <c r="AN56" s="38">
        <f t="shared" si="70"/>
        <v>1.2169508853022406</v>
      </c>
      <c r="AO56" s="38">
        <f t="shared" si="70"/>
        <v>0.13320104939605043</v>
      </c>
      <c r="AP56" s="38">
        <f t="shared" si="70"/>
        <v>2.1888677441858427E-2</v>
      </c>
      <c r="AQ56" s="38">
        <f t="shared" si="70"/>
        <v>0.24967870594477171</v>
      </c>
      <c r="AR56" s="38">
        <f t="shared" si="70"/>
        <v>1.2789103215196645E-2</v>
      </c>
      <c r="AS56" s="38">
        <f t="shared" si="70"/>
        <v>4.1722388732405885E-2</v>
      </c>
      <c r="AT56" s="38">
        <f t="shared" si="70"/>
        <v>1.4217354694701432</v>
      </c>
      <c r="AU56" s="38">
        <f t="shared" si="70"/>
        <v>0.93657131751819556</v>
      </c>
      <c r="AV56" s="38">
        <f t="shared" si="70"/>
        <v>9.3544197231233917E-2</v>
      </c>
      <c r="AW56" s="38">
        <f t="shared" si="70"/>
        <v>12.596391494420935</v>
      </c>
      <c r="AX56" s="37">
        <f t="shared" si="70"/>
        <v>145522.34724368891</v>
      </c>
      <c r="AY56" s="38">
        <f t="shared" si="70"/>
        <v>0.49870382564085958</v>
      </c>
      <c r="BA56" s="8">
        <f>SUM(M56,T56,AD56, AF56,AG56, AL56, AQ56, AS56, AU56, AW56)</f>
        <v>52.636127546211291</v>
      </c>
      <c r="BB56" s="8">
        <f>SUM(T56,AD56, AF56,AG56, AL56, AQ56, AS56, AU56, AW56)</f>
        <v>16.918739208162208</v>
      </c>
      <c r="BC56" s="8">
        <f>SUM(T56,AD56,AG56, AL56,AI56,AA56,Y56)</f>
        <v>2.7431504870602983</v>
      </c>
      <c r="BD56" s="8">
        <f>SUM(W56,AC56,AE56,AP56,AR56,AV56,AU56,X56)</f>
        <v>1.3331840515011142</v>
      </c>
      <c r="BE56" s="8">
        <f>SUM(BC56:BD56)</f>
        <v>4.0763345385614125</v>
      </c>
      <c r="BF56" s="8"/>
    </row>
    <row r="57" spans="1:58" x14ac:dyDescent="0.25">
      <c r="B57" s="39" t="s">
        <v>136</v>
      </c>
      <c r="C57" s="40">
        <f>SUM((M54,T54,AD54, AF54:AG54, AL54, AQ54, AS54, AU54, AW54))</f>
        <v>4918.8230182361658</v>
      </c>
      <c r="D57" s="8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</row>
    <row r="58" spans="1:58" x14ac:dyDescent="0.25">
      <c r="B58" s="39" t="s">
        <v>137</v>
      </c>
      <c r="C58" s="40">
        <f>SUM((T54,AD54, AF54:AG54, AL54, AQ54, AS54, AU54, AW54))</f>
        <v>592.34506285029704</v>
      </c>
      <c r="D58" s="8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</row>
    <row r="59" spans="1:58" x14ac:dyDescent="0.25">
      <c r="B59" s="39" t="s">
        <v>138</v>
      </c>
      <c r="C59" s="40">
        <f>SUM(T54,AD54,AG54)</f>
        <v>235.52201835531463</v>
      </c>
      <c r="D59" s="8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</row>
    <row r="60" spans="1:58" x14ac:dyDescent="0.25">
      <c r="B60" s="88" t="s">
        <v>139</v>
      </c>
      <c r="C60" s="90">
        <f>SUM((M55,T55,AD55, AF55:AG55, AL55, AQ55, AS55, AU55, AW55))</f>
        <v>200.90534604291108</v>
      </c>
      <c r="D60" s="8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</row>
    <row r="61" spans="1:58" x14ac:dyDescent="0.25">
      <c r="B61" s="88" t="s">
        <v>140</v>
      </c>
      <c r="C61" s="90">
        <f>SUM((T55,AD55, AF55:AG55, AL55, AQ55, AS55, AU55, AW55))</f>
        <v>64.379421507511125</v>
      </c>
      <c r="D61" s="8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</row>
    <row r="62" spans="1:58" x14ac:dyDescent="0.25">
      <c r="B62" s="88" t="s">
        <v>141</v>
      </c>
      <c r="C62" s="90">
        <f>SUM(T55,AD55,AG55, AL55,)</f>
        <v>29.657279888616447</v>
      </c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</row>
    <row r="63" spans="1:58" x14ac:dyDescent="0.25">
      <c r="B63" s="88" t="s">
        <v>347</v>
      </c>
      <c r="C63" s="90">
        <f>SUM(W55,X55,AC55,AE55,AP55,AR55,AU55,AV55)</f>
        <v>5.603864563919676</v>
      </c>
      <c r="D63" s="42" t="s">
        <v>142</v>
      </c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</row>
    <row r="64" spans="1:58" x14ac:dyDescent="0.25">
      <c r="B64" s="88" t="s">
        <v>471</v>
      </c>
      <c r="C64" s="90">
        <f>BE55</f>
        <v>38.140352298141948</v>
      </c>
      <c r="D64" s="42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</row>
    <row r="65" spans="2:55" x14ac:dyDescent="0.25">
      <c r="B65" s="91" t="s">
        <v>143</v>
      </c>
      <c r="C65" s="92">
        <f>SUM((M56,T56,AD56, AF56:AG56, AL56, AQ56, AS56, AU56, AW56))</f>
        <v>52.636127546211291</v>
      </c>
      <c r="D65" s="8">
        <f>ABS(C60-C65)</f>
        <v>148.26921849669978</v>
      </c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</row>
    <row r="66" spans="2:55" x14ac:dyDescent="0.25">
      <c r="B66" s="91" t="s">
        <v>144</v>
      </c>
      <c r="C66" s="92">
        <f>SUM((T56,AD56, AF56:AG56, AL56, AQ56, AS56, AU56, AW56))</f>
        <v>16.918739208162208</v>
      </c>
      <c r="D66" s="8">
        <f>ABS(C61-C66)</f>
        <v>47.460682299348917</v>
      </c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</row>
    <row r="67" spans="2:55" x14ac:dyDescent="0.25">
      <c r="B67" s="91" t="s">
        <v>145</v>
      </c>
      <c r="C67" s="92">
        <f>SUM(T56,AD56,AG56, AL56)</f>
        <v>2.4094432174183518</v>
      </c>
      <c r="D67" s="8">
        <f>ABS(C62-C67)</f>
        <v>27.247836671198094</v>
      </c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</row>
    <row r="68" spans="2:55" x14ac:dyDescent="0.25">
      <c r="B68" s="91" t="s">
        <v>348</v>
      </c>
      <c r="C68" s="92">
        <f>SUM(W56,X56,AC56,AE56,AP56,AR56,AU56,AV56)</f>
        <v>1.3331840515011142</v>
      </c>
      <c r="D68" s="8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</row>
    <row r="69" spans="2:55" x14ac:dyDescent="0.25">
      <c r="B69" s="91" t="s">
        <v>472</v>
      </c>
      <c r="C69" s="92">
        <f>BE56</f>
        <v>4.0763345385614125</v>
      </c>
      <c r="D69" s="8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</row>
    <row r="70" spans="2:55" ht="45" x14ac:dyDescent="0.25">
      <c r="B70" s="43" t="s">
        <v>146</v>
      </c>
      <c r="C70" s="44">
        <f>(D65/(C57+D65))</f>
        <v>2.9261203777158802E-2</v>
      </c>
      <c r="E70" s="45">
        <f t="shared" ref="E70:AW70" si="71">(E55/(E54+E55))</f>
        <v>0.28640588235418835</v>
      </c>
      <c r="F70" s="45">
        <f t="shared" si="71"/>
        <v>3.9948620047141052E-2</v>
      </c>
      <c r="G70" s="45">
        <f t="shared" si="71"/>
        <v>3.1592307303694896E-2</v>
      </c>
      <c r="H70" s="45">
        <f t="shared" si="71"/>
        <v>2.3481905170148643E-2</v>
      </c>
      <c r="I70" s="45">
        <f t="shared" si="71"/>
        <v>5.3521106901649455E-2</v>
      </c>
      <c r="J70" s="45">
        <f t="shared" si="71"/>
        <v>2.2452925470742069E-2</v>
      </c>
      <c r="K70" s="45">
        <f t="shared" si="71"/>
        <v>0.14260972145939835</v>
      </c>
      <c r="L70" s="45" t="e">
        <f t="shared" si="71"/>
        <v>#DIV/0!</v>
      </c>
      <c r="M70" s="45">
        <f t="shared" si="71"/>
        <v>3.0590590599667688E-2</v>
      </c>
      <c r="N70" s="45">
        <f t="shared" si="71"/>
        <v>8.4526588116564952E-2</v>
      </c>
      <c r="O70" s="45">
        <f t="shared" si="71"/>
        <v>2.5071177210824677E-2</v>
      </c>
      <c r="P70" s="45">
        <f t="shared" si="71"/>
        <v>0.13774979688924288</v>
      </c>
      <c r="Q70" s="45">
        <f t="shared" si="71"/>
        <v>7.8075386299276572E-2</v>
      </c>
      <c r="R70" s="45" t="e">
        <f t="shared" si="71"/>
        <v>#DIV/0!</v>
      </c>
      <c r="S70" s="45">
        <f t="shared" si="71"/>
        <v>8.2976805738256318E-2</v>
      </c>
      <c r="T70" s="45">
        <f t="shared" si="71"/>
        <v>0.10257607819551356</v>
      </c>
      <c r="U70" s="45" t="e">
        <f t="shared" si="71"/>
        <v>#DIV/0!</v>
      </c>
      <c r="V70" s="45" t="e">
        <f t="shared" si="71"/>
        <v>#DIV/0!</v>
      </c>
      <c r="W70" s="45" t="e">
        <f t="shared" si="71"/>
        <v>#DIV/0!</v>
      </c>
      <c r="X70" s="45" t="e">
        <f t="shared" si="71"/>
        <v>#DIV/0!</v>
      </c>
      <c r="Y70" s="45" t="e">
        <f t="shared" si="71"/>
        <v>#DIV/0!</v>
      </c>
      <c r="Z70" s="45" t="e">
        <f t="shared" si="71"/>
        <v>#DIV/0!</v>
      </c>
      <c r="AA70" s="45" t="e">
        <f t="shared" si="71"/>
        <v>#DIV/0!</v>
      </c>
      <c r="AB70" s="45" t="e">
        <f t="shared" si="71"/>
        <v>#DIV/0!</v>
      </c>
      <c r="AC70" s="45" t="e">
        <f t="shared" si="71"/>
        <v>#DIV/0!</v>
      </c>
      <c r="AD70" s="45">
        <f t="shared" si="71"/>
        <v>0.12668441225376292</v>
      </c>
      <c r="AE70" s="45" t="e">
        <f t="shared" si="71"/>
        <v>#DIV/0!</v>
      </c>
      <c r="AF70" s="45">
        <f t="shared" si="71"/>
        <v>0.14435818714397036</v>
      </c>
      <c r="AG70" s="45">
        <f t="shared" si="71"/>
        <v>0.10197027106893164</v>
      </c>
      <c r="AH70" s="45">
        <f t="shared" si="71"/>
        <v>0.11735919861848086</v>
      </c>
      <c r="AI70" s="45" t="e">
        <f t="shared" si="71"/>
        <v>#DIV/0!</v>
      </c>
      <c r="AJ70" s="45" t="e">
        <f t="shared" si="71"/>
        <v>#DIV/0!</v>
      </c>
      <c r="AK70" s="45" t="e">
        <f t="shared" si="71"/>
        <v>#DIV/0!</v>
      </c>
      <c r="AL70" s="45">
        <f t="shared" si="71"/>
        <v>0.16433064971282546</v>
      </c>
      <c r="AM70" s="45" t="e">
        <f t="shared" si="71"/>
        <v>#DIV/0!</v>
      </c>
      <c r="AN70" s="45">
        <f t="shared" si="71"/>
        <v>3.5458771231552062E-2</v>
      </c>
      <c r="AO70" s="45" t="e">
        <f t="shared" si="71"/>
        <v>#DIV/0!</v>
      </c>
      <c r="AP70" s="45" t="e">
        <f t="shared" si="71"/>
        <v>#DIV/0!</v>
      </c>
      <c r="AQ70" s="45">
        <f t="shared" si="71"/>
        <v>4.7022730191685076E-2</v>
      </c>
      <c r="AR70" s="45" t="e">
        <f t="shared" si="71"/>
        <v>#DIV/0!</v>
      </c>
      <c r="AS70" s="45">
        <f t="shared" si="71"/>
        <v>9.3593645252149457E-2</v>
      </c>
      <c r="AT70" s="45" t="e">
        <f t="shared" si="71"/>
        <v>#DIV/0!</v>
      </c>
      <c r="AU70" s="45">
        <f t="shared" si="71"/>
        <v>8.8693437608278539E-2</v>
      </c>
      <c r="AV70" s="45" t="e">
        <f t="shared" si="71"/>
        <v>#DIV/0!</v>
      </c>
      <c r="AW70" s="45">
        <f t="shared" si="71"/>
        <v>8.165074554268234E-2</v>
      </c>
      <c r="AX70" s="176"/>
      <c r="AY70" s="46"/>
    </row>
    <row r="71" spans="2:55" hidden="1" x14ac:dyDescent="0.25">
      <c r="B71" s="1"/>
      <c r="C71" s="10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175" t="s">
        <v>116</v>
      </c>
      <c r="AY71" s="33" t="s">
        <v>117</v>
      </c>
      <c r="BA71" s="13" t="s">
        <v>130</v>
      </c>
      <c r="BB71" s="13" t="s">
        <v>131</v>
      </c>
      <c r="BC71" s="13" t="s">
        <v>132</v>
      </c>
    </row>
    <row r="72" spans="2:55" s="35" customFormat="1" hidden="1" x14ac:dyDescent="0.25">
      <c r="B72" s="47" t="s">
        <v>147</v>
      </c>
      <c r="C72" s="37">
        <f t="shared" ref="C72:AW72" si="72">C43</f>
        <v>316597.14125816501</v>
      </c>
      <c r="D72" s="38">
        <f t="shared" si="72"/>
        <v>316.59714125816498</v>
      </c>
      <c r="E72" s="48">
        <f t="shared" si="72"/>
        <v>185332.44874651585</v>
      </c>
      <c r="F72" s="48">
        <f t="shared" si="72"/>
        <v>51038.976916830179</v>
      </c>
      <c r="G72" s="48">
        <f t="shared" si="72"/>
        <v>22678.908552126552</v>
      </c>
      <c r="H72" s="48">
        <f t="shared" si="72"/>
        <v>14644.376656197119</v>
      </c>
      <c r="I72" s="48">
        <f t="shared" si="72"/>
        <v>4369.0405493626777</v>
      </c>
      <c r="J72" s="48">
        <f t="shared" si="72"/>
        <v>22348.240426812474</v>
      </c>
      <c r="K72" s="48">
        <f t="shared" si="72"/>
        <v>9061.7137320114816</v>
      </c>
      <c r="L72" s="48" t="e">
        <f t="shared" si="72"/>
        <v>#DIV/0!</v>
      </c>
      <c r="M72" s="48">
        <f t="shared" si="72"/>
        <v>2399.1027815340949</v>
      </c>
      <c r="N72" s="48">
        <f t="shared" si="72"/>
        <v>816.11707524326982</v>
      </c>
      <c r="O72" s="48">
        <f t="shared" si="72"/>
        <v>1115.125486431537</v>
      </c>
      <c r="P72" s="48">
        <f t="shared" si="72"/>
        <v>1572.4324682488859</v>
      </c>
      <c r="Q72" s="48">
        <f t="shared" si="72"/>
        <v>4028.6528654296139</v>
      </c>
      <c r="R72" s="48">
        <f t="shared" si="72"/>
        <v>0</v>
      </c>
      <c r="S72" s="48">
        <f t="shared" si="72"/>
        <v>268.62177286265569</v>
      </c>
      <c r="T72" s="48">
        <f t="shared" si="72"/>
        <v>69.05785987145812</v>
      </c>
      <c r="U72" s="48" t="e">
        <f t="shared" si="72"/>
        <v>#DIV/0!</v>
      </c>
      <c r="V72" s="48" t="e">
        <f t="shared" si="72"/>
        <v>#DIV/0!</v>
      </c>
      <c r="W72" s="48" t="e">
        <f t="shared" si="72"/>
        <v>#DIV/0!</v>
      </c>
      <c r="X72" s="48" t="e">
        <f t="shared" si="72"/>
        <v>#DIV/0!</v>
      </c>
      <c r="Y72" s="48" t="e">
        <f t="shared" si="72"/>
        <v>#DIV/0!</v>
      </c>
      <c r="Z72" s="48" t="e">
        <f t="shared" si="72"/>
        <v>#DIV/0!</v>
      </c>
      <c r="AA72" s="48" t="e">
        <f t="shared" si="72"/>
        <v>#DIV/0!</v>
      </c>
      <c r="AB72" s="48" t="e">
        <f t="shared" si="72"/>
        <v>#DIV/0!</v>
      </c>
      <c r="AC72" s="48" t="e">
        <f t="shared" si="72"/>
        <v>#DIV/0!</v>
      </c>
      <c r="AD72" s="48">
        <f t="shared" si="72"/>
        <v>29.240278772321609</v>
      </c>
      <c r="AE72" s="48" t="e">
        <f t="shared" si="72"/>
        <v>#DIV/0!</v>
      </c>
      <c r="AF72" s="48">
        <f t="shared" si="72"/>
        <v>25.880273766227859</v>
      </c>
      <c r="AG72" s="48">
        <f t="shared" si="72"/>
        <v>32.302672264169232</v>
      </c>
      <c r="AH72" s="48">
        <f t="shared" si="72"/>
        <v>2.7663730541236364</v>
      </c>
      <c r="AI72" s="48" t="e">
        <f t="shared" si="72"/>
        <v>#DIV/0!</v>
      </c>
      <c r="AJ72" s="48" t="e">
        <f t="shared" si="72"/>
        <v>#DIV/0!</v>
      </c>
      <c r="AK72" s="48">
        <f t="shared" si="72"/>
        <v>6.1913578645876122</v>
      </c>
      <c r="AL72" s="48">
        <f t="shared" si="72"/>
        <v>3.2674218005264164</v>
      </c>
      <c r="AM72" s="48" t="e">
        <f t="shared" si="72"/>
        <v>#DIV/0!</v>
      </c>
      <c r="AN72" s="48">
        <f t="shared" si="72"/>
        <v>267.57675957202878</v>
      </c>
      <c r="AO72" s="48" t="e">
        <f t="shared" si="72"/>
        <v>#DIV/0!</v>
      </c>
      <c r="AP72" s="48" t="e">
        <f t="shared" si="72"/>
        <v>#DIV/0!</v>
      </c>
      <c r="AQ72" s="48">
        <f t="shared" si="72"/>
        <v>7.943642309180535</v>
      </c>
      <c r="AR72" s="48" t="e">
        <f t="shared" si="72"/>
        <v>#DIV/0!</v>
      </c>
      <c r="AS72" s="48">
        <f t="shared" si="72"/>
        <v>1.3288468490600709</v>
      </c>
      <c r="AT72" s="48" t="e">
        <f t="shared" si="72"/>
        <v>#DIV/0!</v>
      </c>
      <c r="AU72" s="48">
        <f t="shared" si="72"/>
        <v>21.65691609496433</v>
      </c>
      <c r="AV72" s="48" t="e">
        <f t="shared" si="72"/>
        <v>#DIV/0!</v>
      </c>
      <c r="AW72" s="48">
        <f t="shared" si="72"/>
        <v>137.78711284087908</v>
      </c>
      <c r="AX72" s="37">
        <f>SUMIF(E72:AW72, "&lt;&gt;#DIV/0!")</f>
        <v>320278.75754466589</v>
      </c>
      <c r="AY72" s="35">
        <f>ABS((AX72/C72*100)-100)</f>
        <v>1.1628709823057903</v>
      </c>
      <c r="BA72" s="35">
        <f t="shared" ref="BA72:BA73" si="73">SUM(M72,T72,AD72, AF72,AG72, AL72, AQ72, AS72, AU72, AW72)</f>
        <v>2727.5678061028825</v>
      </c>
      <c r="BB72" s="35">
        <f t="shared" ref="BB72:BB73" si="74">SUM(T72,AD72, AF72,AG72, AL72, AQ72, AS72, AU72, AW72)</f>
        <v>328.46502456878727</v>
      </c>
      <c r="BC72" s="35">
        <f t="shared" ref="BC72:BC73" si="75">SUM(T72,AD72,AG72, AL72)</f>
        <v>133.8682327084754</v>
      </c>
    </row>
    <row r="73" spans="2:55" s="35" customFormat="1" hidden="1" x14ac:dyDescent="0.25">
      <c r="B73" s="36" t="s">
        <v>134</v>
      </c>
      <c r="C73" s="37">
        <f t="shared" ref="C73:AW73" si="76">C31</f>
        <v>108020.52180103144</v>
      </c>
      <c r="D73" s="38">
        <f t="shared" si="76"/>
        <v>108.02052180103144</v>
      </c>
      <c r="E73" s="48">
        <f t="shared" si="76"/>
        <v>100070.21139647553</v>
      </c>
      <c r="F73" s="48">
        <f t="shared" si="76"/>
        <v>2857.142801637282</v>
      </c>
      <c r="G73" s="48">
        <f t="shared" si="76"/>
        <v>995.33195088093248</v>
      </c>
      <c r="H73" s="48">
        <f t="shared" si="76"/>
        <v>473.74714561309509</v>
      </c>
      <c r="I73" s="48">
        <f t="shared" si="76"/>
        <v>332.37083631086591</v>
      </c>
      <c r="J73" s="48">
        <f t="shared" si="76"/>
        <v>690.55976437087952</v>
      </c>
      <c r="K73" s="48">
        <f t="shared" si="76"/>
        <v>2027.6995092365044</v>
      </c>
      <c r="L73" s="48" t="e">
        <f t="shared" si="76"/>
        <v>#DIV/0!</v>
      </c>
      <c r="M73" s="48">
        <f t="shared" si="76"/>
        <v>101.84792055525824</v>
      </c>
      <c r="N73" s="48">
        <f t="shared" si="76"/>
        <v>101.37310507481412</v>
      </c>
      <c r="O73" s="48">
        <f t="shared" si="76"/>
        <v>38.578757786082654</v>
      </c>
      <c r="P73" s="48">
        <f t="shared" si="76"/>
        <v>337.94991820608408</v>
      </c>
      <c r="Q73" s="48">
        <f t="shared" si="76"/>
        <v>458.98792488680175</v>
      </c>
      <c r="R73" s="48">
        <f t="shared" si="76"/>
        <v>0</v>
      </c>
      <c r="S73" s="48">
        <f t="shared" si="76"/>
        <v>32.699437658025325</v>
      </c>
      <c r="T73" s="48">
        <f t="shared" si="76"/>
        <v>10.619015263787077</v>
      </c>
      <c r="U73" s="48">
        <f t="shared" si="76"/>
        <v>1.5787199261220748</v>
      </c>
      <c r="V73" s="48">
        <f t="shared" si="76"/>
        <v>1.4219983520670479E-2</v>
      </c>
      <c r="W73" s="48">
        <f t="shared" si="76"/>
        <v>0.54386945909504802</v>
      </c>
      <c r="X73" s="48">
        <f t="shared" si="76"/>
        <v>0.28533458802959744</v>
      </c>
      <c r="Y73" s="48">
        <f t="shared" si="76"/>
        <v>0.14220288470912792</v>
      </c>
      <c r="Z73" s="48">
        <f t="shared" si="76"/>
        <v>0.49591789476766324</v>
      </c>
      <c r="AA73" s="48">
        <f t="shared" si="76"/>
        <v>0.68812653683018277</v>
      </c>
      <c r="AB73" s="48">
        <f t="shared" si="76"/>
        <v>0.37236668089833397</v>
      </c>
      <c r="AC73" s="48">
        <f t="shared" si="76"/>
        <v>9.4801967455530142E-2</v>
      </c>
      <c r="AD73" s="48">
        <f t="shared" si="76"/>
        <v>5.706320478627017</v>
      </c>
      <c r="AE73" s="48">
        <f t="shared" si="76"/>
        <v>3.3542075419756345E-2</v>
      </c>
      <c r="AF73" s="48">
        <f t="shared" si="76"/>
        <v>5.8740950211027876</v>
      </c>
      <c r="AG73" s="48">
        <f t="shared" si="76"/>
        <v>4.9345095295377766</v>
      </c>
      <c r="AH73" s="48">
        <f t="shared" si="76"/>
        <v>0.494842010370525</v>
      </c>
      <c r="AI73" s="48">
        <f t="shared" si="76"/>
        <v>1.3175507918285456</v>
      </c>
      <c r="AJ73" s="48">
        <f t="shared" si="76"/>
        <v>3.5084979064557564</v>
      </c>
      <c r="AK73" s="48" t="e">
        <f t="shared" si="76"/>
        <v>#DIV/0!</v>
      </c>
      <c r="AL73" s="48">
        <f t="shared" si="76"/>
        <v>0.86439447416073134</v>
      </c>
      <c r="AM73" s="48">
        <f t="shared" si="76"/>
        <v>0.17934065585661704</v>
      </c>
      <c r="AN73" s="48">
        <f t="shared" si="76"/>
        <v>13.233476692105661</v>
      </c>
      <c r="AO73" s="48">
        <f t="shared" si="76"/>
        <v>0.20292901410959918</v>
      </c>
      <c r="AP73" s="48">
        <f t="shared" si="76"/>
        <v>9.0570803616583748E-2</v>
      </c>
      <c r="AQ73" s="48">
        <f t="shared" si="76"/>
        <v>0.52731200703921888</v>
      </c>
      <c r="AR73" s="48">
        <f t="shared" si="76"/>
        <v>3.7580472482913352E-2</v>
      </c>
      <c r="AS73" s="48">
        <f t="shared" si="76"/>
        <v>0.18459546726762072</v>
      </c>
      <c r="AT73" s="48">
        <f t="shared" si="76"/>
        <v>1.6632297813531114</v>
      </c>
      <c r="AU73" s="48">
        <f t="shared" si="76"/>
        <v>2.8356086019861837</v>
      </c>
      <c r="AV73" s="48">
        <f t="shared" si="76"/>
        <v>0.2591577921775936</v>
      </c>
      <c r="AW73" s="48">
        <f t="shared" si="76"/>
        <v>16.480999949875716</v>
      </c>
      <c r="AX73" s="37">
        <f>SUMIF(E73:AW73, "&lt;&gt;#DIV/0!")</f>
        <v>108591.76359740275</v>
      </c>
      <c r="AY73" s="35">
        <f>ABS((AX73/C73*100)-100)</f>
        <v>0.52882710326423421</v>
      </c>
      <c r="BA73" s="35">
        <f t="shared" si="73"/>
        <v>149.87477134864238</v>
      </c>
      <c r="BB73" s="35">
        <f t="shared" si="74"/>
        <v>48.026850793384128</v>
      </c>
      <c r="BC73" s="35">
        <f t="shared" si="75"/>
        <v>22.124239746112604</v>
      </c>
    </row>
    <row r="74" spans="2:55" s="35" customFormat="1" hidden="1" x14ac:dyDescent="0.25">
      <c r="B74" s="36" t="s">
        <v>135</v>
      </c>
      <c r="C74" s="37">
        <f t="shared" ref="C74:AW74" si="77">C36</f>
        <v>108020.52180103144</v>
      </c>
      <c r="D74" s="38">
        <f t="shared" si="77"/>
        <v>108.02052180103144</v>
      </c>
      <c r="E74" s="38">
        <f t="shared" si="77"/>
        <v>106433.34026736826</v>
      </c>
      <c r="F74" s="38">
        <f t="shared" si="77"/>
        <v>630.11971050601676</v>
      </c>
      <c r="G74" s="38">
        <f t="shared" si="77"/>
        <v>191.55639199382915</v>
      </c>
      <c r="H74" s="38">
        <f t="shared" si="77"/>
        <v>64.812313080618878</v>
      </c>
      <c r="I74" s="38">
        <f t="shared" si="77"/>
        <v>16.618541815543303</v>
      </c>
      <c r="J74" s="38">
        <f t="shared" si="77"/>
        <v>138.26626790532029</v>
      </c>
      <c r="K74" s="38">
        <f t="shared" si="77"/>
        <v>370.87045818354136</v>
      </c>
      <c r="L74" s="38" t="e">
        <f t="shared" si="77"/>
        <v>#DIV/0!</v>
      </c>
      <c r="M74" s="38">
        <f t="shared" si="77"/>
        <v>26.645062044254423</v>
      </c>
      <c r="N74" s="38">
        <f t="shared" si="77"/>
        <v>10.802052180103145</v>
      </c>
      <c r="O74" s="38">
        <f t="shared" si="77"/>
        <v>41.407866690395394</v>
      </c>
      <c r="P74" s="38">
        <f t="shared" si="77"/>
        <v>296.69636654683302</v>
      </c>
      <c r="Q74" s="38">
        <f t="shared" si="77"/>
        <v>317.34978452756513</v>
      </c>
      <c r="R74" s="38">
        <f t="shared" si="77"/>
        <v>0</v>
      </c>
      <c r="S74" s="38">
        <f t="shared" si="77"/>
        <v>2.9347195397107226</v>
      </c>
      <c r="T74" s="38">
        <f t="shared" si="77"/>
        <v>0.7954169617731458</v>
      </c>
      <c r="U74" s="38">
        <f t="shared" si="77"/>
        <v>1.5787199261220748</v>
      </c>
      <c r="V74" s="38">
        <f t="shared" si="77"/>
        <v>2.7069157159543564E-3</v>
      </c>
      <c r="W74" s="38">
        <f t="shared" si="77"/>
        <v>0.10289937688296635</v>
      </c>
      <c r="X74" s="38">
        <f t="shared" si="77"/>
        <v>6.7525068451448775E-2</v>
      </c>
      <c r="Y74" s="38">
        <f t="shared" si="77"/>
        <v>2.0929545007031331E-2</v>
      </c>
      <c r="Z74" s="38">
        <f t="shared" si="77"/>
        <v>8.2972105945683688E-2</v>
      </c>
      <c r="AA74" s="38">
        <f t="shared" si="77"/>
        <v>0.11786421591171585</v>
      </c>
      <c r="AB74" s="38">
        <f t="shared" si="77"/>
        <v>0.19957547546393165</v>
      </c>
      <c r="AC74" s="38">
        <f t="shared" si="77"/>
        <v>2.0622917953846916E-2</v>
      </c>
      <c r="AD74" s="38">
        <f t="shared" si="77"/>
        <v>0.42144365010771062</v>
      </c>
      <c r="AE74" s="38">
        <f t="shared" si="77"/>
        <v>9.1713167720498135E-3</v>
      </c>
      <c r="AF74" s="38">
        <f t="shared" si="77"/>
        <v>0.51095723194961473</v>
      </c>
      <c r="AG74" s="38">
        <f t="shared" si="77"/>
        <v>0.47878151918914763</v>
      </c>
      <c r="AH74" s="38" t="e">
        <f t="shared" si="77"/>
        <v>#DIV/0!</v>
      </c>
      <c r="AI74" s="38">
        <f t="shared" si="77"/>
        <v>0.11015083771967829</v>
      </c>
      <c r="AJ74" s="38">
        <f t="shared" si="77"/>
        <v>0.56939258953255034</v>
      </c>
      <c r="AK74" s="38" t="e">
        <f t="shared" si="77"/>
        <v>#DIV/0!</v>
      </c>
      <c r="AL74" s="38">
        <f t="shared" si="77"/>
        <v>0.10179511189406688</v>
      </c>
      <c r="AM74" s="38">
        <f t="shared" si="77"/>
        <v>0.13714285447858954</v>
      </c>
      <c r="AN74" s="38">
        <f t="shared" si="77"/>
        <v>0.90784162427536763</v>
      </c>
      <c r="AO74" s="38">
        <f t="shared" si="77"/>
        <v>9.9367573909000431E-2</v>
      </c>
      <c r="AP74" s="38">
        <f t="shared" si="77"/>
        <v>1.6328886171212323E-2</v>
      </c>
      <c r="AQ74" s="38">
        <f t="shared" si="77"/>
        <v>0.18625954809637058</v>
      </c>
      <c r="AR74" s="38">
        <f t="shared" si="77"/>
        <v>9.5406317347194198E-3</v>
      </c>
      <c r="AS74" s="38">
        <f t="shared" si="77"/>
        <v>3.1124773902496884E-2</v>
      </c>
      <c r="AT74" s="38">
        <f t="shared" si="77"/>
        <v>1.0606102953556074</v>
      </c>
      <c r="AU74" s="38">
        <f t="shared" si="77"/>
        <v>0.69867932750159467</v>
      </c>
      <c r="AV74" s="38">
        <f t="shared" si="77"/>
        <v>6.9783683944522779E-2</v>
      </c>
      <c r="AW74" s="38">
        <f t="shared" si="77"/>
        <v>9.3968693826648639</v>
      </c>
      <c r="AX74" s="37">
        <f>SUMIF(E74:AW74, "&lt;&gt;#DIV/0!")</f>
        <v>108559.22427573043</v>
      </c>
      <c r="AY74" s="35">
        <f>ABS((AX74/C74*100)-100)</f>
        <v>0.49870382564087379</v>
      </c>
      <c r="BA74" s="35">
        <f>SUM(M74,T74,AD74, AF74,AG74, AL74, AQ74, AS74, AU74, AW74)</f>
        <v>39.266389551333432</v>
      </c>
      <c r="BB74" s="35">
        <f>SUM(T74,AD74, AF74,AG74, AL74, AQ74, AS74, AU74, AW74)</f>
        <v>12.621327507079013</v>
      </c>
      <c r="BC74" s="35">
        <f>SUM(T74,AD74,AG74, AL74)</f>
        <v>1.797437242964071</v>
      </c>
    </row>
    <row r="75" spans="2:55" hidden="1" x14ac:dyDescent="0.25">
      <c r="B75" s="39" t="s">
        <v>136</v>
      </c>
      <c r="C75" s="40">
        <f>SUM((M72,T72,AD72, AF72:AG72, AL72, AQ72, AS72, AU72, AW72))</f>
        <v>2727.5678061028825</v>
      </c>
      <c r="D75" s="8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</row>
    <row r="76" spans="2:55" hidden="1" x14ac:dyDescent="0.25">
      <c r="B76" s="39" t="s">
        <v>137</v>
      </c>
      <c r="C76" s="40">
        <f>SUM((T72,AD72, AF72:AG72, AL72, AQ72, AS72, AU72, AW72))</f>
        <v>328.46502456878727</v>
      </c>
      <c r="D76" s="8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</row>
    <row r="77" spans="2:55" hidden="1" x14ac:dyDescent="0.25">
      <c r="B77" s="39" t="s">
        <v>138</v>
      </c>
      <c r="C77" s="40">
        <f>AD72+T72+AG72+AL72</f>
        <v>133.8682327084754</v>
      </c>
      <c r="D77" s="8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</row>
    <row r="78" spans="2:55" hidden="1" x14ac:dyDescent="0.25">
      <c r="B78" s="88" t="s">
        <v>139</v>
      </c>
      <c r="C78" s="90">
        <f>SUM((M73,T73,AD73, AF73:AG73, AL73, AQ73, AS73, AU73, AW73))</f>
        <v>149.87477134864238</v>
      </c>
      <c r="D78" s="8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</row>
    <row r="79" spans="2:55" hidden="1" x14ac:dyDescent="0.25">
      <c r="B79" s="88" t="s">
        <v>140</v>
      </c>
      <c r="C79" s="90">
        <f>SUM(T73,AD73,AF73:AG73,AL73,AQ73,AS73,AU73,AW73)</f>
        <v>48.026850793384128</v>
      </c>
      <c r="D79" s="8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</row>
    <row r="80" spans="2:55" hidden="1" x14ac:dyDescent="0.25">
      <c r="B80" s="88" t="s">
        <v>141</v>
      </c>
      <c r="C80" s="90">
        <f>SUM(T73,AD73,AG73, AL73)</f>
        <v>22.124239746112604</v>
      </c>
      <c r="D80" s="8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</row>
    <row r="81" spans="2:55" ht="45" hidden="1" x14ac:dyDescent="0.25">
      <c r="B81" s="43" t="s">
        <v>148</v>
      </c>
      <c r="C81" s="44">
        <f>(C78/(C75+C78))</f>
        <v>5.2086103306840797E-2</v>
      </c>
      <c r="D81" s="46"/>
      <c r="E81" s="45">
        <f>(E73/(E72+E73))</f>
        <v>0.3506281663469385</v>
      </c>
      <c r="F81" s="45">
        <f t="shared" ref="F81:AW81" si="78">(F73/(F72+F73))</f>
        <v>5.3012031600083526E-2</v>
      </c>
      <c r="G81" s="45">
        <f t="shared" si="78"/>
        <v>4.2042825017110451E-2</v>
      </c>
      <c r="H81" s="45">
        <f t="shared" si="78"/>
        <v>3.1336371617513119E-2</v>
      </c>
      <c r="I81" s="45">
        <f t="shared" si="78"/>
        <v>7.0695969581323737E-2</v>
      </c>
      <c r="J81" s="45">
        <f t="shared" si="78"/>
        <v>2.9973772880549036E-2</v>
      </c>
      <c r="K81" s="45">
        <f t="shared" si="78"/>
        <v>0.18285002687917778</v>
      </c>
      <c r="L81" s="45" t="e">
        <f t="shared" si="78"/>
        <v>#DIV/0!</v>
      </c>
      <c r="M81" s="45">
        <f t="shared" si="78"/>
        <v>4.0723681786359121E-2</v>
      </c>
      <c r="N81" s="45">
        <f t="shared" si="78"/>
        <v>0.11048958043307794</v>
      </c>
      <c r="O81" s="45">
        <f t="shared" si="78"/>
        <v>3.34390360262952E-2</v>
      </c>
      <c r="P81" s="45">
        <f t="shared" si="78"/>
        <v>0.17690171381511005</v>
      </c>
      <c r="Q81" s="45">
        <f t="shared" si="78"/>
        <v>0.10227822286427683</v>
      </c>
      <c r="R81" s="45" t="e">
        <f t="shared" si="78"/>
        <v>#DIV/0!</v>
      </c>
      <c r="S81" s="45">
        <f t="shared" si="78"/>
        <v>0.10852019876569896</v>
      </c>
      <c r="T81" s="45">
        <f t="shared" si="78"/>
        <v>0.13327600066847675</v>
      </c>
      <c r="U81" s="45" t="e">
        <f t="shared" si="78"/>
        <v>#DIV/0!</v>
      </c>
      <c r="V81" s="45" t="e">
        <f t="shared" si="78"/>
        <v>#DIV/0!</v>
      </c>
      <c r="W81" s="45" t="e">
        <f t="shared" si="78"/>
        <v>#DIV/0!</v>
      </c>
      <c r="X81" s="45" t="e">
        <f t="shared" si="78"/>
        <v>#DIV/0!</v>
      </c>
      <c r="Y81" s="45" t="e">
        <f t="shared" si="78"/>
        <v>#DIV/0!</v>
      </c>
      <c r="Z81" s="45" t="e">
        <f t="shared" si="78"/>
        <v>#DIV/0!</v>
      </c>
      <c r="AA81" s="45" t="e">
        <f t="shared" si="78"/>
        <v>#DIV/0!</v>
      </c>
      <c r="AB81" s="45" t="e">
        <f t="shared" si="78"/>
        <v>#DIV/0!</v>
      </c>
      <c r="AC81" s="45" t="e">
        <f t="shared" si="78"/>
        <v>#DIV/0!</v>
      </c>
      <c r="AD81" s="45">
        <f t="shared" si="78"/>
        <v>0.16328686055116276</v>
      </c>
      <c r="AE81" s="45" t="e">
        <f t="shared" si="78"/>
        <v>#DIV/0!</v>
      </c>
      <c r="AF81" s="45">
        <f t="shared" si="78"/>
        <v>0.18498541288738932</v>
      </c>
      <c r="AG81" s="45">
        <f t="shared" si="78"/>
        <v>0.13251565483324779</v>
      </c>
      <c r="AH81" s="45">
        <f t="shared" si="78"/>
        <v>0.15173547300146506</v>
      </c>
      <c r="AI81" s="45" t="e">
        <f t="shared" si="78"/>
        <v>#DIV/0!</v>
      </c>
      <c r="AJ81" s="45" t="e">
        <f t="shared" si="78"/>
        <v>#DIV/0!</v>
      </c>
      <c r="AK81" s="45" t="e">
        <f t="shared" si="78"/>
        <v>#DIV/0!</v>
      </c>
      <c r="AL81" s="45">
        <f t="shared" si="78"/>
        <v>0.20920447974811793</v>
      </c>
      <c r="AM81" s="45" t="e">
        <f t="shared" si="78"/>
        <v>#DIV/0!</v>
      </c>
      <c r="AN81" s="45">
        <f t="shared" si="78"/>
        <v>4.7126048067770751E-2</v>
      </c>
      <c r="AO81" s="45" t="e">
        <f t="shared" si="78"/>
        <v>#DIV/0!</v>
      </c>
      <c r="AP81" s="45" t="e">
        <f t="shared" si="78"/>
        <v>#DIV/0!</v>
      </c>
      <c r="AQ81" s="45">
        <f t="shared" si="78"/>
        <v>6.2249421653655788E-2</v>
      </c>
      <c r="AR81" s="45" t="e">
        <f t="shared" si="78"/>
        <v>#DIV/0!</v>
      </c>
      <c r="AS81" s="45">
        <f t="shared" si="78"/>
        <v>0.12197059992054034</v>
      </c>
      <c r="AT81" s="45" t="e">
        <f t="shared" si="78"/>
        <v>#DIV/0!</v>
      </c>
      <c r="AU81" s="45">
        <f t="shared" si="78"/>
        <v>0.11577445106503194</v>
      </c>
      <c r="AV81" s="45" t="e">
        <f t="shared" si="78"/>
        <v>#DIV/0!</v>
      </c>
      <c r="AW81" s="45">
        <f t="shared" si="78"/>
        <v>0.10683348393734557</v>
      </c>
    </row>
    <row r="83" spans="2:55" s="31" customFormat="1" ht="23.25" hidden="1" x14ac:dyDescent="0.35">
      <c r="B83" s="49" t="s">
        <v>149</v>
      </c>
      <c r="C83" s="33" t="str">
        <f t="shared" ref="C83:AY83" si="79">C53</f>
        <v>Total Tonnage (Mt)</v>
      </c>
      <c r="D83" s="33" t="str">
        <f t="shared" si="79"/>
        <v>Total Rock (Gt)</v>
      </c>
      <c r="E83" s="33" t="str">
        <f t="shared" si="79"/>
        <v>SiO2</v>
      </c>
      <c r="F83" s="33" t="str">
        <f t="shared" si="79"/>
        <v>Al2O3</v>
      </c>
      <c r="G83" s="33" t="str">
        <f t="shared" si="79"/>
        <v>Fe2O3</v>
      </c>
      <c r="H83" s="33" t="str">
        <f t="shared" si="79"/>
        <v>CaO</v>
      </c>
      <c r="I83" s="33" t="str">
        <f t="shared" si="79"/>
        <v>MgO</v>
      </c>
      <c r="J83" s="33" t="str">
        <f t="shared" si="79"/>
        <v>Na2O</v>
      </c>
      <c r="K83" s="33" t="str">
        <f t="shared" si="79"/>
        <v>K2O</v>
      </c>
      <c r="L83" s="33" t="str">
        <f t="shared" si="79"/>
        <v>Cr2O3</v>
      </c>
      <c r="M83" s="33" t="str">
        <f t="shared" si="79"/>
        <v>TiO2</v>
      </c>
      <c r="N83" s="33" t="str">
        <f t="shared" si="79"/>
        <v>MnO</v>
      </c>
      <c r="O83" s="33" t="str">
        <f t="shared" si="79"/>
        <v>P2O5</v>
      </c>
      <c r="P83" s="33" t="str">
        <f t="shared" si="79"/>
        <v>LOI</v>
      </c>
      <c r="Q83" s="33" t="str">
        <f t="shared" si="79"/>
        <v>H2O+ (calc)</v>
      </c>
      <c r="R83" s="33">
        <f t="shared" si="79"/>
        <v>0</v>
      </c>
      <c r="S83" s="33" t="str">
        <f t="shared" si="79"/>
        <v>BaO</v>
      </c>
      <c r="T83" s="33" t="str">
        <f t="shared" si="79"/>
        <v>Ce2O3</v>
      </c>
      <c r="U83" s="33" t="str">
        <f t="shared" si="79"/>
        <v>Cr2O3</v>
      </c>
      <c r="V83" s="33" t="str">
        <f t="shared" si="79"/>
        <v>Cs2O3</v>
      </c>
      <c r="W83" s="33" t="str">
        <f t="shared" si="79"/>
        <v>Dy2O3</v>
      </c>
      <c r="X83" s="33" t="str">
        <f t="shared" si="79"/>
        <v>Er2O3</v>
      </c>
      <c r="Y83" s="33" t="str">
        <f t="shared" si="79"/>
        <v>Eu2O3</v>
      </c>
      <c r="Z83" s="33" t="str">
        <f t="shared" si="79"/>
        <v>Ga2O3</v>
      </c>
      <c r="AA83" s="33" t="str">
        <f t="shared" si="79"/>
        <v>Gd2O3</v>
      </c>
      <c r="AB83" s="33" t="str">
        <f t="shared" si="79"/>
        <v>HfO2</v>
      </c>
      <c r="AC83" s="33" t="str">
        <f t="shared" si="79"/>
        <v>Ho2O3</v>
      </c>
      <c r="AD83" s="33" t="str">
        <f t="shared" si="79"/>
        <v>La2O3</v>
      </c>
      <c r="AE83" s="33" t="str">
        <f t="shared" si="79"/>
        <v>Lu2O3</v>
      </c>
      <c r="AF83" s="33" t="str">
        <f t="shared" si="79"/>
        <v>Nb2O5</v>
      </c>
      <c r="AG83" s="33" t="str">
        <f t="shared" si="79"/>
        <v>Nd2O3</v>
      </c>
      <c r="AH83" s="33" t="str">
        <f t="shared" si="79"/>
        <v>NiO2</v>
      </c>
      <c r="AI83" s="33" t="str">
        <f t="shared" si="79"/>
        <v>Pr2O3</v>
      </c>
      <c r="AJ83" s="33" t="str">
        <f t="shared" si="79"/>
        <v>Rb2O</v>
      </c>
      <c r="AK83" s="33" t="str">
        <f t="shared" si="79"/>
        <v>Sc2O3</v>
      </c>
      <c r="AL83" s="33" t="str">
        <f t="shared" si="79"/>
        <v>Sm2O3</v>
      </c>
      <c r="AM83" s="33" t="str">
        <f t="shared" si="79"/>
        <v>SnO2</v>
      </c>
      <c r="AN83" s="33" t="str">
        <f t="shared" si="79"/>
        <v>SrO</v>
      </c>
      <c r="AO83" s="33" t="str">
        <f t="shared" si="79"/>
        <v>Ta2O5</v>
      </c>
      <c r="AP83" s="33" t="str">
        <f t="shared" si="79"/>
        <v>Tb2O3</v>
      </c>
      <c r="AQ83" s="33" t="str">
        <f t="shared" si="79"/>
        <v>ThO2</v>
      </c>
      <c r="AR83" s="33" t="str">
        <f t="shared" si="79"/>
        <v>Tm2O3</v>
      </c>
      <c r="AS83" s="33" t="str">
        <f t="shared" si="79"/>
        <v>UO2</v>
      </c>
      <c r="AT83" s="33" t="str">
        <f t="shared" si="79"/>
        <v>V2O5</v>
      </c>
      <c r="AU83" s="33" t="str">
        <f t="shared" si="79"/>
        <v>Y2O3</v>
      </c>
      <c r="AV83" s="33" t="str">
        <f t="shared" si="79"/>
        <v>Yb2O3</v>
      </c>
      <c r="AW83" s="33" t="str">
        <f t="shared" si="79"/>
        <v>ZrO2</v>
      </c>
      <c r="AX83" s="175" t="str">
        <f t="shared" si="79"/>
        <v>SUM</v>
      </c>
      <c r="AY83" s="33" t="str">
        <f t="shared" si="79"/>
        <v>Tonn. Error</v>
      </c>
      <c r="AZ83" s="33"/>
      <c r="BA83" s="33" t="str">
        <f>BA53</f>
        <v>SUM HFSEO</v>
      </c>
      <c r="BB83" s="33" t="str">
        <f>BB53</f>
        <v>no TiO2</v>
      </c>
      <c r="BC83" s="33" t="str">
        <f>BC53</f>
        <v>SUM LREO</v>
      </c>
    </row>
    <row r="84" spans="2:55" s="35" customFormat="1" hidden="1" x14ac:dyDescent="0.25">
      <c r="B84" s="35" t="str">
        <f t="shared" ref="B84:B92" si="80">B54</f>
        <v>I4 ellipsoid (Mt)</v>
      </c>
      <c r="C84" s="37">
        <f>C54+(1/100*C54)</f>
        <v>576652.2670741576</v>
      </c>
      <c r="D84" s="35">
        <f>C84/1000</f>
        <v>576.65226707415763</v>
      </c>
      <c r="E84" s="50">
        <f t="shared" ref="E84:AW84" si="81">E$13/100*$C84</f>
        <v>337565.82989779994</v>
      </c>
      <c r="F84" s="50">
        <f t="shared" si="81"/>
        <v>92962.752699766133</v>
      </c>
      <c r="G84" s="50">
        <f t="shared" si="81"/>
        <v>41307.524064745485</v>
      </c>
      <c r="H84" s="50">
        <f t="shared" si="81"/>
        <v>26673.370975885755</v>
      </c>
      <c r="I84" s="50">
        <f t="shared" si="81"/>
        <v>7957.8012856233754</v>
      </c>
      <c r="J84" s="50">
        <f t="shared" si="81"/>
        <v>40705.242808023599</v>
      </c>
      <c r="K84" s="50">
        <f t="shared" si="81"/>
        <v>16505.06933314478</v>
      </c>
      <c r="L84" s="50" t="e">
        <f t="shared" si="81"/>
        <v>#DIV/0!</v>
      </c>
      <c r="M84" s="50">
        <f t="shared" si="81"/>
        <v>4369.7427349397276</v>
      </c>
      <c r="N84" s="50">
        <f t="shared" si="81"/>
        <v>1486.4813995689397</v>
      </c>
      <c r="O84" s="50">
        <f t="shared" si="81"/>
        <v>2031.0974295834219</v>
      </c>
      <c r="P84" s="50">
        <f t="shared" si="81"/>
        <v>2864.0395931349826</v>
      </c>
      <c r="Q84" s="50">
        <f t="shared" si="81"/>
        <v>7337.8167562492945</v>
      </c>
      <c r="R84" s="50">
        <f t="shared" si="81"/>
        <v>0</v>
      </c>
      <c r="S84" s="50">
        <f t="shared" si="81"/>
        <v>489.26959255269315</v>
      </c>
      <c r="T84" s="50">
        <f t="shared" si="81"/>
        <v>125.78247325895209</v>
      </c>
      <c r="U84" s="50" t="e">
        <f t="shared" si="81"/>
        <v>#DIV/0!</v>
      </c>
      <c r="V84" s="50" t="e">
        <f t="shared" si="81"/>
        <v>#DIV/0!</v>
      </c>
      <c r="W84" s="50" t="e">
        <f t="shared" si="81"/>
        <v>#DIV/0!</v>
      </c>
      <c r="X84" s="50" t="e">
        <f t="shared" si="81"/>
        <v>#DIV/0!</v>
      </c>
      <c r="Y84" s="50" t="e">
        <f t="shared" si="81"/>
        <v>#DIV/0!</v>
      </c>
      <c r="Z84" s="50" t="e">
        <f t="shared" si="81"/>
        <v>#DIV/0!</v>
      </c>
      <c r="AA84" s="50" t="e">
        <f t="shared" si="81"/>
        <v>#DIV/0!</v>
      </c>
      <c r="AB84" s="50" t="e">
        <f t="shared" si="81"/>
        <v>#DIV/0!</v>
      </c>
      <c r="AC84" s="50" t="e">
        <f t="shared" si="81"/>
        <v>#DIV/0!</v>
      </c>
      <c r="AD84" s="50">
        <f t="shared" si="81"/>
        <v>53.258450082435054</v>
      </c>
      <c r="AE84" s="50" t="e">
        <f t="shared" si="81"/>
        <v>#DIV/0!</v>
      </c>
      <c r="AF84" s="50">
        <f t="shared" si="81"/>
        <v>47.138513255322252</v>
      </c>
      <c r="AG84" s="50">
        <f t="shared" si="81"/>
        <v>58.836315197480637</v>
      </c>
      <c r="AH84" s="50">
        <f t="shared" si="81"/>
        <v>5.0386914009828105</v>
      </c>
      <c r="AI84" s="50" t="e">
        <f t="shared" si="81"/>
        <v>#DIV/0!</v>
      </c>
      <c r="AJ84" s="50" t="e">
        <f t="shared" si="81"/>
        <v>#DIV/0!</v>
      </c>
      <c r="AK84" s="50">
        <f t="shared" si="81"/>
        <v>11.276982902288873</v>
      </c>
      <c r="AL84" s="50">
        <f t="shared" si="81"/>
        <v>5.9513051232028191</v>
      </c>
      <c r="AM84" s="50" t="e">
        <f t="shared" si="81"/>
        <v>#DIV/0!</v>
      </c>
      <c r="AN84" s="50">
        <f t="shared" si="81"/>
        <v>487.36619797127702</v>
      </c>
      <c r="AO84" s="50" t="e">
        <f t="shared" si="81"/>
        <v>#DIV/0!</v>
      </c>
      <c r="AP84" s="50" t="e">
        <f t="shared" si="81"/>
        <v>#DIV/0!</v>
      </c>
      <c r="AQ84" s="50">
        <f t="shared" si="81"/>
        <v>14.468606154216232</v>
      </c>
      <c r="AR84" s="50" t="e">
        <f t="shared" si="81"/>
        <v>#DIV/0!</v>
      </c>
      <c r="AS84" s="50">
        <f t="shared" si="81"/>
        <v>2.4203710275450203</v>
      </c>
      <c r="AT84" s="50" t="e">
        <f t="shared" si="81"/>
        <v>#DIV/0!</v>
      </c>
      <c r="AU84" s="50">
        <f t="shared" si="81"/>
        <v>39.446059791842529</v>
      </c>
      <c r="AV84" s="50" t="e">
        <f t="shared" si="81"/>
        <v>#DIV/0!</v>
      </c>
      <c r="AW84" s="50">
        <f t="shared" si="81"/>
        <v>250.96641958780336</v>
      </c>
      <c r="AX84" s="37">
        <f>SUMIF(E84:AW84, "&lt;&gt;#DIV/0!")</f>
        <v>583357.98895677144</v>
      </c>
      <c r="AY84" s="35">
        <f>ABS((AX84/C84*100)-100)</f>
        <v>1.1628709823057903</v>
      </c>
      <c r="BA84" s="35">
        <f t="shared" ref="BA84:BA85" si="82">SUM(M84,T84,AD84, AF84,AG84, AL84, AQ84, AS84, AU84, AW84)</f>
        <v>4968.0112484185274</v>
      </c>
      <c r="BB84" s="35">
        <f t="shared" ref="BB84:BB85" si="83">SUM(T84,AD84, AF84,AG84, AL84, AQ84, AS84, AU84, AW84)</f>
        <v>598.26851347879995</v>
      </c>
      <c r="BC84" s="35">
        <f t="shared" ref="BC84:BC85" si="84">SUM(T84,AD84,AG84, AL84)</f>
        <v>243.82854366207062</v>
      </c>
    </row>
    <row r="85" spans="2:55" s="35" customFormat="1" hidden="1" x14ac:dyDescent="0.25">
      <c r="B85" s="35" t="str">
        <f t="shared" si="80"/>
        <v>Fenite (Mt)</v>
      </c>
      <c r="C85" s="37">
        <f>C55+(1/100*C55)</f>
        <v>146248.22522201177</v>
      </c>
      <c r="D85" s="35">
        <f t="shared" ref="D85:D86" si="85">C85/1000</f>
        <v>146.24822522201177</v>
      </c>
      <c r="E85" s="50">
        <f>E$14/100*$C85</f>
        <v>135484.3558456717</v>
      </c>
      <c r="F85" s="50">
        <f t="shared" ref="F85:AW85" si="86">F$14/100*$C85</f>
        <v>3868.2655571222112</v>
      </c>
      <c r="G85" s="50">
        <f t="shared" si="86"/>
        <v>1347.5729324028225</v>
      </c>
      <c r="H85" s="50">
        <f t="shared" si="86"/>
        <v>641.40293061653733</v>
      </c>
      <c r="I85" s="50">
        <f t="shared" si="86"/>
        <v>449.99453914465153</v>
      </c>
      <c r="J85" s="50">
        <f t="shared" si="86"/>
        <v>934.94401124071794</v>
      </c>
      <c r="K85" s="50">
        <f t="shared" si="86"/>
        <v>2745.2881134531922</v>
      </c>
      <c r="L85" s="50" t="e">
        <f t="shared" si="86"/>
        <v>#DIV/0!</v>
      </c>
      <c r="M85" s="50">
        <f t="shared" si="86"/>
        <v>137.89118378075398</v>
      </c>
      <c r="N85" s="50">
        <f t="shared" si="86"/>
        <v>137.24833443911874</v>
      </c>
      <c r="O85" s="50">
        <f t="shared" si="86"/>
        <v>52.231509007861348</v>
      </c>
      <c r="P85" s="50">
        <f t="shared" si="86"/>
        <v>457.54801890886534</v>
      </c>
      <c r="Q85" s="50">
        <f t="shared" si="86"/>
        <v>621.42052541342048</v>
      </c>
      <c r="R85" s="50">
        <f t="shared" si="86"/>
        <v>0</v>
      </c>
      <c r="S85" s="50">
        <f t="shared" si="86"/>
        <v>44.271538810492558</v>
      </c>
      <c r="T85" s="50">
        <f t="shared" si="86"/>
        <v>14.377010127713381</v>
      </c>
      <c r="U85" s="50">
        <f t="shared" si="86"/>
        <v>2.1374178116197022</v>
      </c>
      <c r="V85" s="50">
        <f t="shared" si="86"/>
        <v>1.925233574056346E-2</v>
      </c>
      <c r="W85" s="50">
        <f t="shared" si="86"/>
        <v>0.73634103797068318</v>
      </c>
      <c r="X85" s="50">
        <f t="shared" si="86"/>
        <v>0.3863124932005656</v>
      </c>
      <c r="Y85" s="50">
        <f t="shared" si="86"/>
        <v>0.19252748610553125</v>
      </c>
      <c r="Z85" s="50">
        <f t="shared" si="86"/>
        <v>0.67141975206524707</v>
      </c>
      <c r="AA85" s="50">
        <f t="shared" si="86"/>
        <v>0.93164968157580785</v>
      </c>
      <c r="AB85" s="50">
        <f t="shared" si="86"/>
        <v>0.50414463201262316</v>
      </c>
      <c r="AC85" s="50">
        <f t="shared" si="86"/>
        <v>0.12835171740295939</v>
      </c>
      <c r="AD85" s="50">
        <f t="shared" si="86"/>
        <v>7.7257471879686221</v>
      </c>
      <c r="AE85" s="50">
        <f t="shared" si="86"/>
        <v>4.5412380153447757E-2</v>
      </c>
      <c r="AF85" s="50">
        <f t="shared" si="86"/>
        <v>7.9528959617887676</v>
      </c>
      <c r="AG85" s="50">
        <f t="shared" si="86"/>
        <v>6.6807977688283415</v>
      </c>
      <c r="AH85" s="50">
        <f t="shared" si="86"/>
        <v>0.66996311974203593</v>
      </c>
      <c r="AI85" s="50">
        <f t="shared" si="86"/>
        <v>1.7838227563805489</v>
      </c>
      <c r="AJ85" s="50">
        <f t="shared" si="86"/>
        <v>4.7501306553529234</v>
      </c>
      <c r="AK85" s="50" t="e">
        <f t="shared" si="86"/>
        <v>#DIV/0!</v>
      </c>
      <c r="AL85" s="50">
        <f t="shared" si="86"/>
        <v>1.1702976029922674</v>
      </c>
      <c r="AM85" s="50">
        <f t="shared" si="86"/>
        <v>0.24280805343167108</v>
      </c>
      <c r="AN85" s="50">
        <f t="shared" si="86"/>
        <v>17.916711079235242</v>
      </c>
      <c r="AO85" s="50">
        <f t="shared" si="86"/>
        <v>0.27474416587476697</v>
      </c>
      <c r="AP85" s="50">
        <f t="shared" si="86"/>
        <v>0.1226231744210132</v>
      </c>
      <c r="AQ85" s="50">
        <f t="shared" si="86"/>
        <v>0.71392402000974553</v>
      </c>
      <c r="AR85" s="50">
        <f t="shared" si="86"/>
        <v>5.0879937552553538E-2</v>
      </c>
      <c r="AS85" s="50">
        <f t="shared" si="86"/>
        <v>0.24992250566650859</v>
      </c>
      <c r="AT85" s="50">
        <f t="shared" si="86"/>
        <v>2.2518351106221428</v>
      </c>
      <c r="AU85" s="50">
        <f t="shared" si="86"/>
        <v>3.8391105555721312</v>
      </c>
      <c r="AV85" s="50">
        <f t="shared" si="86"/>
        <v>0.35087191328551909</v>
      </c>
      <c r="AW85" s="50">
        <f t="shared" si="86"/>
        <v>22.31350999204647</v>
      </c>
      <c r="AX85" s="37">
        <f>SUMIF(E85:AW85, "&lt;&gt;#DIV/0!")</f>
        <v>147021.62547502873</v>
      </c>
      <c r="AY85" s="35">
        <f>ABS((AX85/C85*100)-100)</f>
        <v>0.52882710326427684</v>
      </c>
      <c r="BA85" s="35">
        <f t="shared" si="82"/>
        <v>202.91439950334023</v>
      </c>
      <c r="BB85" s="35">
        <f t="shared" si="83"/>
        <v>65.023215722586258</v>
      </c>
      <c r="BC85" s="35">
        <f t="shared" si="84"/>
        <v>29.953852687502614</v>
      </c>
    </row>
    <row r="86" spans="2:55" s="35" customFormat="1" hidden="1" x14ac:dyDescent="0.25">
      <c r="B86" s="35" t="str">
        <f t="shared" si="80"/>
        <v>Unaltered reference (Mt)</v>
      </c>
      <c r="C86" s="37">
        <f>C56+(1/100*C56)</f>
        <v>146248.22522201177</v>
      </c>
      <c r="D86" s="35">
        <f t="shared" si="85"/>
        <v>146.24822522201177</v>
      </c>
      <c r="E86" s="50">
        <f>E$15/100*$C86</f>
        <v>144099.3512994163</v>
      </c>
      <c r="F86" s="50">
        <f t="shared" ref="F86:AW86" si="87">F$15/100*$C86</f>
        <v>853.114647128402</v>
      </c>
      <c r="G86" s="50">
        <f t="shared" si="87"/>
        <v>259.34685272703427</v>
      </c>
      <c r="H86" s="50">
        <f t="shared" si="87"/>
        <v>87.748935133207084</v>
      </c>
      <c r="I86" s="50">
        <f t="shared" si="87"/>
        <v>22.499726957232586</v>
      </c>
      <c r="J86" s="50">
        <f t="shared" si="87"/>
        <v>187.1977282841751</v>
      </c>
      <c r="K86" s="50">
        <f t="shared" si="87"/>
        <v>502.11890659557378</v>
      </c>
      <c r="L86" s="50" t="e">
        <f t="shared" si="87"/>
        <v>#DIV/0!</v>
      </c>
      <c r="M86" s="50">
        <f t="shared" si="87"/>
        <v>36.074562221429574</v>
      </c>
      <c r="N86" s="50">
        <f t="shared" si="87"/>
        <v>14.624822522201177</v>
      </c>
      <c r="O86" s="50">
        <f t="shared" si="87"/>
        <v>56.061819668437856</v>
      </c>
      <c r="P86" s="50">
        <f t="shared" si="87"/>
        <v>401.69512527645901</v>
      </c>
      <c r="Q86" s="50">
        <f t="shared" si="87"/>
        <v>429.65764271378561</v>
      </c>
      <c r="R86" s="50">
        <f t="shared" si="87"/>
        <v>0</v>
      </c>
      <c r="S86" s="50">
        <f t="shared" si="87"/>
        <v>3.9732961575358194</v>
      </c>
      <c r="T86" s="50">
        <f t="shared" si="87"/>
        <v>1.0769094337933163</v>
      </c>
      <c r="U86" s="50">
        <f t="shared" si="87"/>
        <v>2.1374178116197022</v>
      </c>
      <c r="V86" s="50">
        <f t="shared" si="87"/>
        <v>3.6648741617179991E-3</v>
      </c>
      <c r="W86" s="50">
        <f t="shared" si="87"/>
        <v>0.13931474311246142</v>
      </c>
      <c r="X86" s="50">
        <f t="shared" si="87"/>
        <v>9.1421715562615843E-2</v>
      </c>
      <c r="Y86" s="50">
        <f t="shared" si="87"/>
        <v>2.8336363877417621E-2</v>
      </c>
      <c r="Z86" s="50">
        <f t="shared" si="87"/>
        <v>0.11233535105338754</v>
      </c>
      <c r="AA86" s="50">
        <f t="shared" si="87"/>
        <v>0.15957553349004328</v>
      </c>
      <c r="AB86" s="50">
        <f t="shared" si="87"/>
        <v>0.27020383347343224</v>
      </c>
      <c r="AC86" s="50">
        <f t="shared" si="87"/>
        <v>2.7921223665302409E-2</v>
      </c>
      <c r="AD86" s="50">
        <f t="shared" si="87"/>
        <v>0.57058959567764889</v>
      </c>
      <c r="AE86" s="50">
        <f t="shared" si="87"/>
        <v>1.2416981315196236E-2</v>
      </c>
      <c r="AF86" s="50">
        <f t="shared" si="87"/>
        <v>0.69178140496882357</v>
      </c>
      <c r="AG86" s="50">
        <f t="shared" si="87"/>
        <v>0.64821893361602712</v>
      </c>
      <c r="AH86" s="50" t="e">
        <f t="shared" si="87"/>
        <v>#DIV/0!</v>
      </c>
      <c r="AI86" s="50">
        <f t="shared" si="87"/>
        <v>0.14913244497090514</v>
      </c>
      <c r="AJ86" s="50">
        <f t="shared" si="87"/>
        <v>0.77089662487545751</v>
      </c>
      <c r="AK86" s="50" t="e">
        <f t="shared" si="87"/>
        <v>#DIV/0!</v>
      </c>
      <c r="AL86" s="50">
        <f t="shared" si="87"/>
        <v>0.13781968650554352</v>
      </c>
      <c r="AM86" s="50">
        <f t="shared" si="87"/>
        <v>0.18567674674186616</v>
      </c>
      <c r="AN86" s="50">
        <f t="shared" si="87"/>
        <v>1.2291203941552631</v>
      </c>
      <c r="AO86" s="50">
        <f t="shared" si="87"/>
        <v>0.13453305989001094</v>
      </c>
      <c r="AP86" s="50">
        <f t="shared" si="87"/>
        <v>2.210756421627701E-2</v>
      </c>
      <c r="AQ86" s="50">
        <f t="shared" si="87"/>
        <v>0.25217549300421943</v>
      </c>
      <c r="AR86" s="50">
        <f t="shared" si="87"/>
        <v>1.2916994247348611E-2</v>
      </c>
      <c r="AS86" s="50">
        <f t="shared" si="87"/>
        <v>4.2139612619729948E-2</v>
      </c>
      <c r="AT86" s="50">
        <f t="shared" si="87"/>
        <v>1.4359528241648447</v>
      </c>
      <c r="AU86" s="50">
        <f t="shared" si="87"/>
        <v>0.94593703069337753</v>
      </c>
      <c r="AV86" s="50">
        <f t="shared" si="87"/>
        <v>9.4479639203546267E-2</v>
      </c>
      <c r="AW86" s="50">
        <f t="shared" si="87"/>
        <v>12.722355409365143</v>
      </c>
      <c r="AX86" s="37">
        <f>SUMIF(E86:AW86, "&lt;&gt;#DIV/0!")</f>
        <v>146977.57071612575</v>
      </c>
      <c r="AY86" s="35">
        <f>ABS((AX86/C86*100)-100)</f>
        <v>0.49870382564081694</v>
      </c>
      <c r="BA86" s="35">
        <f>SUM(M86,T86,AD86, AF86,AG86, AL86, AQ86, AS86, AU86, AW86)</f>
        <v>53.162488821673399</v>
      </c>
      <c r="BB86" s="35">
        <f>SUM(T86,AD86, AF86,AG86, AL86, AQ86, AS86, AU86, AW86)</f>
        <v>17.087926600243829</v>
      </c>
      <c r="BC86" s="35">
        <f>SUM(T86,AD86,AG86, AL86)</f>
        <v>2.4335376495925356</v>
      </c>
    </row>
    <row r="87" spans="2:55" hidden="1" x14ac:dyDescent="0.25">
      <c r="B87" t="str">
        <f t="shared" si="80"/>
        <v>ƩCHFSEO in I4 ellipsoid (Mt)</v>
      </c>
      <c r="C87" s="40">
        <f>SUM((M84,T84,AD84, AF84:AG84, AL84, AQ84, AS84, AU84, AW84))</f>
        <v>4968.0112484185274</v>
      </c>
    </row>
    <row r="88" spans="2:55" hidden="1" x14ac:dyDescent="0.25">
      <c r="B88" t="str">
        <f t="shared" si="80"/>
        <v>ƩCHFSEO in I4 ellipsoid, excl. Ti (Mt)</v>
      </c>
      <c r="C88" s="40">
        <f>SUM((T84,AD84, AF84:AG84, AL84, AQ84, AS84, AU84, AW84))</f>
        <v>598.26851347879995</v>
      </c>
    </row>
    <row r="89" spans="2:55" hidden="1" x14ac:dyDescent="0.25">
      <c r="B89" t="str">
        <f t="shared" si="80"/>
        <v>ƩREO in I4 ellipsoid (Mt)</v>
      </c>
      <c r="C89" s="40">
        <f>SUM(T84,AD84,AG84)</f>
        <v>237.8772385388678</v>
      </c>
    </row>
    <row r="90" spans="2:55" hidden="1" x14ac:dyDescent="0.25">
      <c r="B90" t="str">
        <f t="shared" si="80"/>
        <v>ƩCHFSEO in Fenite (Mt)</v>
      </c>
      <c r="C90" s="40">
        <f>SUM((M85,T85,AD85, AF85:AG85, AL85, AQ85, AS85, AU85, AW85))</f>
        <v>202.91439950334023</v>
      </c>
    </row>
    <row r="91" spans="2:55" hidden="1" x14ac:dyDescent="0.25">
      <c r="B91" t="str">
        <f t="shared" si="80"/>
        <v>ƩCHFSEO in Fenite, excl. Ti (Mt)</v>
      </c>
      <c r="C91" s="40">
        <f>SUM((T85,AD85, AF85:AG85, AL85, AQ85, AS85, AU85, AW85))</f>
        <v>65.023215722586258</v>
      </c>
    </row>
    <row r="92" spans="2:55" hidden="1" x14ac:dyDescent="0.25">
      <c r="B92" t="str">
        <f t="shared" si="80"/>
        <v>ƩLREO in Fenite (Mt)</v>
      </c>
      <c r="C92" s="40">
        <f>SUM(T85,AD85,AG85, AL85)</f>
        <v>29.953852687502614</v>
      </c>
    </row>
    <row r="93" spans="2:55" hidden="1" x14ac:dyDescent="0.25">
      <c r="B93" t="str">
        <f t="shared" ref="B93" si="88">B70</f>
        <v>% of total CHFSEO now in fenite (assuming I4+fenite=Total and fenite HFSE content results from 100% influx)</v>
      </c>
    </row>
    <row r="94" spans="2:55" s="35" customFormat="1" ht="46.5" hidden="1" x14ac:dyDescent="0.35">
      <c r="B94" s="49" t="s">
        <v>150</v>
      </c>
      <c r="C94" s="47" t="str">
        <f>C53</f>
        <v>Total Tonnage (Mt)</v>
      </c>
      <c r="D94" s="47" t="str">
        <f t="shared" ref="D94:AX94" si="89">D53</f>
        <v>Total Rock (Gt)</v>
      </c>
      <c r="E94" s="47" t="str">
        <f t="shared" si="89"/>
        <v>SiO2</v>
      </c>
      <c r="F94" s="47" t="str">
        <f t="shared" si="89"/>
        <v>Al2O3</v>
      </c>
      <c r="G94" s="47" t="str">
        <f t="shared" si="89"/>
        <v>Fe2O3</v>
      </c>
      <c r="H94" s="47" t="str">
        <f t="shared" si="89"/>
        <v>CaO</v>
      </c>
      <c r="I94" s="47" t="str">
        <f t="shared" si="89"/>
        <v>MgO</v>
      </c>
      <c r="J94" s="47" t="str">
        <f t="shared" si="89"/>
        <v>Na2O</v>
      </c>
      <c r="K94" s="47" t="str">
        <f t="shared" si="89"/>
        <v>K2O</v>
      </c>
      <c r="L94" s="47" t="str">
        <f t="shared" si="89"/>
        <v>Cr2O3</v>
      </c>
      <c r="M94" s="47" t="str">
        <f t="shared" si="89"/>
        <v>TiO2</v>
      </c>
      <c r="N94" s="47" t="str">
        <f t="shared" si="89"/>
        <v>MnO</v>
      </c>
      <c r="O94" s="47" t="str">
        <f t="shared" si="89"/>
        <v>P2O5</v>
      </c>
      <c r="P94" s="47" t="str">
        <f t="shared" si="89"/>
        <v>LOI</v>
      </c>
      <c r="Q94" s="47" t="str">
        <f t="shared" si="89"/>
        <v>H2O+ (calc)</v>
      </c>
      <c r="R94" s="47">
        <f t="shared" si="89"/>
        <v>0</v>
      </c>
      <c r="S94" s="47" t="str">
        <f t="shared" si="89"/>
        <v>BaO</v>
      </c>
      <c r="T94" s="47" t="str">
        <f t="shared" si="89"/>
        <v>Ce2O3</v>
      </c>
      <c r="U94" s="47" t="str">
        <f t="shared" si="89"/>
        <v>Cr2O3</v>
      </c>
      <c r="V94" s="47" t="str">
        <f t="shared" si="89"/>
        <v>Cs2O3</v>
      </c>
      <c r="W94" s="47" t="str">
        <f t="shared" si="89"/>
        <v>Dy2O3</v>
      </c>
      <c r="X94" s="47" t="str">
        <f t="shared" si="89"/>
        <v>Er2O3</v>
      </c>
      <c r="Y94" s="47" t="str">
        <f t="shared" si="89"/>
        <v>Eu2O3</v>
      </c>
      <c r="Z94" s="47" t="str">
        <f t="shared" si="89"/>
        <v>Ga2O3</v>
      </c>
      <c r="AA94" s="47" t="str">
        <f t="shared" si="89"/>
        <v>Gd2O3</v>
      </c>
      <c r="AB94" s="47" t="str">
        <f t="shared" si="89"/>
        <v>HfO2</v>
      </c>
      <c r="AC94" s="47" t="str">
        <f t="shared" si="89"/>
        <v>Ho2O3</v>
      </c>
      <c r="AD94" s="47" t="str">
        <f t="shared" si="89"/>
        <v>La2O3</v>
      </c>
      <c r="AE94" s="47" t="str">
        <f t="shared" si="89"/>
        <v>Lu2O3</v>
      </c>
      <c r="AF94" s="47" t="str">
        <f t="shared" si="89"/>
        <v>Nb2O5</v>
      </c>
      <c r="AG94" s="47" t="str">
        <f t="shared" si="89"/>
        <v>Nd2O3</v>
      </c>
      <c r="AH94" s="47" t="str">
        <f t="shared" si="89"/>
        <v>NiO2</v>
      </c>
      <c r="AI94" s="47" t="str">
        <f t="shared" si="89"/>
        <v>Pr2O3</v>
      </c>
      <c r="AJ94" s="47" t="str">
        <f t="shared" si="89"/>
        <v>Rb2O</v>
      </c>
      <c r="AK94" s="47" t="str">
        <f t="shared" si="89"/>
        <v>Sc2O3</v>
      </c>
      <c r="AL94" s="47" t="str">
        <f t="shared" si="89"/>
        <v>Sm2O3</v>
      </c>
      <c r="AM94" s="47" t="str">
        <f t="shared" si="89"/>
        <v>SnO2</v>
      </c>
      <c r="AN94" s="47" t="str">
        <f t="shared" si="89"/>
        <v>SrO</v>
      </c>
      <c r="AO94" s="47" t="str">
        <f t="shared" si="89"/>
        <v>Ta2O5</v>
      </c>
      <c r="AP94" s="47" t="str">
        <f t="shared" si="89"/>
        <v>Tb2O3</v>
      </c>
      <c r="AQ94" s="47" t="str">
        <f t="shared" si="89"/>
        <v>ThO2</v>
      </c>
      <c r="AR94" s="47" t="str">
        <f t="shared" si="89"/>
        <v>Tm2O3</v>
      </c>
      <c r="AS94" s="47" t="str">
        <f t="shared" si="89"/>
        <v>UO2</v>
      </c>
      <c r="AT94" s="47" t="str">
        <f t="shared" si="89"/>
        <v>V2O5</v>
      </c>
      <c r="AU94" s="47" t="str">
        <f t="shared" si="89"/>
        <v>Y2O3</v>
      </c>
      <c r="AV94" s="47" t="str">
        <f t="shared" si="89"/>
        <v>Yb2O3</v>
      </c>
      <c r="AW94" s="47" t="str">
        <f t="shared" si="89"/>
        <v>ZrO2</v>
      </c>
      <c r="AX94" s="37" t="str">
        <f t="shared" si="89"/>
        <v>SUM</v>
      </c>
    </row>
    <row r="95" spans="2:55" s="35" customFormat="1" hidden="1" x14ac:dyDescent="0.25">
      <c r="B95" s="47" t="str">
        <f>B54</f>
        <v>I4 ellipsoid (Mt)</v>
      </c>
      <c r="C95" s="47"/>
      <c r="E95" s="50">
        <f t="shared" ref="E95:AW95" si="90">E84-E54</f>
        <v>3342.2359395821695</v>
      </c>
      <c r="F95" s="50">
        <f t="shared" si="90"/>
        <v>920.42329405708006</v>
      </c>
      <c r="G95" s="50">
        <f t="shared" si="90"/>
        <v>408.98538677965553</v>
      </c>
      <c r="H95" s="50">
        <f t="shared" si="90"/>
        <v>264.09278193946375</v>
      </c>
      <c r="I95" s="50">
        <f t="shared" si="90"/>
        <v>78.790111738845553</v>
      </c>
      <c r="J95" s="50">
        <f t="shared" si="90"/>
        <v>403.02220602003945</v>
      </c>
      <c r="K95" s="50">
        <f t="shared" si="90"/>
        <v>163.4165280509369</v>
      </c>
      <c r="L95" s="50" t="e">
        <f t="shared" si="90"/>
        <v>#DIV/0!</v>
      </c>
      <c r="M95" s="50">
        <f t="shared" si="90"/>
        <v>43.264779553858716</v>
      </c>
      <c r="N95" s="50">
        <f t="shared" si="90"/>
        <v>14.717637619494553</v>
      </c>
      <c r="O95" s="50">
        <f t="shared" si="90"/>
        <v>20.109875540429812</v>
      </c>
      <c r="P95" s="50">
        <f t="shared" si="90"/>
        <v>28.356827654802146</v>
      </c>
      <c r="Q95" s="50">
        <f t="shared" si="90"/>
        <v>72.651651051973204</v>
      </c>
      <c r="R95" s="50">
        <f t="shared" si="90"/>
        <v>0</v>
      </c>
      <c r="S95" s="50">
        <f t="shared" si="90"/>
        <v>4.8442533916108346</v>
      </c>
      <c r="T95" s="50">
        <f t="shared" si="90"/>
        <v>1.2453710223658732</v>
      </c>
      <c r="U95" s="50" t="e">
        <f t="shared" si="90"/>
        <v>#DIV/0!</v>
      </c>
      <c r="V95" s="50" t="e">
        <f t="shared" si="90"/>
        <v>#DIV/0!</v>
      </c>
      <c r="W95" s="50" t="e">
        <f t="shared" si="90"/>
        <v>#DIV/0!</v>
      </c>
      <c r="X95" s="50" t="e">
        <f t="shared" si="90"/>
        <v>#DIV/0!</v>
      </c>
      <c r="Y95" s="50" t="e">
        <f t="shared" si="90"/>
        <v>#DIV/0!</v>
      </c>
      <c r="Z95" s="50" t="e">
        <f t="shared" si="90"/>
        <v>#DIV/0!</v>
      </c>
      <c r="AA95" s="50" t="e">
        <f t="shared" si="90"/>
        <v>#DIV/0!</v>
      </c>
      <c r="AB95" s="50" t="e">
        <f t="shared" si="90"/>
        <v>#DIV/0!</v>
      </c>
      <c r="AC95" s="50" t="e">
        <f t="shared" si="90"/>
        <v>#DIV/0!</v>
      </c>
      <c r="AD95" s="50">
        <f t="shared" si="90"/>
        <v>0.52731138695480695</v>
      </c>
      <c r="AE95" s="50" t="e">
        <f t="shared" si="90"/>
        <v>#DIV/0!</v>
      </c>
      <c r="AF95" s="50">
        <f t="shared" si="90"/>
        <v>0.46671795302299302</v>
      </c>
      <c r="AG95" s="50">
        <f t="shared" si="90"/>
        <v>0.58253777423248465</v>
      </c>
      <c r="AH95" s="50">
        <f t="shared" si="90"/>
        <v>4.9888033673097354E-2</v>
      </c>
      <c r="AI95" s="50" t="e">
        <f t="shared" si="90"/>
        <v>#DIV/0!</v>
      </c>
      <c r="AJ95" s="50" t="e">
        <f t="shared" si="90"/>
        <v>#DIV/0!</v>
      </c>
      <c r="AK95" s="50">
        <f t="shared" si="90"/>
        <v>0.1116532960622667</v>
      </c>
      <c r="AL95" s="50">
        <f t="shared" si="90"/>
        <v>5.8923813101018574E-2</v>
      </c>
      <c r="AM95" s="50" t="e">
        <f t="shared" si="90"/>
        <v>#DIV/0!</v>
      </c>
      <c r="AN95" s="50">
        <f t="shared" si="90"/>
        <v>4.8254079007057271</v>
      </c>
      <c r="AO95" s="50" t="e">
        <f t="shared" si="90"/>
        <v>#DIV/0!</v>
      </c>
      <c r="AP95" s="50" t="e">
        <f t="shared" si="90"/>
        <v>#DIV/0!</v>
      </c>
      <c r="AQ95" s="50">
        <f t="shared" si="90"/>
        <v>0.14325352627936816</v>
      </c>
      <c r="AR95" s="50" t="e">
        <f t="shared" si="90"/>
        <v>#DIV/0!</v>
      </c>
      <c r="AS95" s="50">
        <f t="shared" si="90"/>
        <v>2.3964069579653913E-2</v>
      </c>
      <c r="AT95" s="50" t="e">
        <f t="shared" si="90"/>
        <v>#DIV/0!</v>
      </c>
      <c r="AU95" s="50">
        <f t="shared" si="90"/>
        <v>0.39055504744398206</v>
      </c>
      <c r="AV95" s="50" t="e">
        <f t="shared" si="90"/>
        <v>#DIV/0!</v>
      </c>
      <c r="AW95" s="50">
        <f t="shared" si="90"/>
        <v>2.4848160355228117</v>
      </c>
      <c r="AX95" s="38"/>
    </row>
    <row r="96" spans="2:55" s="35" customFormat="1" hidden="1" x14ac:dyDescent="0.25">
      <c r="B96" s="47" t="str">
        <f>B55</f>
        <v>Fenite (Mt)</v>
      </c>
      <c r="C96" s="47"/>
      <c r="E96" s="50">
        <f t="shared" ref="E96:AW96" si="91">E85-E55</f>
        <v>1341.4292657987389</v>
      </c>
      <c r="F96" s="50">
        <f t="shared" si="91"/>
        <v>38.299658981407902</v>
      </c>
      <c r="G96" s="50">
        <f t="shared" si="91"/>
        <v>13.342306261414024</v>
      </c>
      <c r="H96" s="50">
        <f t="shared" si="91"/>
        <v>6.3505240655101716</v>
      </c>
      <c r="I96" s="50">
        <f t="shared" si="91"/>
        <v>4.455391476679722</v>
      </c>
      <c r="J96" s="50">
        <f t="shared" si="91"/>
        <v>9.2568713984229589</v>
      </c>
      <c r="K96" s="50">
        <f t="shared" si="91"/>
        <v>27.181070430229738</v>
      </c>
      <c r="L96" s="50" t="e">
        <f t="shared" si="91"/>
        <v>#DIV/0!</v>
      </c>
      <c r="M96" s="50">
        <f t="shared" si="91"/>
        <v>1.3652592453539967</v>
      </c>
      <c r="N96" s="50">
        <f t="shared" si="91"/>
        <v>1.358894400387328</v>
      </c>
      <c r="O96" s="50">
        <f t="shared" si="91"/>
        <v>0.51714365354318659</v>
      </c>
      <c r="P96" s="50">
        <f t="shared" si="91"/>
        <v>4.5301784050382707</v>
      </c>
      <c r="Q96" s="50">
        <f t="shared" si="91"/>
        <v>6.1526784694398202</v>
      </c>
      <c r="R96" s="50">
        <f t="shared" si="91"/>
        <v>0</v>
      </c>
      <c r="S96" s="50">
        <f t="shared" si="91"/>
        <v>0.43833206743062192</v>
      </c>
      <c r="T96" s="50">
        <f t="shared" si="91"/>
        <v>0.14234663492785593</v>
      </c>
      <c r="U96" s="50">
        <f t="shared" si="91"/>
        <v>2.1162552590294315E-2</v>
      </c>
      <c r="V96" s="50">
        <f t="shared" si="91"/>
        <v>1.9061718555013138E-4</v>
      </c>
      <c r="W96" s="50">
        <f t="shared" si="91"/>
        <v>7.2905053264423758E-3</v>
      </c>
      <c r="X96" s="50">
        <f t="shared" si="91"/>
        <v>3.8248761703026379E-3</v>
      </c>
      <c r="Y96" s="50">
        <f t="shared" si="91"/>
        <v>1.9062127337181323E-3</v>
      </c>
      <c r="Z96" s="50">
        <f t="shared" si="91"/>
        <v>6.6477203174777344E-3</v>
      </c>
      <c r="AA96" s="50">
        <f t="shared" si="91"/>
        <v>9.2242542730278654E-3</v>
      </c>
      <c r="AB96" s="50">
        <f t="shared" si="91"/>
        <v>4.9915310100259735E-3</v>
      </c>
      <c r="AC96" s="50">
        <f t="shared" si="91"/>
        <v>1.2708090831975993E-3</v>
      </c>
      <c r="AD96" s="50">
        <f t="shared" si="91"/>
        <v>7.6492546415530605E-2</v>
      </c>
      <c r="AE96" s="50">
        <f t="shared" si="91"/>
        <v>4.4962752627175639E-4</v>
      </c>
      <c r="AF96" s="50">
        <f t="shared" si="91"/>
        <v>7.8741544176127221E-2</v>
      </c>
      <c r="AG96" s="50">
        <f t="shared" si="91"/>
        <v>6.6146512562656135E-2</v>
      </c>
      <c r="AH96" s="50">
        <f t="shared" si="91"/>
        <v>6.6332982152677022E-3</v>
      </c>
      <c r="AI96" s="50">
        <f t="shared" si="91"/>
        <v>1.766161144931222E-2</v>
      </c>
      <c r="AJ96" s="50">
        <f t="shared" si="91"/>
        <v>4.7030996587652751E-2</v>
      </c>
      <c r="AK96" s="50" t="e">
        <f t="shared" si="91"/>
        <v>#DIV/0!</v>
      </c>
      <c r="AL96" s="50">
        <f t="shared" si="91"/>
        <v>1.1587104980121277E-2</v>
      </c>
      <c r="AM96" s="50">
        <f t="shared" si="91"/>
        <v>2.4040401329868399E-3</v>
      </c>
      <c r="AN96" s="50">
        <f t="shared" si="91"/>
        <v>0.17739317900232976</v>
      </c>
      <c r="AO96" s="50">
        <f t="shared" si="91"/>
        <v>2.7202392660867769E-3</v>
      </c>
      <c r="AP96" s="50">
        <f t="shared" si="91"/>
        <v>1.2140908358516111E-3</v>
      </c>
      <c r="AQ96" s="50">
        <f t="shared" si="91"/>
        <v>7.0685546535618204E-3</v>
      </c>
      <c r="AR96" s="50">
        <f t="shared" si="91"/>
        <v>5.0376175794607236E-4</v>
      </c>
      <c r="AS96" s="50">
        <f t="shared" si="91"/>
        <v>2.474480254123862E-3</v>
      </c>
      <c r="AT96" s="50">
        <f t="shared" si="91"/>
        <v>2.2295397134872719E-2</v>
      </c>
      <c r="AU96" s="50">
        <f t="shared" si="91"/>
        <v>3.8010995599724318E-2</v>
      </c>
      <c r="AV96" s="50">
        <f t="shared" si="91"/>
        <v>3.4739793394605867E-3</v>
      </c>
      <c r="AW96" s="50">
        <f t="shared" si="91"/>
        <v>0.22092584150541228</v>
      </c>
      <c r="AX96" s="38"/>
    </row>
    <row r="97" spans="2:50" s="35" customFormat="1" hidden="1" x14ac:dyDescent="0.25">
      <c r="B97" s="47" t="str">
        <f>B56</f>
        <v>Unaltered reference (Mt)</v>
      </c>
      <c r="C97" s="47"/>
      <c r="E97" s="50">
        <f t="shared" ref="E97:AW97" si="92">E86-E56</f>
        <v>1426.7262504892715</v>
      </c>
      <c r="F97" s="50">
        <f t="shared" si="92"/>
        <v>8.4466796745385864</v>
      </c>
      <c r="G97" s="50">
        <f t="shared" si="92"/>
        <v>2.5677906210597712</v>
      </c>
      <c r="H97" s="50">
        <f t="shared" si="92"/>
        <v>0.86880133795254721</v>
      </c>
      <c r="I97" s="50">
        <f t="shared" si="92"/>
        <v>0.2227695738339861</v>
      </c>
      <c r="J97" s="50">
        <f t="shared" si="92"/>
        <v>1.8534428542987484</v>
      </c>
      <c r="K97" s="50">
        <f t="shared" si="92"/>
        <v>4.9714743227284544</v>
      </c>
      <c r="L97" s="50" t="e">
        <f t="shared" si="92"/>
        <v>#DIV/0!</v>
      </c>
      <c r="M97" s="50">
        <f t="shared" si="92"/>
        <v>0.35717388338049005</v>
      </c>
      <c r="N97" s="50">
        <f t="shared" si="92"/>
        <v>0.14480022299209061</v>
      </c>
      <c r="O97" s="50">
        <f t="shared" si="92"/>
        <v>0.55506752146968097</v>
      </c>
      <c r="P97" s="50">
        <f t="shared" si="92"/>
        <v>3.9771794581827749</v>
      </c>
      <c r="Q97" s="50">
        <f t="shared" si="92"/>
        <v>4.2540360664731338</v>
      </c>
      <c r="R97" s="50">
        <f t="shared" si="92"/>
        <v>0</v>
      </c>
      <c r="S97" s="50">
        <f t="shared" si="92"/>
        <v>3.933956591619614E-2</v>
      </c>
      <c r="T97" s="50">
        <f t="shared" si="92"/>
        <v>1.0662469641518069E-2</v>
      </c>
      <c r="U97" s="50">
        <f t="shared" si="92"/>
        <v>2.1162552590294315E-2</v>
      </c>
      <c r="V97" s="50">
        <f t="shared" si="92"/>
        <v>3.6285882789287034E-5</v>
      </c>
      <c r="W97" s="50">
        <f t="shared" si="92"/>
        <v>1.3793538922025894E-3</v>
      </c>
      <c r="X97" s="50">
        <f t="shared" si="92"/>
        <v>9.0516550061994772E-4</v>
      </c>
      <c r="Y97" s="50">
        <f t="shared" si="92"/>
        <v>2.8055805819225677E-4</v>
      </c>
      <c r="Z97" s="50">
        <f t="shared" si="92"/>
        <v>1.1122311985483913E-3</v>
      </c>
      <c r="AA97" s="50">
        <f t="shared" si="92"/>
        <v>1.5799557771291328E-3</v>
      </c>
      <c r="AB97" s="50">
        <f t="shared" si="92"/>
        <v>2.6752854799349524E-3</v>
      </c>
      <c r="AC97" s="50">
        <f t="shared" si="92"/>
        <v>2.7644775906239885E-4</v>
      </c>
      <c r="AD97" s="50">
        <f t="shared" si="92"/>
        <v>5.6494019374024873E-3</v>
      </c>
      <c r="AE97" s="50">
        <f t="shared" si="92"/>
        <v>1.229404090613475E-4</v>
      </c>
      <c r="AF97" s="50">
        <f t="shared" si="92"/>
        <v>6.8493208412754303E-3</v>
      </c>
      <c r="AG97" s="50">
        <f t="shared" si="92"/>
        <v>6.418009243723044E-3</v>
      </c>
      <c r="AH97" s="50" t="e">
        <f t="shared" si="92"/>
        <v>#DIV/0!</v>
      </c>
      <c r="AI97" s="50">
        <f t="shared" si="92"/>
        <v>1.4765588610980707E-3</v>
      </c>
      <c r="AJ97" s="50">
        <f t="shared" si="92"/>
        <v>7.6326398502520876E-3</v>
      </c>
      <c r="AK97" s="50" t="e">
        <f t="shared" si="92"/>
        <v>#DIV/0!</v>
      </c>
      <c r="AL97" s="50">
        <f t="shared" si="92"/>
        <v>1.3645513515400387E-3</v>
      </c>
      <c r="AM97" s="50">
        <f t="shared" si="92"/>
        <v>1.8383836311075819E-3</v>
      </c>
      <c r="AN97" s="50">
        <f t="shared" si="92"/>
        <v>1.2169508853022482E-2</v>
      </c>
      <c r="AO97" s="50">
        <f t="shared" si="92"/>
        <v>1.332010493960506E-3</v>
      </c>
      <c r="AP97" s="50">
        <f t="shared" si="92"/>
        <v>2.1888677441858281E-4</v>
      </c>
      <c r="AQ97" s="50">
        <f t="shared" si="92"/>
        <v>2.4967870594477248E-3</v>
      </c>
      <c r="AR97" s="50">
        <f t="shared" si="92"/>
        <v>1.2789103215196662E-4</v>
      </c>
      <c r="AS97" s="50">
        <f t="shared" si="92"/>
        <v>4.1722388732406274E-4</v>
      </c>
      <c r="AT97" s="50">
        <f t="shared" si="92"/>
        <v>1.4217354694701534E-2</v>
      </c>
      <c r="AU97" s="50">
        <f t="shared" si="92"/>
        <v>9.3657131751819778E-3</v>
      </c>
      <c r="AV97" s="50">
        <f t="shared" si="92"/>
        <v>9.3544197231235082E-4</v>
      </c>
      <c r="AW97" s="50">
        <f t="shared" si="92"/>
        <v>0.125963914944208</v>
      </c>
      <c r="AX97" s="38"/>
    </row>
    <row r="98" spans="2:50" hidden="1" x14ac:dyDescent="0.25"/>
  </sheetData>
  <mergeCells count="2">
    <mergeCell ref="A21:A31"/>
    <mergeCell ref="A38:A43"/>
  </mergeCells>
  <conditionalFormatting sqref="E1:AW2 AY12:AZ12 BB12">
    <cfRule type="containsText" dxfId="13" priority="9" operator="containsText" text="&lt;">
      <formula>NOT(ISERROR(SEARCH("&lt;",E1)))</formula>
    </cfRule>
  </conditionalFormatting>
  <conditionalFormatting sqref="E5:AW6">
    <cfRule type="cellIs" dxfId="12" priority="7" operator="greaterThan">
      <formula>0</formula>
    </cfRule>
    <cfRule type="cellIs" dxfId="11" priority="8" operator="lessThan">
      <formula>0</formula>
    </cfRule>
  </conditionalFormatting>
  <conditionalFormatting sqref="E13:R13 S13:AW15">
    <cfRule type="containsText" dxfId="10" priority="6" operator="containsText" text="&lt;">
      <formula>NOT(ISERROR(SEARCH("&lt;",E13)))</formula>
    </cfRule>
  </conditionalFormatting>
  <conditionalFormatting sqref="E16:AW17">
    <cfRule type="cellIs" dxfId="9" priority="4" operator="greaterThan">
      <formula>0</formula>
    </cfRule>
    <cfRule type="cellIs" dxfId="8" priority="5" operator="lessThan">
      <formula>0</formula>
    </cfRule>
  </conditionalFormatting>
  <conditionalFormatting sqref="E12:AW12">
    <cfRule type="containsText" dxfId="7" priority="3" operator="containsText" text="&lt;">
      <formula>NOT(ISERROR(SEARCH("&lt;",E12)))</formula>
    </cfRule>
  </conditionalFormatting>
  <conditionalFormatting sqref="S21:AW21 AY21:AZ21 BG21">
    <cfRule type="containsText" dxfId="6" priority="2" operator="containsText" text="&lt;">
      <formula>NOT(ISERROR(SEARCH("&lt;",S21)))</formula>
    </cfRule>
  </conditionalFormatting>
  <conditionalFormatting sqref="S38:AW38 AY38:AZ38">
    <cfRule type="containsText" dxfId="5" priority="1" operator="containsText" text="&lt;">
      <formula>NOT(ISERROR(SEARCH("&lt;",S38)))</formula>
    </cfRule>
  </conditionalFormatting>
  <hyperlinks>
    <hyperlink ref="B39" r:id="rId1" display="I4 ellipsoid" xr:uid="{C38841FB-3379-4109-B387-AD1CD633C6FC}"/>
    <hyperlink ref="B41" r:id="rId2" xr:uid="{9F88D60C-01C4-48AB-A9C8-D040C1CB1636}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8C22D-DA46-4495-B33D-A187EAE80D85}">
  <dimension ref="A1:BS104"/>
  <sheetViews>
    <sheetView workbookViewId="0"/>
  </sheetViews>
  <sheetFormatPr defaultRowHeight="15" x14ac:dyDescent="0.25"/>
  <cols>
    <col min="1" max="1" width="51.140625" customWidth="1"/>
    <col min="2" max="2" width="10.42578125" bestFit="1" customWidth="1"/>
    <col min="3" max="3" width="15.42578125" bestFit="1" customWidth="1"/>
    <col min="4" max="4" width="11" bestFit="1" customWidth="1"/>
    <col min="5" max="5" width="10.140625" bestFit="1" customWidth="1"/>
    <col min="6" max="6" width="9.7109375" bestFit="1" customWidth="1"/>
    <col min="7" max="7" width="9.28515625" bestFit="1" customWidth="1"/>
    <col min="8" max="8" width="8.85546875" bestFit="1" customWidth="1"/>
    <col min="9" max="9" width="7.7109375" bestFit="1" customWidth="1"/>
    <col min="10" max="10" width="10.140625" bestFit="1" customWidth="1"/>
    <col min="11" max="11" width="9.28515625" bestFit="1" customWidth="1"/>
    <col min="12" max="12" width="8.42578125" bestFit="1" customWidth="1"/>
    <col min="13" max="13" width="7.7109375" bestFit="1" customWidth="1"/>
    <col min="14" max="14" width="8.140625" bestFit="1" customWidth="1"/>
    <col min="15" max="15" width="7.7109375" bestFit="1" customWidth="1"/>
    <col min="16" max="16" width="8" bestFit="1" customWidth="1"/>
    <col min="17" max="17" width="14.5703125" bestFit="1" customWidth="1"/>
    <col min="18" max="20" width="7.7109375" bestFit="1" customWidth="1"/>
    <col min="21" max="21" width="8.85546875" bestFit="1" customWidth="1"/>
    <col min="22" max="22" width="8.42578125" bestFit="1" customWidth="1"/>
    <col min="23" max="23" width="13.5703125" bestFit="1" customWidth="1"/>
    <col min="24" max="24" width="10.42578125" bestFit="1" customWidth="1"/>
    <col min="25" max="27" width="8.42578125" bestFit="1" customWidth="1"/>
    <col min="28" max="28" width="8" bestFit="1" customWidth="1"/>
    <col min="29" max="29" width="8.42578125" bestFit="1" customWidth="1"/>
    <col min="30" max="30" width="9.28515625" bestFit="1" customWidth="1"/>
    <col min="31" max="31" width="8.85546875" bestFit="1" customWidth="1"/>
    <col min="32" max="32" width="9.28515625" bestFit="1" customWidth="1"/>
    <col min="33" max="33" width="8.7109375" bestFit="1" customWidth="1"/>
    <col min="34" max="34" width="10.7109375" bestFit="1" customWidth="1"/>
    <col min="35" max="35" width="8.42578125" bestFit="1" customWidth="1"/>
    <col min="36" max="36" width="10" bestFit="1" customWidth="1"/>
    <col min="37" max="37" width="10.42578125" bestFit="1" customWidth="1"/>
    <col min="38" max="38" width="7.5703125" bestFit="1" customWidth="1"/>
    <col min="39" max="39" width="8.140625" bestFit="1" customWidth="1"/>
    <col min="40" max="40" width="9.7109375" bestFit="1" customWidth="1"/>
    <col min="41" max="41" width="8.7109375" bestFit="1" customWidth="1"/>
    <col min="42" max="42" width="9.7109375" bestFit="1" customWidth="1"/>
    <col min="43" max="43" width="7.5703125" bestFit="1" customWidth="1"/>
    <col min="44" max="45" width="9.28515625" bestFit="1" customWidth="1"/>
    <col min="46" max="46" width="8.42578125" bestFit="1" customWidth="1"/>
    <col min="47" max="47" width="8.140625" bestFit="1" customWidth="1"/>
    <col min="48" max="48" width="8.85546875" customWidth="1"/>
    <col min="49" max="49" width="8.42578125" bestFit="1" customWidth="1"/>
    <col min="50" max="50" width="7.5703125" bestFit="1" customWidth="1"/>
    <col min="51" max="51" width="10.7109375" bestFit="1" customWidth="1"/>
    <col min="52" max="52" width="9.7109375" bestFit="1" customWidth="1"/>
    <col min="53" max="53" width="11.42578125" bestFit="1" customWidth="1"/>
    <col min="54" max="54" width="15.5703125" customWidth="1"/>
    <col min="55" max="55" width="18.85546875" bestFit="1" customWidth="1"/>
    <col min="56" max="56" width="13.5703125" bestFit="1" customWidth="1"/>
    <col min="57" max="57" width="13.28515625" customWidth="1"/>
  </cols>
  <sheetData>
    <row r="1" spans="1:53" x14ac:dyDescent="0.25">
      <c r="A1" s="13" t="s">
        <v>30</v>
      </c>
      <c r="B1" s="13" t="s">
        <v>151</v>
      </c>
      <c r="C1" s="13"/>
      <c r="D1" s="19" t="s">
        <v>31</v>
      </c>
      <c r="E1" s="19" t="s">
        <v>32</v>
      </c>
      <c r="F1" s="19" t="s">
        <v>33</v>
      </c>
      <c r="G1" s="19" t="s">
        <v>152</v>
      </c>
      <c r="H1" s="19" t="s">
        <v>34</v>
      </c>
      <c r="I1" s="19" t="s">
        <v>35</v>
      </c>
      <c r="J1" s="19" t="s">
        <v>36</v>
      </c>
      <c r="K1" s="19" t="s">
        <v>37</v>
      </c>
      <c r="L1" s="19" t="s">
        <v>38</v>
      </c>
      <c r="M1" s="19" t="s">
        <v>39</v>
      </c>
      <c r="N1" s="19" t="s">
        <v>40</v>
      </c>
      <c r="O1" s="19" t="s">
        <v>41</v>
      </c>
      <c r="P1" s="19" t="s">
        <v>42</v>
      </c>
      <c r="Q1" s="19" t="s">
        <v>43</v>
      </c>
      <c r="R1" s="19" t="s">
        <v>153</v>
      </c>
      <c r="S1" s="19" t="s">
        <v>154</v>
      </c>
      <c r="T1" s="19" t="s">
        <v>155</v>
      </c>
      <c r="U1" s="19" t="s">
        <v>156</v>
      </c>
      <c r="V1" s="19" t="s">
        <v>157</v>
      </c>
      <c r="W1" s="19" t="s">
        <v>44</v>
      </c>
      <c r="X1" s="19" t="s">
        <v>45</v>
      </c>
      <c r="Y1" s="19" t="s">
        <v>46</v>
      </c>
      <c r="Z1" s="19" t="s">
        <v>47</v>
      </c>
      <c r="AA1" s="19" t="s">
        <v>48</v>
      </c>
      <c r="AB1" s="19" t="s">
        <v>49</v>
      </c>
      <c r="AC1" s="19" t="s">
        <v>50</v>
      </c>
      <c r="AD1" s="19" t="s">
        <v>51</v>
      </c>
      <c r="AE1" s="19" t="s">
        <v>52</v>
      </c>
      <c r="AF1" s="19" t="s">
        <v>53</v>
      </c>
      <c r="AG1" s="19" t="s">
        <v>54</v>
      </c>
      <c r="AH1" s="19" t="s">
        <v>55</v>
      </c>
      <c r="AI1" s="19" t="s">
        <v>56</v>
      </c>
      <c r="AJ1" s="19" t="s">
        <v>57</v>
      </c>
      <c r="AK1" s="19" t="s">
        <v>58</v>
      </c>
      <c r="AL1" s="19" t="s">
        <v>59</v>
      </c>
      <c r="AM1" s="19" t="s">
        <v>60</v>
      </c>
      <c r="AN1" s="19" t="s">
        <v>61</v>
      </c>
      <c r="AO1" s="19" t="s">
        <v>62</v>
      </c>
      <c r="AP1" s="19" t="s">
        <v>63</v>
      </c>
      <c r="AQ1" s="19" t="s">
        <v>64</v>
      </c>
      <c r="AR1" s="19" t="s">
        <v>65</v>
      </c>
      <c r="AS1" s="19" t="s">
        <v>66</v>
      </c>
      <c r="AT1" s="19" t="s">
        <v>67</v>
      </c>
      <c r="AU1" s="19" t="s">
        <v>68</v>
      </c>
      <c r="AV1" s="19" t="s">
        <v>69</v>
      </c>
      <c r="AW1" s="19" t="s">
        <v>70</v>
      </c>
      <c r="AX1" s="19" t="s">
        <v>71</v>
      </c>
      <c r="AY1" s="19" t="s">
        <v>72</v>
      </c>
      <c r="AZ1" s="19" t="s">
        <v>73</v>
      </c>
      <c r="BA1" s="19" t="s">
        <v>74</v>
      </c>
    </row>
    <row r="2" spans="1:53" x14ac:dyDescent="0.25">
      <c r="A2" t="s">
        <v>158</v>
      </c>
      <c r="B2" t="s">
        <v>159</v>
      </c>
      <c r="D2" s="51">
        <v>51.83</v>
      </c>
      <c r="E2" s="51">
        <v>14.57</v>
      </c>
      <c r="F2" s="51">
        <v>7.56</v>
      </c>
      <c r="G2" s="51">
        <v>4.6100000000000003</v>
      </c>
      <c r="H2" s="51">
        <v>2.54</v>
      </c>
      <c r="I2" s="51">
        <v>0.18</v>
      </c>
      <c r="J2" s="51">
        <v>8.81</v>
      </c>
      <c r="K2" s="51">
        <v>4.87</v>
      </c>
      <c r="L2" s="51"/>
      <c r="M2" s="51">
        <v>0.55000000000000004</v>
      </c>
      <c r="N2" s="51">
        <v>0.48</v>
      </c>
      <c r="O2" s="51">
        <v>0.08</v>
      </c>
      <c r="P2" s="51"/>
      <c r="Q2" s="51">
        <v>2.0299999999999998</v>
      </c>
      <c r="R2" s="51"/>
      <c r="S2" s="51"/>
      <c r="T2" s="51"/>
      <c r="U2" s="51">
        <v>0.33</v>
      </c>
      <c r="V2" s="51">
        <v>0.84</v>
      </c>
      <c r="W2" s="51"/>
      <c r="X2" s="51">
        <v>845</v>
      </c>
      <c r="Y2" s="51"/>
      <c r="Z2" s="51"/>
      <c r="AA2" s="51"/>
      <c r="AB2" s="51"/>
      <c r="AC2" s="51">
        <v>39.299999999999997</v>
      </c>
      <c r="AD2" s="51"/>
      <c r="AE2" s="51"/>
      <c r="AF2" s="51">
        <v>90</v>
      </c>
      <c r="AG2" s="51"/>
      <c r="AH2" s="51">
        <v>483</v>
      </c>
      <c r="AI2" s="51"/>
      <c r="AJ2" s="51">
        <v>867</v>
      </c>
      <c r="AK2" s="51">
        <v>298</v>
      </c>
      <c r="AL2" s="51"/>
      <c r="AM2" s="51"/>
      <c r="AN2" s="51">
        <v>360</v>
      </c>
      <c r="AO2" s="51"/>
      <c r="AP2" s="51">
        <v>39.299999999999997</v>
      </c>
      <c r="AQ2" s="51"/>
      <c r="AR2" s="51">
        <v>50</v>
      </c>
      <c r="AS2" s="51"/>
      <c r="AT2" s="51">
        <v>7.64</v>
      </c>
      <c r="AU2" s="51">
        <v>63</v>
      </c>
      <c r="AV2" s="51"/>
      <c r="AW2" s="51">
        <v>29</v>
      </c>
      <c r="AX2" s="51"/>
      <c r="AY2" s="51">
        <v>330</v>
      </c>
      <c r="AZ2" s="51">
        <v>34.200000000000003</v>
      </c>
      <c r="BA2" s="51">
        <v>4231</v>
      </c>
    </row>
    <row r="3" spans="1:53" x14ac:dyDescent="0.25">
      <c r="A3" t="s">
        <v>160</v>
      </c>
      <c r="B3" t="s">
        <v>161</v>
      </c>
      <c r="D3" s="51">
        <v>53.3</v>
      </c>
      <c r="E3" s="51">
        <v>13.4</v>
      </c>
      <c r="F3" s="51">
        <v>7.9</v>
      </c>
      <c r="G3" s="51">
        <v>3.42</v>
      </c>
      <c r="H3" s="51">
        <v>2.1</v>
      </c>
      <c r="I3" s="51">
        <v>0.23</v>
      </c>
      <c r="J3" s="51">
        <v>8.84</v>
      </c>
      <c r="K3" s="51">
        <v>4.04</v>
      </c>
      <c r="L3" s="51"/>
      <c r="M3" s="51">
        <v>0.16</v>
      </c>
      <c r="N3" s="51">
        <v>0.31</v>
      </c>
      <c r="O3" s="51">
        <v>0.04</v>
      </c>
      <c r="P3" s="51"/>
      <c r="Q3" s="51">
        <v>2.81</v>
      </c>
      <c r="R3" s="51">
        <v>0.41</v>
      </c>
      <c r="S3" s="51">
        <v>0.09</v>
      </c>
      <c r="T3" s="51">
        <v>0.01</v>
      </c>
      <c r="U3" s="51">
        <v>0.04</v>
      </c>
      <c r="V3" s="51">
        <v>1.05</v>
      </c>
      <c r="W3" s="51">
        <v>163</v>
      </c>
      <c r="X3" s="51">
        <v>1460</v>
      </c>
      <c r="Y3" s="51">
        <v>3.9</v>
      </c>
      <c r="Z3" s="51">
        <v>5.5</v>
      </c>
      <c r="AA3" s="51"/>
      <c r="AB3" s="51"/>
      <c r="AC3" s="51">
        <v>7.18</v>
      </c>
      <c r="AD3" s="51">
        <v>37</v>
      </c>
      <c r="AE3" s="51"/>
      <c r="AF3" s="51">
        <v>248</v>
      </c>
      <c r="AG3" s="51"/>
      <c r="AH3" s="51">
        <v>743</v>
      </c>
      <c r="AI3" s="51">
        <v>9.26</v>
      </c>
      <c r="AJ3" s="51">
        <v>894</v>
      </c>
      <c r="AK3" s="51">
        <v>573</v>
      </c>
      <c r="AL3" s="51"/>
      <c r="AM3" s="51"/>
      <c r="AN3" s="51">
        <v>542</v>
      </c>
      <c r="AO3" s="51">
        <v>1.2</v>
      </c>
      <c r="AP3" s="51">
        <v>105</v>
      </c>
      <c r="AQ3" s="51"/>
      <c r="AR3" s="51">
        <v>108</v>
      </c>
      <c r="AS3" s="51">
        <v>56.6</v>
      </c>
      <c r="AT3" s="51">
        <v>21</v>
      </c>
      <c r="AU3" s="51">
        <v>6.4</v>
      </c>
      <c r="AV3" s="51"/>
      <c r="AW3" s="51">
        <v>23.4</v>
      </c>
      <c r="AX3" s="51"/>
      <c r="AY3" s="51">
        <v>759</v>
      </c>
      <c r="AZ3" s="51">
        <v>65.2</v>
      </c>
      <c r="BA3" s="51">
        <v>12200</v>
      </c>
    </row>
    <row r="4" spans="1:53" x14ac:dyDescent="0.25">
      <c r="A4" t="s">
        <v>162</v>
      </c>
      <c r="B4" t="s">
        <v>161</v>
      </c>
      <c r="D4" s="51">
        <v>52.2</v>
      </c>
      <c r="E4" s="51">
        <v>10.51</v>
      </c>
      <c r="F4" s="51">
        <v>6.04</v>
      </c>
      <c r="G4" s="51">
        <v>6.9</v>
      </c>
      <c r="H4" s="51">
        <v>3.58</v>
      </c>
      <c r="I4" s="51">
        <v>0.28000000000000003</v>
      </c>
      <c r="J4" s="51">
        <v>9.26</v>
      </c>
      <c r="K4" s="51">
        <v>3.39</v>
      </c>
      <c r="L4" s="51"/>
      <c r="M4" s="51">
        <v>0.68</v>
      </c>
      <c r="N4" s="51">
        <v>0.41</v>
      </c>
      <c r="O4">
        <v>0.04</v>
      </c>
      <c r="P4" s="51"/>
      <c r="Q4" s="51">
        <v>2.1800000000000002</v>
      </c>
      <c r="R4" s="51">
        <v>0.21</v>
      </c>
      <c r="S4" s="51">
        <v>0.06</v>
      </c>
      <c r="T4" s="51">
        <v>0.01</v>
      </c>
      <c r="U4" s="51">
        <v>0.3</v>
      </c>
      <c r="V4" s="51">
        <v>0.38</v>
      </c>
      <c r="W4" s="51">
        <v>187</v>
      </c>
      <c r="X4" s="51">
        <v>2640</v>
      </c>
      <c r="Y4" s="51">
        <v>3.5</v>
      </c>
      <c r="Z4" s="51">
        <v>3.9</v>
      </c>
      <c r="AA4" s="51"/>
      <c r="AB4" s="51"/>
      <c r="AC4" s="51">
        <v>18.3</v>
      </c>
      <c r="AD4" s="51">
        <v>41</v>
      </c>
      <c r="AE4" s="51"/>
      <c r="AF4" s="51">
        <v>594</v>
      </c>
      <c r="AG4" s="51"/>
      <c r="AH4" s="51">
        <v>1330</v>
      </c>
      <c r="AI4" s="51">
        <v>17.399999999999999</v>
      </c>
      <c r="AJ4" s="51">
        <v>1890</v>
      </c>
      <c r="AK4" s="51">
        <v>717</v>
      </c>
      <c r="AL4" s="51"/>
      <c r="AM4" s="51"/>
      <c r="AN4" s="51">
        <v>314</v>
      </c>
      <c r="AO4" s="51">
        <v>1.9</v>
      </c>
      <c r="AP4" s="51">
        <v>199</v>
      </c>
      <c r="AQ4" s="51"/>
      <c r="AR4" s="51">
        <v>193</v>
      </c>
      <c r="AS4" s="51">
        <v>18.7</v>
      </c>
      <c r="AT4" s="51">
        <v>34.200000000000003</v>
      </c>
      <c r="AU4" s="51">
        <v>59.4</v>
      </c>
      <c r="AV4" s="51"/>
      <c r="AW4" s="51">
        <v>20.6</v>
      </c>
      <c r="AX4" s="51"/>
      <c r="AY4" s="51">
        <v>1100</v>
      </c>
      <c r="AZ4" s="51">
        <v>129</v>
      </c>
      <c r="BA4" s="51">
        <v>20100</v>
      </c>
    </row>
    <row r="5" spans="1:53" x14ac:dyDescent="0.25">
      <c r="A5" t="s">
        <v>163</v>
      </c>
      <c r="B5" t="s">
        <v>161</v>
      </c>
      <c r="D5" s="51">
        <v>48.06</v>
      </c>
      <c r="E5" s="51">
        <v>8.16</v>
      </c>
      <c r="F5" s="51">
        <v>7.17</v>
      </c>
      <c r="G5" s="51">
        <v>17.079999999999998</v>
      </c>
      <c r="H5" s="51">
        <v>4.3899999999999997</v>
      </c>
      <c r="I5" s="51">
        <v>0.57999999999999996</v>
      </c>
      <c r="J5" s="51">
        <v>6.95</v>
      </c>
      <c r="K5" s="51">
        <v>2.79</v>
      </c>
      <c r="L5" s="51"/>
      <c r="M5" s="51">
        <v>0.56999999999999995</v>
      </c>
      <c r="N5" s="51">
        <v>0.48</v>
      </c>
      <c r="O5" s="51">
        <v>0.01</v>
      </c>
      <c r="P5" s="51"/>
      <c r="Q5" s="51">
        <v>1.66</v>
      </c>
      <c r="R5" s="51">
        <v>0.15</v>
      </c>
      <c r="S5" s="51">
        <v>0.05</v>
      </c>
      <c r="T5" s="51">
        <v>0</v>
      </c>
      <c r="U5" s="51">
        <v>0.04</v>
      </c>
      <c r="V5" s="51">
        <v>2.0699999999999998</v>
      </c>
      <c r="W5" s="51">
        <v>112</v>
      </c>
      <c r="X5" s="51">
        <v>429</v>
      </c>
      <c r="Y5" s="51">
        <v>1.8</v>
      </c>
      <c r="Z5" s="51">
        <v>4.4000000000000004</v>
      </c>
      <c r="AA5" s="51"/>
      <c r="AB5" s="51"/>
      <c r="AC5" s="51">
        <v>2.95</v>
      </c>
      <c r="AD5" s="51">
        <v>29</v>
      </c>
      <c r="AE5" s="51"/>
      <c r="AF5" s="51">
        <v>123</v>
      </c>
      <c r="AG5" s="51"/>
      <c r="AH5" s="51">
        <v>415</v>
      </c>
      <c r="AI5" s="51">
        <v>2.68</v>
      </c>
      <c r="AJ5" s="51">
        <v>419</v>
      </c>
      <c r="AK5" s="51">
        <v>246</v>
      </c>
      <c r="AL5" s="51"/>
      <c r="AM5" s="51"/>
      <c r="AN5" s="51">
        <v>186</v>
      </c>
      <c r="AO5" s="51">
        <v>18</v>
      </c>
      <c r="AP5" s="51">
        <v>72.099999999999994</v>
      </c>
      <c r="AQ5" s="51"/>
      <c r="AR5" s="51">
        <v>177</v>
      </c>
      <c r="AS5" s="51">
        <v>6</v>
      </c>
      <c r="AT5" s="51">
        <v>4.91</v>
      </c>
      <c r="AU5" s="51">
        <v>5.6</v>
      </c>
      <c r="AV5" s="51"/>
      <c r="AW5" s="51">
        <v>2.2999999999999998</v>
      </c>
      <c r="AX5" s="51"/>
      <c r="AY5" s="51">
        <v>162</v>
      </c>
      <c r="AZ5" s="51">
        <v>19.8</v>
      </c>
      <c r="BA5" s="51">
        <v>4230</v>
      </c>
    </row>
    <row r="6" spans="1:53" s="35" customFormat="1" x14ac:dyDescent="0.25">
      <c r="A6" s="47" t="s">
        <v>164</v>
      </c>
      <c r="B6" s="47" t="s">
        <v>161</v>
      </c>
      <c r="D6" s="38">
        <f t="shared" ref="D6:BA6" si="0">((D5*0.14)+(0.09*D4)+(0.77*D3))</f>
        <v>52.467399999999998</v>
      </c>
      <c r="E6" s="38">
        <f t="shared" si="0"/>
        <v>12.406300000000002</v>
      </c>
      <c r="F6" s="38">
        <f t="shared" si="0"/>
        <v>7.6303999999999998</v>
      </c>
      <c r="G6" s="38">
        <f t="shared" si="0"/>
        <v>5.6456</v>
      </c>
      <c r="H6" s="38">
        <f t="shared" si="0"/>
        <v>2.5538000000000003</v>
      </c>
      <c r="I6" s="38">
        <f t="shared" si="0"/>
        <v>0.28350000000000003</v>
      </c>
      <c r="J6" s="38">
        <f t="shared" si="0"/>
        <v>8.6131999999999991</v>
      </c>
      <c r="K6" s="38">
        <f t="shared" si="0"/>
        <v>3.8065000000000002</v>
      </c>
      <c r="L6" s="38">
        <f t="shared" si="0"/>
        <v>0</v>
      </c>
      <c r="M6" s="38">
        <f t="shared" si="0"/>
        <v>0.26419999999999999</v>
      </c>
      <c r="N6" s="38">
        <f t="shared" si="0"/>
        <v>0.34279999999999999</v>
      </c>
      <c r="O6" s="38">
        <f t="shared" si="0"/>
        <v>3.5799999999999998E-2</v>
      </c>
      <c r="P6" s="38">
        <f t="shared" si="0"/>
        <v>0</v>
      </c>
      <c r="Q6" s="38">
        <f t="shared" si="0"/>
        <v>2.5922999999999998</v>
      </c>
      <c r="R6" s="38">
        <f t="shared" si="0"/>
        <v>0.35559999999999997</v>
      </c>
      <c r="S6" s="38">
        <f t="shared" si="0"/>
        <v>8.1699999999999995E-2</v>
      </c>
      <c r="T6" s="38">
        <f t="shared" si="0"/>
        <v>8.6E-3</v>
      </c>
      <c r="U6" s="38">
        <f t="shared" si="0"/>
        <v>6.3400000000000012E-2</v>
      </c>
      <c r="V6" s="38">
        <f t="shared" si="0"/>
        <v>1.1325000000000001</v>
      </c>
      <c r="W6" s="38">
        <f t="shared" si="0"/>
        <v>158.02000000000001</v>
      </c>
      <c r="X6" s="38">
        <f t="shared" si="0"/>
        <v>1421.8600000000001</v>
      </c>
      <c r="Y6" s="38">
        <f t="shared" si="0"/>
        <v>3.5700000000000003</v>
      </c>
      <c r="Z6" s="38">
        <f t="shared" si="0"/>
        <v>5.202</v>
      </c>
      <c r="AA6" s="38">
        <f t="shared" si="0"/>
        <v>0</v>
      </c>
      <c r="AB6" s="38">
        <f t="shared" si="0"/>
        <v>0</v>
      </c>
      <c r="AC6" s="38">
        <f t="shared" si="0"/>
        <v>7.5885999999999996</v>
      </c>
      <c r="AD6" s="38">
        <f t="shared" si="0"/>
        <v>36.24</v>
      </c>
      <c r="AE6" s="38">
        <f t="shared" si="0"/>
        <v>0</v>
      </c>
      <c r="AF6" s="38">
        <f t="shared" si="0"/>
        <v>261.64</v>
      </c>
      <c r="AG6" s="38">
        <f t="shared" si="0"/>
        <v>0</v>
      </c>
      <c r="AH6" s="38">
        <f t="shared" si="0"/>
        <v>749.91000000000008</v>
      </c>
      <c r="AI6" s="38">
        <f t="shared" si="0"/>
        <v>9.0714000000000006</v>
      </c>
      <c r="AJ6" s="38">
        <f t="shared" si="0"/>
        <v>917.14</v>
      </c>
      <c r="AK6" s="38">
        <f t="shared" si="0"/>
        <v>540.18000000000006</v>
      </c>
      <c r="AL6" s="38">
        <f t="shared" si="0"/>
        <v>0</v>
      </c>
      <c r="AM6" s="38">
        <f t="shared" si="0"/>
        <v>0</v>
      </c>
      <c r="AN6" s="38">
        <f t="shared" si="0"/>
        <v>471.64000000000004</v>
      </c>
      <c r="AO6" s="38">
        <f t="shared" si="0"/>
        <v>3.6150000000000002</v>
      </c>
      <c r="AP6" s="38">
        <f t="shared" si="0"/>
        <v>108.85400000000001</v>
      </c>
      <c r="AQ6" s="38">
        <f t="shared" si="0"/>
        <v>0</v>
      </c>
      <c r="AR6" s="38">
        <f t="shared" si="0"/>
        <v>125.31</v>
      </c>
      <c r="AS6" s="38">
        <f t="shared" si="0"/>
        <v>46.105000000000004</v>
      </c>
      <c r="AT6" s="38">
        <f t="shared" si="0"/>
        <v>19.935400000000001</v>
      </c>
      <c r="AU6" s="38">
        <f t="shared" si="0"/>
        <v>11.058</v>
      </c>
      <c r="AV6" s="38">
        <f t="shared" si="0"/>
        <v>0</v>
      </c>
      <c r="AW6" s="38">
        <f t="shared" si="0"/>
        <v>20.194000000000003</v>
      </c>
      <c r="AX6" s="38">
        <f t="shared" si="0"/>
        <v>0</v>
      </c>
      <c r="AY6" s="38">
        <f t="shared" si="0"/>
        <v>706.11000000000013</v>
      </c>
      <c r="AZ6" s="38">
        <f t="shared" si="0"/>
        <v>64.585999999999999</v>
      </c>
      <c r="BA6" s="38">
        <f t="shared" si="0"/>
        <v>11795.2</v>
      </c>
    </row>
    <row r="7" spans="1:53" s="35" customFormat="1" x14ac:dyDescent="0.25">
      <c r="A7" s="35" t="s">
        <v>165</v>
      </c>
      <c r="D7" s="38">
        <f>D6*0.5+D8*0.5</f>
        <v>52.078699999999998</v>
      </c>
      <c r="E7" s="38">
        <f t="shared" ref="E7:BA7" si="1">E6*0.5+E8*0.5</f>
        <v>11.663150000000002</v>
      </c>
      <c r="F7" s="38">
        <f t="shared" si="1"/>
        <v>9.8401999999999994</v>
      </c>
      <c r="G7" s="38">
        <f t="shared" si="1"/>
        <v>3.8628</v>
      </c>
      <c r="H7" s="38">
        <f t="shared" si="1"/>
        <v>1.9519000000000002</v>
      </c>
      <c r="I7" s="38">
        <f t="shared" si="1"/>
        <v>0.14675000000000002</v>
      </c>
      <c r="J7" s="38">
        <f t="shared" si="1"/>
        <v>4.3065999999999995</v>
      </c>
      <c r="K7" s="38">
        <f t="shared" si="1"/>
        <v>3.3032500000000002</v>
      </c>
      <c r="L7" s="38">
        <f t="shared" si="1"/>
        <v>0</v>
      </c>
      <c r="M7" s="38">
        <f t="shared" si="1"/>
        <v>0.2571</v>
      </c>
      <c r="N7" s="38">
        <f t="shared" si="1"/>
        <v>0.1714</v>
      </c>
      <c r="O7" s="38">
        <f t="shared" si="1"/>
        <v>2.7900000000000001E-2</v>
      </c>
      <c r="P7" s="38">
        <f t="shared" si="1"/>
        <v>0</v>
      </c>
      <c r="Q7" s="38">
        <f t="shared" si="1"/>
        <v>1.4511499999999999</v>
      </c>
      <c r="R7" s="38">
        <f t="shared" si="1"/>
        <v>0.17779999999999999</v>
      </c>
      <c r="S7" s="38">
        <f t="shared" si="1"/>
        <v>4.0849999999999997E-2</v>
      </c>
      <c r="T7" s="38">
        <f t="shared" si="1"/>
        <v>4.3E-3</v>
      </c>
      <c r="U7" s="38">
        <f t="shared" si="1"/>
        <v>3.1700000000000006E-2</v>
      </c>
      <c r="V7" s="38">
        <f t="shared" si="1"/>
        <v>0.59625000000000006</v>
      </c>
      <c r="W7" s="38">
        <f t="shared" si="1"/>
        <v>79.010000000000005</v>
      </c>
      <c r="X7" s="38">
        <f t="shared" si="1"/>
        <v>710.93000000000006</v>
      </c>
      <c r="Y7" s="38">
        <f t="shared" si="1"/>
        <v>1.7850000000000001</v>
      </c>
      <c r="Z7" s="38">
        <f t="shared" si="1"/>
        <v>2.601</v>
      </c>
      <c r="AA7" s="38">
        <f t="shared" si="1"/>
        <v>0</v>
      </c>
      <c r="AB7" s="38">
        <f t="shared" si="1"/>
        <v>0</v>
      </c>
      <c r="AC7" s="38">
        <f t="shared" si="1"/>
        <v>3.7942999999999998</v>
      </c>
      <c r="AD7" s="38">
        <f t="shared" si="1"/>
        <v>18.12</v>
      </c>
      <c r="AE7" s="38">
        <f t="shared" si="1"/>
        <v>0</v>
      </c>
      <c r="AF7" s="38">
        <f t="shared" si="1"/>
        <v>130.82</v>
      </c>
      <c r="AG7" s="38">
        <f t="shared" si="1"/>
        <v>0</v>
      </c>
      <c r="AH7" s="38">
        <f t="shared" si="1"/>
        <v>374.95500000000004</v>
      </c>
      <c r="AI7" s="38">
        <f t="shared" si="1"/>
        <v>4.5357000000000003</v>
      </c>
      <c r="AJ7" s="38">
        <f t="shared" si="1"/>
        <v>458.57</v>
      </c>
      <c r="AK7" s="38">
        <f t="shared" si="1"/>
        <v>270.09000000000003</v>
      </c>
      <c r="AL7" s="38">
        <f t="shared" si="1"/>
        <v>0</v>
      </c>
      <c r="AM7" s="38">
        <f t="shared" si="1"/>
        <v>0</v>
      </c>
      <c r="AN7" s="38">
        <f t="shared" si="1"/>
        <v>235.82000000000002</v>
      </c>
      <c r="AO7" s="38">
        <f t="shared" si="1"/>
        <v>1.8075000000000001</v>
      </c>
      <c r="AP7" s="38">
        <f t="shared" si="1"/>
        <v>54.427000000000007</v>
      </c>
      <c r="AQ7" s="38">
        <f t="shared" si="1"/>
        <v>0</v>
      </c>
      <c r="AR7" s="38">
        <f t="shared" si="1"/>
        <v>62.655000000000001</v>
      </c>
      <c r="AS7" s="38">
        <f t="shared" si="1"/>
        <v>23.052500000000002</v>
      </c>
      <c r="AT7" s="38">
        <f t="shared" si="1"/>
        <v>9.9677000000000007</v>
      </c>
      <c r="AU7" s="38">
        <f t="shared" si="1"/>
        <v>5.5289999999999999</v>
      </c>
      <c r="AV7" s="38">
        <f t="shared" si="1"/>
        <v>0</v>
      </c>
      <c r="AW7" s="38">
        <f t="shared" si="1"/>
        <v>21.797000000000001</v>
      </c>
      <c r="AX7" s="38">
        <f t="shared" si="1"/>
        <v>0</v>
      </c>
      <c r="AY7" s="38">
        <f t="shared" si="1"/>
        <v>835.05500000000006</v>
      </c>
      <c r="AZ7" s="38">
        <f t="shared" si="1"/>
        <v>32.292999999999999</v>
      </c>
      <c r="BA7" s="38">
        <f t="shared" si="1"/>
        <v>5897.6</v>
      </c>
    </row>
    <row r="8" spans="1:53" x14ac:dyDescent="0.25">
      <c r="A8" t="s">
        <v>166</v>
      </c>
      <c r="B8" t="s">
        <v>167</v>
      </c>
      <c r="D8" s="8">
        <v>51.69</v>
      </c>
      <c r="E8" s="8">
        <v>10.92</v>
      </c>
      <c r="F8" s="8">
        <v>12.05</v>
      </c>
      <c r="G8" s="8">
        <v>2.08</v>
      </c>
      <c r="H8" s="8">
        <v>1.35</v>
      </c>
      <c r="I8" s="8">
        <v>0.01</v>
      </c>
      <c r="J8" s="8"/>
      <c r="K8" s="8">
        <v>2.8</v>
      </c>
      <c r="L8" s="8"/>
      <c r="M8" s="8">
        <v>0.25</v>
      </c>
      <c r="N8" s="8"/>
      <c r="O8" s="8">
        <v>0.02</v>
      </c>
      <c r="P8" s="8"/>
      <c r="Q8" s="8">
        <v>0.31</v>
      </c>
      <c r="R8" s="8"/>
      <c r="S8" s="8"/>
      <c r="T8" s="8"/>
      <c r="U8" s="8"/>
      <c r="V8" s="8">
        <v>0.06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>
        <v>23.4</v>
      </c>
      <c r="AX8" s="8"/>
      <c r="AY8" s="8">
        <v>964</v>
      </c>
      <c r="AZ8" s="8"/>
      <c r="BA8" s="8"/>
    </row>
    <row r="9" spans="1:53" x14ac:dyDescent="0.25">
      <c r="A9" t="s">
        <v>168</v>
      </c>
      <c r="B9" t="s">
        <v>161</v>
      </c>
      <c r="D9" s="8">
        <v>53.24</v>
      </c>
      <c r="E9" s="8">
        <v>15.08</v>
      </c>
      <c r="F9" s="8">
        <v>8.83</v>
      </c>
      <c r="G9" s="8">
        <v>2.2000000000000002</v>
      </c>
      <c r="H9" s="8">
        <v>0.79</v>
      </c>
      <c r="I9" s="8">
        <v>0.19</v>
      </c>
      <c r="J9" s="8">
        <v>11.52</v>
      </c>
      <c r="K9" s="8">
        <v>3.32</v>
      </c>
      <c r="L9" s="8"/>
      <c r="M9">
        <v>0.17</v>
      </c>
      <c r="N9">
        <v>0.21</v>
      </c>
      <c r="O9">
        <v>0.03</v>
      </c>
      <c r="P9" s="8"/>
      <c r="Q9" s="8">
        <v>1.98</v>
      </c>
      <c r="R9" s="8">
        <v>0.15</v>
      </c>
      <c r="S9" s="8">
        <v>0.09</v>
      </c>
      <c r="T9" s="8">
        <v>0.04</v>
      </c>
      <c r="U9" s="8">
        <v>0.05</v>
      </c>
      <c r="V9" s="8">
        <v>0.04</v>
      </c>
      <c r="W9" s="8">
        <v>68</v>
      </c>
      <c r="X9" s="8">
        <v>1760</v>
      </c>
      <c r="Y9" s="8">
        <v>1.1000000000000001</v>
      </c>
      <c r="Z9">
        <v>5.0999999999999996</v>
      </c>
      <c r="AA9" s="8"/>
      <c r="AB9" s="8"/>
      <c r="AC9" s="8">
        <v>11.6</v>
      </c>
      <c r="AD9" s="8">
        <v>56</v>
      </c>
      <c r="AE9" s="8"/>
      <c r="AF9">
        <v>121</v>
      </c>
      <c r="AG9" s="8"/>
      <c r="AH9" s="8">
        <v>844</v>
      </c>
      <c r="AI9" s="8">
        <v>6.79</v>
      </c>
      <c r="AJ9">
        <v>595</v>
      </c>
      <c r="AK9">
        <v>684</v>
      </c>
      <c r="AL9" s="8"/>
      <c r="AM9" s="8"/>
      <c r="AN9" s="8">
        <v>665</v>
      </c>
      <c r="AO9" s="8">
        <v>0.21</v>
      </c>
      <c r="AP9">
        <v>107</v>
      </c>
      <c r="AQ9" s="8"/>
      <c r="AR9">
        <v>51</v>
      </c>
      <c r="AS9">
        <v>21.3</v>
      </c>
      <c r="AT9">
        <v>17.899999999999999</v>
      </c>
      <c r="AU9">
        <v>72.099999999999994</v>
      </c>
      <c r="AV9" s="8"/>
      <c r="AW9">
        <v>21.7</v>
      </c>
      <c r="AX9" s="8"/>
      <c r="AY9">
        <v>607</v>
      </c>
      <c r="AZ9">
        <v>56.7</v>
      </c>
      <c r="BA9">
        <v>6620</v>
      </c>
    </row>
    <row r="10" spans="1:53" x14ac:dyDescent="0.25">
      <c r="A10" t="s">
        <v>169</v>
      </c>
      <c r="B10" t="s">
        <v>161</v>
      </c>
      <c r="D10">
        <v>53.06</v>
      </c>
      <c r="E10">
        <v>14.29</v>
      </c>
      <c r="F10" s="8">
        <v>2.89</v>
      </c>
      <c r="G10" s="8">
        <v>7.75</v>
      </c>
      <c r="H10">
        <v>0.38</v>
      </c>
      <c r="I10">
        <v>0.14000000000000001</v>
      </c>
      <c r="J10">
        <v>9.84</v>
      </c>
      <c r="K10">
        <v>3.42</v>
      </c>
      <c r="L10" s="8"/>
      <c r="M10">
        <v>0.15</v>
      </c>
      <c r="N10">
        <v>0.44</v>
      </c>
      <c r="O10">
        <v>0.54</v>
      </c>
      <c r="P10" s="8"/>
      <c r="Q10" s="8">
        <v>4.26</v>
      </c>
      <c r="R10" s="8">
        <v>0.13</v>
      </c>
      <c r="S10" s="8">
        <v>0.06</v>
      </c>
      <c r="T10" s="8">
        <v>0.15</v>
      </c>
      <c r="U10" s="8">
        <v>0.02</v>
      </c>
      <c r="V10" s="8">
        <v>0.15</v>
      </c>
      <c r="W10" s="8">
        <v>47</v>
      </c>
      <c r="X10" s="8">
        <v>5040</v>
      </c>
      <c r="Y10" s="8">
        <v>1.8</v>
      </c>
      <c r="Z10" s="8">
        <v>7.4</v>
      </c>
      <c r="AA10" s="8"/>
      <c r="AB10" s="8"/>
      <c r="AC10" s="8">
        <v>17.3</v>
      </c>
      <c r="AD10" s="8">
        <v>58</v>
      </c>
      <c r="AE10" s="8"/>
      <c r="AF10" s="8">
        <v>60.6</v>
      </c>
      <c r="AG10" s="8"/>
      <c r="AH10" s="8">
        <v>3690</v>
      </c>
      <c r="AI10" s="8">
        <v>5.32</v>
      </c>
      <c r="AJ10" s="8">
        <v>499</v>
      </c>
      <c r="AK10" s="8">
        <v>1570</v>
      </c>
      <c r="AL10" s="8"/>
      <c r="AM10" s="8"/>
      <c r="AN10" s="8">
        <v>551</v>
      </c>
      <c r="AO10" s="8">
        <v>0.52</v>
      </c>
      <c r="AP10" s="8">
        <v>176</v>
      </c>
      <c r="AQ10" s="8"/>
      <c r="AR10" s="8">
        <v>61</v>
      </c>
      <c r="AS10" s="8">
        <v>19.2</v>
      </c>
      <c r="AT10" s="8">
        <v>23.1</v>
      </c>
      <c r="AU10" s="8">
        <v>63.5</v>
      </c>
      <c r="AV10" s="8"/>
      <c r="AW10" s="8">
        <v>124</v>
      </c>
      <c r="AX10" s="8"/>
      <c r="AY10" s="8">
        <v>642</v>
      </c>
      <c r="AZ10">
        <v>40.1</v>
      </c>
      <c r="BA10" s="8">
        <v>5270</v>
      </c>
    </row>
    <row r="11" spans="1:53" x14ac:dyDescent="0.25">
      <c r="A11" t="s">
        <v>169</v>
      </c>
      <c r="B11" t="s">
        <v>170</v>
      </c>
      <c r="D11">
        <v>51.22</v>
      </c>
      <c r="E11">
        <v>12.06</v>
      </c>
      <c r="F11">
        <v>5.44</v>
      </c>
      <c r="G11">
        <v>8.8000000000000007</v>
      </c>
      <c r="H11">
        <v>0.26</v>
      </c>
      <c r="I11">
        <v>0.06</v>
      </c>
      <c r="J11">
        <v>9.9</v>
      </c>
      <c r="K11">
        <v>3.31</v>
      </c>
      <c r="L11" s="8"/>
      <c r="M11">
        <v>0.24</v>
      </c>
      <c r="N11">
        <v>0.56000000000000005</v>
      </c>
      <c r="O11">
        <v>0.73</v>
      </c>
      <c r="P11" s="8"/>
      <c r="Q11" s="8"/>
      <c r="R11" s="8"/>
      <c r="S11" s="8"/>
      <c r="T11">
        <v>0.15</v>
      </c>
      <c r="U11" s="8"/>
      <c r="V11">
        <v>0.04</v>
      </c>
      <c r="W11">
        <v>75</v>
      </c>
      <c r="X11">
        <v>3900</v>
      </c>
      <c r="Y11" s="8"/>
      <c r="Z11">
        <v>12</v>
      </c>
      <c r="AA11" s="8"/>
      <c r="AB11" s="8"/>
      <c r="AC11" s="8"/>
      <c r="AD11">
        <v>101</v>
      </c>
      <c r="AE11" s="8"/>
      <c r="AF11" s="8"/>
      <c r="AG11" s="8"/>
      <c r="AH11">
        <v>3210</v>
      </c>
      <c r="AI11" s="8"/>
      <c r="AJ11">
        <v>480</v>
      </c>
      <c r="AK11">
        <v>937</v>
      </c>
      <c r="AL11" s="8"/>
      <c r="AM11" s="8"/>
      <c r="AN11">
        <v>557</v>
      </c>
      <c r="AO11" s="8"/>
      <c r="AP11" s="8"/>
      <c r="AQ11" s="8"/>
      <c r="AR11">
        <v>46</v>
      </c>
      <c r="AS11" s="8"/>
      <c r="AT11" s="8"/>
      <c r="AU11">
        <v>76</v>
      </c>
      <c r="AV11" s="8"/>
      <c r="AW11">
        <v>95</v>
      </c>
      <c r="AX11" s="8"/>
      <c r="AY11">
        <v>595</v>
      </c>
      <c r="BA11" s="8"/>
    </row>
    <row r="12" spans="1:53" x14ac:dyDescent="0.25">
      <c r="A12" t="s">
        <v>171</v>
      </c>
      <c r="B12" t="s">
        <v>170</v>
      </c>
      <c r="D12">
        <v>48.25</v>
      </c>
      <c r="E12">
        <v>12.3</v>
      </c>
      <c r="F12">
        <v>7.03</v>
      </c>
      <c r="G12">
        <v>7.72</v>
      </c>
      <c r="H12">
        <v>0.14000000000000001</v>
      </c>
      <c r="I12">
        <v>0.02</v>
      </c>
      <c r="J12">
        <v>14.31</v>
      </c>
      <c r="K12">
        <v>3.41</v>
      </c>
      <c r="L12" s="8"/>
      <c r="M12">
        <v>0.25</v>
      </c>
      <c r="N12">
        <v>0.54</v>
      </c>
      <c r="O12">
        <v>0.57999999999999996</v>
      </c>
      <c r="P12" s="8"/>
      <c r="Q12" s="8"/>
      <c r="R12" s="8"/>
      <c r="S12" s="8"/>
      <c r="T12">
        <v>0.16</v>
      </c>
      <c r="U12" s="8"/>
      <c r="V12">
        <v>1.04</v>
      </c>
      <c r="W12">
        <v>29</v>
      </c>
      <c r="X12">
        <v>2350</v>
      </c>
      <c r="Y12" s="8"/>
      <c r="Z12">
        <v>8.6</v>
      </c>
      <c r="AA12" s="8"/>
      <c r="AB12" s="8"/>
      <c r="AC12" s="8"/>
      <c r="AD12">
        <v>115</v>
      </c>
      <c r="AE12" s="8"/>
      <c r="AF12" s="8"/>
      <c r="AG12" s="8"/>
      <c r="AH12">
        <v>2060</v>
      </c>
      <c r="AI12" s="8"/>
      <c r="AJ12">
        <v>275</v>
      </c>
      <c r="AK12">
        <v>529</v>
      </c>
      <c r="AL12" s="8"/>
      <c r="AM12" s="8"/>
      <c r="AN12">
        <v>936</v>
      </c>
      <c r="AO12" s="8"/>
      <c r="AP12" s="8"/>
      <c r="AQ12" s="8"/>
      <c r="AR12">
        <v>30</v>
      </c>
      <c r="AS12" s="8"/>
      <c r="AT12" s="8"/>
      <c r="AU12">
        <v>89</v>
      </c>
      <c r="AV12" s="8"/>
      <c r="AW12">
        <v>196</v>
      </c>
      <c r="AX12" s="8"/>
      <c r="AY12">
        <v>671</v>
      </c>
      <c r="BA12" s="8"/>
    </row>
    <row r="13" spans="1:53" x14ac:dyDescent="0.25">
      <c r="A13" t="s">
        <v>172</v>
      </c>
      <c r="B13" t="s">
        <v>170</v>
      </c>
      <c r="D13">
        <v>50.02</v>
      </c>
      <c r="E13">
        <v>13.12</v>
      </c>
      <c r="F13">
        <v>4.2699999999999996</v>
      </c>
      <c r="G13">
        <v>9.4</v>
      </c>
      <c r="H13">
        <v>0.19</v>
      </c>
      <c r="I13">
        <v>0.03</v>
      </c>
      <c r="J13">
        <v>12.41</v>
      </c>
      <c r="K13">
        <v>3.28</v>
      </c>
      <c r="L13" s="8"/>
      <c r="M13">
        <v>0.22</v>
      </c>
      <c r="N13">
        <v>0.7</v>
      </c>
      <c r="O13">
        <v>0.48</v>
      </c>
      <c r="P13" s="8"/>
      <c r="Q13" s="8"/>
      <c r="R13" s="8"/>
      <c r="S13" s="8"/>
      <c r="T13">
        <v>0.21</v>
      </c>
      <c r="U13" s="8"/>
      <c r="V13">
        <v>0.48</v>
      </c>
      <c r="W13">
        <v>32</v>
      </c>
      <c r="X13">
        <v>3460</v>
      </c>
      <c r="Y13" s="8"/>
      <c r="Z13">
        <v>30</v>
      </c>
      <c r="AA13" s="8"/>
      <c r="AB13" s="8"/>
      <c r="AC13" s="8"/>
      <c r="AD13">
        <v>131</v>
      </c>
      <c r="AE13" s="8"/>
      <c r="AF13" s="8"/>
      <c r="AG13" s="8"/>
      <c r="AH13">
        <v>2490</v>
      </c>
      <c r="AI13" s="8"/>
      <c r="AJ13">
        <v>428</v>
      </c>
      <c r="AK13">
        <v>899</v>
      </c>
      <c r="AL13" s="8"/>
      <c r="AM13" s="8"/>
      <c r="AN13">
        <v>971</v>
      </c>
      <c r="AO13" s="8"/>
      <c r="AP13" s="8"/>
      <c r="AQ13" s="8"/>
      <c r="AR13">
        <v>33</v>
      </c>
      <c r="AS13" s="8"/>
      <c r="AT13" s="8"/>
      <c r="AU13">
        <v>970</v>
      </c>
      <c r="AV13" s="8"/>
      <c r="AW13">
        <v>358</v>
      </c>
      <c r="AX13" s="8"/>
      <c r="AY13">
        <v>929</v>
      </c>
      <c r="BA13" s="8"/>
    </row>
    <row r="14" spans="1:53" x14ac:dyDescent="0.25">
      <c r="A14" t="s">
        <v>173</v>
      </c>
      <c r="B14" t="s">
        <v>161</v>
      </c>
      <c r="D14">
        <v>53.87</v>
      </c>
      <c r="E14">
        <v>12.94</v>
      </c>
      <c r="F14" s="8">
        <v>3.48</v>
      </c>
      <c r="G14" s="8">
        <v>8.2899999999999991</v>
      </c>
      <c r="H14">
        <v>0.28999999999999998</v>
      </c>
      <c r="I14">
        <v>0.1</v>
      </c>
      <c r="J14" s="8">
        <v>7.91</v>
      </c>
      <c r="K14" s="8">
        <v>5.34</v>
      </c>
      <c r="L14" s="8"/>
      <c r="M14">
        <v>0.43</v>
      </c>
      <c r="N14">
        <v>0.61</v>
      </c>
      <c r="O14">
        <v>0.47</v>
      </c>
      <c r="P14" s="8"/>
      <c r="Q14" s="8">
        <v>3.01</v>
      </c>
      <c r="R14" s="8">
        <v>0.12</v>
      </c>
      <c r="S14" s="8">
        <v>0.04</v>
      </c>
      <c r="T14" s="8">
        <v>0.14000000000000001</v>
      </c>
      <c r="U14" s="8">
        <v>0</v>
      </c>
      <c r="V14" s="8">
        <v>0.12</v>
      </c>
      <c r="W14" s="8">
        <v>58</v>
      </c>
      <c r="X14" s="8">
        <v>3960</v>
      </c>
      <c r="Y14" s="8">
        <v>1.9</v>
      </c>
      <c r="Z14" s="8">
        <v>82</v>
      </c>
      <c r="AA14" s="8"/>
      <c r="AB14" s="8"/>
      <c r="AC14" s="8">
        <v>8.6300000000000008</v>
      </c>
      <c r="AD14" s="8">
        <v>66</v>
      </c>
      <c r="AE14" s="8"/>
      <c r="AF14" s="8">
        <v>7.7</v>
      </c>
      <c r="AG14" s="8"/>
      <c r="AH14" s="8">
        <v>2830</v>
      </c>
      <c r="AI14" s="8">
        <v>2.41</v>
      </c>
      <c r="AJ14" s="8">
        <v>892</v>
      </c>
      <c r="AK14" s="8">
        <v>1150</v>
      </c>
      <c r="AL14" s="8"/>
      <c r="AM14" s="8"/>
      <c r="AN14" s="8">
        <v>1280</v>
      </c>
      <c r="AO14" s="8">
        <v>0.09</v>
      </c>
      <c r="AP14" s="8">
        <v>98.8</v>
      </c>
      <c r="AQ14" s="8"/>
      <c r="AR14" s="8">
        <v>45</v>
      </c>
      <c r="AS14" s="8">
        <v>48.4</v>
      </c>
      <c r="AT14" s="8">
        <v>10.7</v>
      </c>
      <c r="AU14" s="8">
        <v>329</v>
      </c>
      <c r="AV14" s="8"/>
      <c r="AW14" s="8">
        <v>187</v>
      </c>
      <c r="AX14" s="8"/>
      <c r="AY14" s="8">
        <v>297</v>
      </c>
      <c r="AZ14">
        <v>17.3</v>
      </c>
      <c r="BA14" s="8">
        <v>709</v>
      </c>
    </row>
    <row r="15" spans="1:53" x14ac:dyDescent="0.25"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</row>
    <row r="16" spans="1:53" x14ac:dyDescent="0.25"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</row>
    <row r="17" spans="1:71" x14ac:dyDescent="0.25"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</row>
    <row r="18" spans="1:71" s="35" customFormat="1" x14ac:dyDescent="0.25">
      <c r="A18" s="47" t="s">
        <v>174</v>
      </c>
      <c r="B18" s="47"/>
      <c r="D18" s="38">
        <f t="shared" ref="D18:BA18" si="2">((0.3*AVERAGE(D8:D9))+(0.6*AVERAGE(D10:D13))+(0.1*AVERAGE(D14)))</f>
        <v>51.509</v>
      </c>
      <c r="E18" s="38">
        <f t="shared" si="2"/>
        <v>12.9595</v>
      </c>
      <c r="F18" s="38">
        <f t="shared" si="2"/>
        <v>6.4244999999999992</v>
      </c>
      <c r="G18" s="38">
        <f t="shared" si="2"/>
        <v>6.5215000000000005</v>
      </c>
      <c r="H18" s="38">
        <f t="shared" si="2"/>
        <v>0.49550000000000005</v>
      </c>
      <c r="I18" s="38">
        <f t="shared" si="2"/>
        <v>7.7500000000000013E-2</v>
      </c>
      <c r="J18" s="38">
        <f t="shared" si="2"/>
        <v>11.216000000000001</v>
      </c>
      <c r="K18" s="38">
        <f t="shared" si="2"/>
        <v>3.4649999999999999</v>
      </c>
      <c r="L18" s="38" t="e">
        <f t="shared" si="2"/>
        <v>#DIV/0!</v>
      </c>
      <c r="M18" s="38">
        <f t="shared" si="2"/>
        <v>0.23500000000000001</v>
      </c>
      <c r="N18" s="38">
        <f t="shared" si="2"/>
        <v>0.46</v>
      </c>
      <c r="O18" s="38">
        <f t="shared" si="2"/>
        <v>0.40399999999999997</v>
      </c>
      <c r="P18" s="38" t="e">
        <f t="shared" si="2"/>
        <v>#DIV/0!</v>
      </c>
      <c r="Q18" s="38">
        <f t="shared" si="2"/>
        <v>3.2004999999999999</v>
      </c>
      <c r="R18" s="38">
        <f t="shared" si="2"/>
        <v>0.13500000000000001</v>
      </c>
      <c r="S18" s="38">
        <f t="shared" si="2"/>
        <v>6.7000000000000004E-2</v>
      </c>
      <c r="T18" s="38">
        <f t="shared" si="2"/>
        <v>0.1265</v>
      </c>
      <c r="U18" s="38">
        <f t="shared" si="2"/>
        <v>2.7E-2</v>
      </c>
      <c r="V18" s="38">
        <f t="shared" si="2"/>
        <v>0.28350000000000003</v>
      </c>
      <c r="W18" s="38">
        <f t="shared" si="2"/>
        <v>53.649999999999991</v>
      </c>
      <c r="X18" s="38">
        <f t="shared" si="2"/>
        <v>3136.5</v>
      </c>
      <c r="Y18" s="38">
        <f t="shared" si="2"/>
        <v>1.6</v>
      </c>
      <c r="Z18" s="38">
        <f t="shared" si="2"/>
        <v>18.43</v>
      </c>
      <c r="AA18" s="38" t="e">
        <f t="shared" si="2"/>
        <v>#DIV/0!</v>
      </c>
      <c r="AB18" s="38" t="e">
        <f t="shared" si="2"/>
        <v>#DIV/0!</v>
      </c>
      <c r="AC18" s="38">
        <f t="shared" si="2"/>
        <v>14.723000000000001</v>
      </c>
      <c r="AD18" s="38">
        <f t="shared" si="2"/>
        <v>84.149999999999991</v>
      </c>
      <c r="AE18" s="38" t="e">
        <f t="shared" si="2"/>
        <v>#DIV/0!</v>
      </c>
      <c r="AF18" s="38">
        <f t="shared" si="2"/>
        <v>73.429999999999993</v>
      </c>
      <c r="AG18" s="38" t="e">
        <f t="shared" si="2"/>
        <v>#DIV/0!</v>
      </c>
      <c r="AH18" s="38">
        <f t="shared" si="2"/>
        <v>2253.6999999999998</v>
      </c>
      <c r="AI18" s="38">
        <f t="shared" si="2"/>
        <v>5.47</v>
      </c>
      <c r="AJ18" s="38">
        <f t="shared" si="2"/>
        <v>520</v>
      </c>
      <c r="AK18" s="38">
        <f t="shared" si="2"/>
        <v>910.45</v>
      </c>
      <c r="AL18" s="38" t="e">
        <f t="shared" si="2"/>
        <v>#DIV/0!</v>
      </c>
      <c r="AM18" s="38" t="e">
        <f t="shared" si="2"/>
        <v>#DIV/0!</v>
      </c>
      <c r="AN18" s="38">
        <f t="shared" si="2"/>
        <v>779.75</v>
      </c>
      <c r="AO18" s="38">
        <f t="shared" si="2"/>
        <v>0.38400000000000001</v>
      </c>
      <c r="AP18" s="38">
        <f t="shared" si="2"/>
        <v>147.57999999999998</v>
      </c>
      <c r="AQ18" s="38" t="e">
        <f t="shared" si="2"/>
        <v>#DIV/0!</v>
      </c>
      <c r="AR18" s="38">
        <f t="shared" si="2"/>
        <v>45.3</v>
      </c>
      <c r="AS18" s="38">
        <f t="shared" si="2"/>
        <v>22.75</v>
      </c>
      <c r="AT18" s="38">
        <f t="shared" si="2"/>
        <v>20.3</v>
      </c>
      <c r="AU18" s="38">
        <f t="shared" si="2"/>
        <v>234.30500000000001</v>
      </c>
      <c r="AV18" s="38" t="e">
        <f t="shared" si="2"/>
        <v>#DIV/0!</v>
      </c>
      <c r="AW18" s="38">
        <f t="shared" si="2"/>
        <v>141.41499999999999</v>
      </c>
      <c r="AX18" s="38" t="e">
        <f t="shared" si="2"/>
        <v>#DIV/0!</v>
      </c>
      <c r="AY18" s="38">
        <f t="shared" si="2"/>
        <v>690.90000000000009</v>
      </c>
      <c r="AZ18" s="38">
        <f t="shared" si="2"/>
        <v>42.8</v>
      </c>
      <c r="BA18" s="38">
        <f t="shared" si="2"/>
        <v>5218.8999999999996</v>
      </c>
    </row>
    <row r="19" spans="1:71" x14ac:dyDescent="0.25">
      <c r="A19" t="s">
        <v>175</v>
      </c>
      <c r="B19" t="s">
        <v>161</v>
      </c>
      <c r="D19" s="8">
        <v>48.25</v>
      </c>
      <c r="E19" s="8">
        <v>19.3</v>
      </c>
      <c r="F19" s="8">
        <v>4.07</v>
      </c>
      <c r="G19" s="8">
        <v>3.08</v>
      </c>
      <c r="H19" s="8">
        <v>1.68</v>
      </c>
      <c r="I19" s="8">
        <v>0.1</v>
      </c>
      <c r="J19" s="8">
        <v>14.37</v>
      </c>
      <c r="K19" s="8">
        <v>3.41</v>
      </c>
      <c r="L19" s="8"/>
      <c r="M19" s="8">
        <v>0.32</v>
      </c>
      <c r="N19" s="8">
        <v>0.21</v>
      </c>
      <c r="O19" s="8">
        <v>0.06</v>
      </c>
      <c r="P19" s="8"/>
      <c r="Q19" s="8">
        <v>1.25</v>
      </c>
      <c r="R19" s="8">
        <v>0.17</v>
      </c>
      <c r="S19" s="8">
        <v>0.11</v>
      </c>
      <c r="T19" s="8">
        <v>0.08</v>
      </c>
      <c r="U19" s="8">
        <v>2.34</v>
      </c>
      <c r="V19" s="8">
        <v>0.16</v>
      </c>
      <c r="W19" s="8">
        <v>11</v>
      </c>
      <c r="X19" s="8">
        <v>1180</v>
      </c>
      <c r="Y19" s="8">
        <v>8.1999999999999993</v>
      </c>
      <c r="Z19" s="8">
        <v>6.2</v>
      </c>
      <c r="AA19" s="8">
        <v>0</v>
      </c>
      <c r="AB19" s="8">
        <v>0</v>
      </c>
      <c r="AC19" s="8">
        <v>9.6300000000000008</v>
      </c>
      <c r="AD19" s="8">
        <v>23</v>
      </c>
      <c r="AE19" s="8">
        <v>0</v>
      </c>
      <c r="AF19" s="8">
        <v>76.2</v>
      </c>
      <c r="AG19" s="8">
        <v>0</v>
      </c>
      <c r="AH19" s="8">
        <v>594</v>
      </c>
      <c r="AI19" s="8">
        <v>5.24</v>
      </c>
      <c r="AJ19" s="8">
        <v>742</v>
      </c>
      <c r="AK19" s="8">
        <v>540</v>
      </c>
      <c r="AL19" s="8"/>
      <c r="AM19" s="8">
        <v>0</v>
      </c>
      <c r="AN19" s="8">
        <v>334</v>
      </c>
      <c r="AO19" s="8">
        <v>40</v>
      </c>
      <c r="AP19" s="8">
        <v>96.1</v>
      </c>
      <c r="AQ19" s="8"/>
      <c r="AR19" s="8">
        <v>10</v>
      </c>
      <c r="AS19" s="8">
        <v>3.9</v>
      </c>
      <c r="AT19" s="8">
        <v>16.100000000000001</v>
      </c>
      <c r="AU19" s="8">
        <v>41</v>
      </c>
      <c r="AV19" s="8">
        <v>0</v>
      </c>
      <c r="AW19" s="8">
        <v>19.5</v>
      </c>
      <c r="AX19" s="8"/>
      <c r="AY19" s="8">
        <v>461</v>
      </c>
      <c r="AZ19" s="8">
        <v>38.299999999999997</v>
      </c>
      <c r="BA19" s="8">
        <v>4360</v>
      </c>
    </row>
    <row r="20" spans="1:71" x14ac:dyDescent="0.25"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</row>
    <row r="21" spans="1:71" x14ac:dyDescent="0.25"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</row>
    <row r="22" spans="1:71" x14ac:dyDescent="0.25"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</row>
    <row r="23" spans="1:71" s="35" customFormat="1" x14ac:dyDescent="0.25">
      <c r="A23" s="47" t="s">
        <v>176</v>
      </c>
      <c r="B23" s="47"/>
      <c r="D23" s="38">
        <f>AVERAGE(D19:D22)</f>
        <v>48.25</v>
      </c>
      <c r="E23" s="38">
        <f t="shared" ref="E23:BA23" si="3">AVERAGE(E19:E22)</f>
        <v>19.3</v>
      </c>
      <c r="F23" s="38">
        <f t="shared" si="3"/>
        <v>4.07</v>
      </c>
      <c r="G23" s="38">
        <f t="shared" si="3"/>
        <v>3.08</v>
      </c>
      <c r="H23" s="38">
        <f t="shared" si="3"/>
        <v>1.68</v>
      </c>
      <c r="I23" s="38">
        <f t="shared" si="3"/>
        <v>0.1</v>
      </c>
      <c r="J23" s="38">
        <f t="shared" si="3"/>
        <v>14.37</v>
      </c>
      <c r="K23" s="38">
        <f t="shared" si="3"/>
        <v>3.41</v>
      </c>
      <c r="L23" s="38" t="e">
        <f t="shared" si="3"/>
        <v>#DIV/0!</v>
      </c>
      <c r="M23" s="38">
        <f t="shared" si="3"/>
        <v>0.32</v>
      </c>
      <c r="N23" s="38">
        <f t="shared" si="3"/>
        <v>0.21</v>
      </c>
      <c r="O23" s="38">
        <f t="shared" si="3"/>
        <v>0.06</v>
      </c>
      <c r="P23" s="38" t="e">
        <f t="shared" si="3"/>
        <v>#DIV/0!</v>
      </c>
      <c r="Q23" s="38">
        <f t="shared" si="3"/>
        <v>1.25</v>
      </c>
      <c r="R23" s="38">
        <f t="shared" si="3"/>
        <v>0.17</v>
      </c>
      <c r="S23" s="38">
        <f t="shared" si="3"/>
        <v>0.11</v>
      </c>
      <c r="T23" s="38">
        <f t="shared" si="3"/>
        <v>0.08</v>
      </c>
      <c r="U23" s="38">
        <f t="shared" si="3"/>
        <v>2.34</v>
      </c>
      <c r="V23" s="38">
        <f t="shared" si="3"/>
        <v>0.16</v>
      </c>
      <c r="W23" s="38">
        <f t="shared" si="3"/>
        <v>11</v>
      </c>
      <c r="X23" s="38">
        <f t="shared" si="3"/>
        <v>1180</v>
      </c>
      <c r="Y23" s="38">
        <f t="shared" si="3"/>
        <v>8.1999999999999993</v>
      </c>
      <c r="Z23" s="38">
        <f t="shared" si="3"/>
        <v>6.2</v>
      </c>
      <c r="AA23" s="38">
        <f t="shared" si="3"/>
        <v>0</v>
      </c>
      <c r="AB23" s="38">
        <f t="shared" si="3"/>
        <v>0</v>
      </c>
      <c r="AC23" s="38">
        <f t="shared" si="3"/>
        <v>9.6300000000000008</v>
      </c>
      <c r="AD23" s="38">
        <f t="shared" si="3"/>
        <v>23</v>
      </c>
      <c r="AE23" s="38">
        <f t="shared" si="3"/>
        <v>0</v>
      </c>
      <c r="AF23" s="38">
        <f t="shared" si="3"/>
        <v>76.2</v>
      </c>
      <c r="AG23" s="38">
        <f t="shared" si="3"/>
        <v>0</v>
      </c>
      <c r="AH23" s="38">
        <f t="shared" si="3"/>
        <v>594</v>
      </c>
      <c r="AI23" s="38">
        <f t="shared" si="3"/>
        <v>5.24</v>
      </c>
      <c r="AJ23" s="38">
        <f t="shared" si="3"/>
        <v>742</v>
      </c>
      <c r="AK23" s="38">
        <f t="shared" si="3"/>
        <v>540</v>
      </c>
      <c r="AL23" s="38" t="e">
        <f t="shared" si="3"/>
        <v>#DIV/0!</v>
      </c>
      <c r="AM23" s="38">
        <f t="shared" si="3"/>
        <v>0</v>
      </c>
      <c r="AN23" s="38">
        <f t="shared" si="3"/>
        <v>334</v>
      </c>
      <c r="AO23" s="38">
        <f t="shared" si="3"/>
        <v>40</v>
      </c>
      <c r="AP23" s="38">
        <f t="shared" si="3"/>
        <v>96.1</v>
      </c>
      <c r="AQ23" s="38" t="e">
        <f t="shared" si="3"/>
        <v>#DIV/0!</v>
      </c>
      <c r="AR23" s="38">
        <f t="shared" si="3"/>
        <v>10</v>
      </c>
      <c r="AS23" s="38">
        <f t="shared" si="3"/>
        <v>3.9</v>
      </c>
      <c r="AT23" s="38">
        <f t="shared" si="3"/>
        <v>16.100000000000001</v>
      </c>
      <c r="AU23" s="38">
        <f t="shared" si="3"/>
        <v>41</v>
      </c>
      <c r="AV23" s="38">
        <f t="shared" si="3"/>
        <v>0</v>
      </c>
      <c r="AW23" s="38">
        <f t="shared" si="3"/>
        <v>19.5</v>
      </c>
      <c r="AX23" s="38" t="e">
        <f t="shared" si="3"/>
        <v>#DIV/0!</v>
      </c>
      <c r="AY23" s="38">
        <f t="shared" si="3"/>
        <v>461</v>
      </c>
      <c r="AZ23" s="38">
        <f t="shared" si="3"/>
        <v>38.299999999999997</v>
      </c>
      <c r="BA23" s="38">
        <f t="shared" si="3"/>
        <v>4360</v>
      </c>
    </row>
    <row r="24" spans="1:71" x14ac:dyDescent="0.25">
      <c r="A24" t="s">
        <v>76</v>
      </c>
      <c r="D24" s="8">
        <v>92.64</v>
      </c>
      <c r="E24" s="8">
        <v>2.645</v>
      </c>
      <c r="F24" s="8">
        <v>0.92142857142857137</v>
      </c>
      <c r="G24" s="8">
        <v>0.92142857142857137</v>
      </c>
      <c r="H24" s="8">
        <v>0.92142857142857137</v>
      </c>
      <c r="I24" s="8">
        <v>0.30769230769230765</v>
      </c>
      <c r="J24" s="8">
        <v>0.63928571428571423</v>
      </c>
      <c r="K24" s="8">
        <v>1.8771428571428572</v>
      </c>
      <c r="L24" s="8" t="e">
        <v>#DIV/0!</v>
      </c>
      <c r="M24" s="8">
        <v>9.4285714285714306E-2</v>
      </c>
      <c r="N24" s="8">
        <v>9.3846153846153843E-2</v>
      </c>
      <c r="O24" s="8">
        <v>3.5714285714285712E-2</v>
      </c>
      <c r="P24" s="8">
        <v>0.31285714285714283</v>
      </c>
      <c r="Q24" s="8">
        <v>0.42490807971862538</v>
      </c>
      <c r="R24" s="8">
        <v>0.42490807971862538</v>
      </c>
      <c r="S24" s="8">
        <v>0.42490807971862538</v>
      </c>
      <c r="T24" s="8">
        <v>0.42490807971862538</v>
      </c>
      <c r="U24" s="8">
        <v>0.42490807971862538</v>
      </c>
      <c r="V24" s="8">
        <v>0.42490807971862538</v>
      </c>
      <c r="W24" s="8">
        <v>271.12857142857143</v>
      </c>
      <c r="X24" s="8">
        <v>83.928571428571445</v>
      </c>
      <c r="Y24" s="8">
        <v>10</v>
      </c>
      <c r="Z24" s="8">
        <v>0.12416666666666666</v>
      </c>
      <c r="AA24" s="8">
        <v>4.3869230769230763</v>
      </c>
      <c r="AB24" s="8">
        <v>2.3099999999999996</v>
      </c>
      <c r="AC24" s="8">
        <v>1.1369230769230769</v>
      </c>
      <c r="AD24" s="8">
        <v>3.4153846153846148</v>
      </c>
      <c r="AE24" s="8">
        <v>5.5269230769230768</v>
      </c>
      <c r="AF24" s="8">
        <v>2.9230769230769225</v>
      </c>
      <c r="AG24" s="8">
        <v>0.76615384615384619</v>
      </c>
      <c r="AH24" s="8">
        <v>45.042857142857137</v>
      </c>
      <c r="AI24" s="8">
        <v>0.27307692307692305</v>
      </c>
      <c r="AJ24" s="8">
        <v>38.014285714285712</v>
      </c>
      <c r="AK24" s="8">
        <v>39.164285714285718</v>
      </c>
      <c r="AL24" s="8">
        <v>3.6</v>
      </c>
      <c r="AM24" s="8">
        <v>10.422307692307694</v>
      </c>
      <c r="AN24" s="8">
        <v>29.699999999999996</v>
      </c>
      <c r="AO24" s="8" t="e">
        <v>#DIV/0!</v>
      </c>
      <c r="AP24" s="8">
        <v>6.9007692307692299</v>
      </c>
      <c r="AQ24" s="8">
        <v>1.3076923076923077</v>
      </c>
      <c r="AR24" s="8">
        <v>103.59285714285714</v>
      </c>
      <c r="AS24" s="8">
        <v>1.5384615384615381</v>
      </c>
      <c r="AT24" s="8">
        <v>0.72846153846153849</v>
      </c>
      <c r="AU24" s="8">
        <v>4.29</v>
      </c>
      <c r="AV24" s="8">
        <v>0.30461538461538457</v>
      </c>
      <c r="AW24" s="8">
        <v>1.5064285714285715</v>
      </c>
      <c r="AX24" s="8">
        <v>8.625</v>
      </c>
      <c r="AY24" s="8">
        <v>20.671428571428571</v>
      </c>
      <c r="AZ24" s="8">
        <v>2.1069230769230769</v>
      </c>
      <c r="BA24" s="8">
        <v>112.95</v>
      </c>
    </row>
    <row r="25" spans="1:71" hidden="1" x14ac:dyDescent="0.25"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</row>
    <row r="26" spans="1:71" ht="29.25" hidden="1" customHeight="1" x14ac:dyDescent="0.25">
      <c r="A26" s="13" t="s">
        <v>177</v>
      </c>
      <c r="B26" s="13"/>
      <c r="C26" s="1" t="s">
        <v>20</v>
      </c>
      <c r="D26" s="13" t="str">
        <f t="shared" ref="D26:V26" si="4">D1</f>
        <v>SiO2</v>
      </c>
      <c r="E26" s="13" t="str">
        <f t="shared" si="4"/>
        <v>Al2O3</v>
      </c>
      <c r="F26" s="13" t="str">
        <f t="shared" si="4"/>
        <v>Fe2O3</v>
      </c>
      <c r="G26" s="13" t="str">
        <f t="shared" si="4"/>
        <v>FeO</v>
      </c>
      <c r="H26" s="13" t="str">
        <f t="shared" si="4"/>
        <v>CaO</v>
      </c>
      <c r="I26" s="13" t="str">
        <f t="shared" si="4"/>
        <v>MgO</v>
      </c>
      <c r="J26" s="13" t="str">
        <f t="shared" si="4"/>
        <v>Na2O</v>
      </c>
      <c r="K26" s="13" t="str">
        <f t="shared" si="4"/>
        <v>K2O</v>
      </c>
      <c r="L26" s="13" t="str">
        <f t="shared" si="4"/>
        <v>Cr2O3</v>
      </c>
      <c r="M26" s="13" t="str">
        <f t="shared" si="4"/>
        <v>TiO2</v>
      </c>
      <c r="N26" s="13" t="str">
        <f t="shared" si="4"/>
        <v>MnO</v>
      </c>
      <c r="O26" s="13" t="str">
        <f t="shared" si="4"/>
        <v>P2O5</v>
      </c>
      <c r="P26" s="13" t="str">
        <f t="shared" si="4"/>
        <v>LOI</v>
      </c>
      <c r="Q26" s="13" t="str">
        <f t="shared" si="4"/>
        <v>H2O+ (calc)</v>
      </c>
      <c r="R26" s="13" t="str">
        <f t="shared" si="4"/>
        <v>H2O-</v>
      </c>
      <c r="S26" s="13" t="str">
        <f t="shared" si="4"/>
        <v>CO2</v>
      </c>
      <c r="T26" s="13" t="str">
        <f t="shared" si="4"/>
        <v>S</v>
      </c>
      <c r="U26" s="13" t="str">
        <f t="shared" si="4"/>
        <v>Cl</v>
      </c>
      <c r="V26" s="13" t="str">
        <f t="shared" si="4"/>
        <v>F</v>
      </c>
      <c r="W26" s="19" t="s">
        <v>44</v>
      </c>
      <c r="X26" s="19" t="s">
        <v>45</v>
      </c>
      <c r="Y26" s="19" t="s">
        <v>46</v>
      </c>
      <c r="Z26" s="19" t="s">
        <v>47</v>
      </c>
      <c r="AA26" s="19" t="s">
        <v>48</v>
      </c>
      <c r="AB26" s="19" t="s">
        <v>49</v>
      </c>
      <c r="AC26" s="19" t="s">
        <v>50</v>
      </c>
      <c r="AD26" s="19" t="s">
        <v>51</v>
      </c>
      <c r="AE26" s="19" t="s">
        <v>52</v>
      </c>
      <c r="AF26" s="19" t="s">
        <v>53</v>
      </c>
      <c r="AG26" s="19" t="s">
        <v>54</v>
      </c>
      <c r="AH26" s="19" t="s">
        <v>55</v>
      </c>
      <c r="AI26" s="19" t="s">
        <v>56</v>
      </c>
      <c r="AJ26" s="19" t="s">
        <v>57</v>
      </c>
      <c r="AK26" s="19" t="s">
        <v>58</v>
      </c>
      <c r="AL26" s="19" t="s">
        <v>59</v>
      </c>
      <c r="AM26" s="19" t="s">
        <v>60</v>
      </c>
      <c r="AN26" s="19" t="s">
        <v>61</v>
      </c>
      <c r="AO26" s="19" t="s">
        <v>62</v>
      </c>
      <c r="AP26" s="19" t="s">
        <v>63</v>
      </c>
      <c r="AQ26" s="19" t="s">
        <v>64</v>
      </c>
      <c r="AR26" s="19" t="s">
        <v>65</v>
      </c>
      <c r="AS26" s="19" t="s">
        <v>66</v>
      </c>
      <c r="AT26" s="19" t="s">
        <v>67</v>
      </c>
      <c r="AU26" s="19" t="s">
        <v>68</v>
      </c>
      <c r="AV26" s="19" t="s">
        <v>69</v>
      </c>
      <c r="AW26" s="19" t="s">
        <v>70</v>
      </c>
      <c r="AX26" s="19" t="s">
        <v>71</v>
      </c>
      <c r="AY26" s="19" t="s">
        <v>72</v>
      </c>
      <c r="AZ26" s="19" t="s">
        <v>73</v>
      </c>
      <c r="BA26" s="19" t="s">
        <v>74</v>
      </c>
    </row>
    <row r="27" spans="1:71" hidden="1" x14ac:dyDescent="0.25">
      <c r="A27" t="s">
        <v>22</v>
      </c>
      <c r="C27" s="52">
        <v>13032.163257716071</v>
      </c>
      <c r="D27" s="8">
        <f>D$2/100*$C27</f>
        <v>6754.5702164742397</v>
      </c>
      <c r="E27" s="8">
        <f t="shared" ref="E27:BA27" si="5">E$2/100*$C27</f>
        <v>1898.7861866492315</v>
      </c>
      <c r="F27" s="8">
        <f t="shared" si="5"/>
        <v>985.23154228333499</v>
      </c>
      <c r="G27" s="8">
        <f t="shared" si="5"/>
        <v>600.78272618071094</v>
      </c>
      <c r="H27" s="8">
        <f t="shared" si="5"/>
        <v>331.01694674598821</v>
      </c>
      <c r="I27" s="8">
        <f t="shared" si="5"/>
        <v>23.457893863888927</v>
      </c>
      <c r="J27" s="8">
        <f t="shared" si="5"/>
        <v>1148.133583004786</v>
      </c>
      <c r="K27" s="8">
        <f t="shared" si="5"/>
        <v>634.66635065077264</v>
      </c>
      <c r="L27" s="8">
        <f t="shared" si="5"/>
        <v>0</v>
      </c>
      <c r="M27" s="8">
        <f t="shared" si="5"/>
        <v>71.676897917438396</v>
      </c>
      <c r="N27" s="8">
        <f t="shared" si="5"/>
        <v>62.554383637037134</v>
      </c>
      <c r="O27" s="8">
        <f t="shared" si="5"/>
        <v>10.425730606172857</v>
      </c>
      <c r="P27" s="8">
        <f t="shared" si="5"/>
        <v>0</v>
      </c>
      <c r="Q27" s="8">
        <f t="shared" si="5"/>
        <v>264.55291413163621</v>
      </c>
      <c r="R27" s="8">
        <f t="shared" si="5"/>
        <v>0</v>
      </c>
      <c r="S27" s="8">
        <f t="shared" si="5"/>
        <v>0</v>
      </c>
      <c r="T27" s="8">
        <f t="shared" si="5"/>
        <v>0</v>
      </c>
      <c r="U27" s="8">
        <f t="shared" si="5"/>
        <v>43.00613875046303</v>
      </c>
      <c r="V27" s="8">
        <f t="shared" si="5"/>
        <v>109.47017136481499</v>
      </c>
      <c r="W27" s="8">
        <f t="shared" si="5"/>
        <v>0</v>
      </c>
      <c r="X27" s="8">
        <f t="shared" si="5"/>
        <v>110121.77952770078</v>
      </c>
      <c r="Y27" s="8">
        <f t="shared" si="5"/>
        <v>0</v>
      </c>
      <c r="Z27" s="8">
        <f t="shared" si="5"/>
        <v>0</v>
      </c>
      <c r="AA27" s="8">
        <f t="shared" si="5"/>
        <v>0</v>
      </c>
      <c r="AB27" s="8">
        <f t="shared" si="5"/>
        <v>0</v>
      </c>
      <c r="AC27" s="8">
        <f t="shared" si="5"/>
        <v>5121.6401602824153</v>
      </c>
      <c r="AD27" s="8">
        <f t="shared" si="5"/>
        <v>0</v>
      </c>
      <c r="AE27" s="8">
        <f t="shared" si="5"/>
        <v>0</v>
      </c>
      <c r="AF27" s="8">
        <f t="shared" si="5"/>
        <v>11728.946931944463</v>
      </c>
      <c r="AG27" s="8">
        <f t="shared" si="5"/>
        <v>0</v>
      </c>
      <c r="AH27" s="8">
        <f t="shared" si="5"/>
        <v>62945.348534768622</v>
      </c>
      <c r="AI27" s="8">
        <f t="shared" si="5"/>
        <v>0</v>
      </c>
      <c r="AJ27" s="8">
        <f t="shared" si="5"/>
        <v>112988.85544439833</v>
      </c>
      <c r="AK27" s="8">
        <f t="shared" si="5"/>
        <v>38835.846507993891</v>
      </c>
      <c r="AL27" s="8">
        <f t="shared" si="5"/>
        <v>0</v>
      </c>
      <c r="AM27" s="8">
        <f t="shared" si="5"/>
        <v>0</v>
      </c>
      <c r="AN27" s="8">
        <f t="shared" si="5"/>
        <v>46915.787727777853</v>
      </c>
      <c r="AO27" s="8">
        <f t="shared" si="5"/>
        <v>0</v>
      </c>
      <c r="AP27" s="8">
        <f t="shared" si="5"/>
        <v>5121.6401602824153</v>
      </c>
      <c r="AQ27" s="8">
        <f t="shared" si="5"/>
        <v>0</v>
      </c>
      <c r="AR27" s="8">
        <f t="shared" si="5"/>
        <v>6516.0816288580354</v>
      </c>
      <c r="AS27" s="8">
        <f t="shared" si="5"/>
        <v>0</v>
      </c>
      <c r="AT27" s="8">
        <f t="shared" si="5"/>
        <v>995.65727288950779</v>
      </c>
      <c r="AU27" s="8">
        <f t="shared" si="5"/>
        <v>8210.2628523611238</v>
      </c>
      <c r="AV27" s="8">
        <f t="shared" si="5"/>
        <v>0</v>
      </c>
      <c r="AW27" s="8">
        <f t="shared" si="5"/>
        <v>3779.3273447376605</v>
      </c>
      <c r="AX27" s="8">
        <f t="shared" si="5"/>
        <v>0</v>
      </c>
      <c r="AY27" s="8">
        <f t="shared" si="5"/>
        <v>43006.138750463033</v>
      </c>
      <c r="AZ27" s="8">
        <f t="shared" si="5"/>
        <v>4456.9998341388964</v>
      </c>
      <c r="BA27" s="8">
        <f t="shared" si="5"/>
        <v>551390.82743396703</v>
      </c>
    </row>
    <row r="28" spans="1:71" hidden="1" x14ac:dyDescent="0.25">
      <c r="A28" s="12" t="s">
        <v>178</v>
      </c>
      <c r="B28" s="12"/>
      <c r="C28" s="8">
        <v>36436.140063872212</v>
      </c>
      <c r="D28" s="8">
        <f t="shared" ref="D28:BA28" si="6">D$6/100*$C28</f>
        <v>19117.095351872089</v>
      </c>
      <c r="E28" s="8">
        <f t="shared" si="6"/>
        <v>4520.3768447441789</v>
      </c>
      <c r="F28" s="8">
        <f t="shared" si="6"/>
        <v>2780.2232314337052</v>
      </c>
      <c r="G28" s="8">
        <f t="shared" si="6"/>
        <v>2057.0387234459695</v>
      </c>
      <c r="H28" s="8">
        <f t="shared" si="6"/>
        <v>930.50614495116861</v>
      </c>
      <c r="I28" s="8">
        <f t="shared" si="6"/>
        <v>103.29645708107773</v>
      </c>
      <c r="J28" s="8">
        <f t="shared" si="6"/>
        <v>3138.3176159814407</v>
      </c>
      <c r="K28" s="8">
        <f t="shared" si="6"/>
        <v>1386.9416715312957</v>
      </c>
      <c r="L28" s="8">
        <f t="shared" si="6"/>
        <v>0</v>
      </c>
      <c r="M28" s="8">
        <f t="shared" si="6"/>
        <v>96.264282048750374</v>
      </c>
      <c r="N28" s="8">
        <f t="shared" si="6"/>
        <v>124.90308813895395</v>
      </c>
      <c r="O28" s="8">
        <f t="shared" si="6"/>
        <v>13.044138142866251</v>
      </c>
      <c r="P28" s="8">
        <f t="shared" si="6"/>
        <v>0</v>
      </c>
      <c r="Q28" s="8">
        <f t="shared" si="6"/>
        <v>944.53405887575923</v>
      </c>
      <c r="R28" s="8">
        <f t="shared" si="6"/>
        <v>129.56691406712957</v>
      </c>
      <c r="S28" s="8">
        <f t="shared" si="6"/>
        <v>29.768326432183592</v>
      </c>
      <c r="T28" s="8">
        <f t="shared" si="6"/>
        <v>3.1335080454930102</v>
      </c>
      <c r="U28" s="8">
        <f t="shared" si="6"/>
        <v>23.100512800494986</v>
      </c>
      <c r="V28" s="8">
        <f t="shared" si="6"/>
        <v>412.63928622335277</v>
      </c>
      <c r="W28" s="8">
        <f t="shared" si="6"/>
        <v>57576.388528930867</v>
      </c>
      <c r="X28" s="8">
        <f t="shared" si="6"/>
        <v>518070.90111217351</v>
      </c>
      <c r="Y28" s="8">
        <f t="shared" si="6"/>
        <v>1300.770200280238</v>
      </c>
      <c r="Z28" s="8">
        <f t="shared" si="6"/>
        <v>1895.4080061226323</v>
      </c>
      <c r="AA28" s="8">
        <f t="shared" si="6"/>
        <v>0</v>
      </c>
      <c r="AB28" s="8">
        <f t="shared" si="6"/>
        <v>0</v>
      </c>
      <c r="AC28" s="8">
        <f t="shared" si="6"/>
        <v>2764.9929248870067</v>
      </c>
      <c r="AD28" s="8">
        <f t="shared" si="6"/>
        <v>13204.457159147289</v>
      </c>
      <c r="AE28" s="8">
        <f t="shared" si="6"/>
        <v>0</v>
      </c>
      <c r="AF28" s="8">
        <f t="shared" si="6"/>
        <v>95331.516863115263</v>
      </c>
      <c r="AG28" s="8">
        <f t="shared" si="6"/>
        <v>0</v>
      </c>
      <c r="AH28" s="8">
        <f t="shared" si="6"/>
        <v>273238.25795298413</v>
      </c>
      <c r="AI28" s="8">
        <f t="shared" si="6"/>
        <v>3305.2680097541038</v>
      </c>
      <c r="AJ28" s="8">
        <f t="shared" si="6"/>
        <v>334170.41498179763</v>
      </c>
      <c r="AK28" s="8">
        <f t="shared" si="6"/>
        <v>196820.74139702495</v>
      </c>
      <c r="AL28" s="8">
        <f t="shared" si="6"/>
        <v>0</v>
      </c>
      <c r="AM28" s="8">
        <f t="shared" si="6"/>
        <v>0</v>
      </c>
      <c r="AN28" s="8">
        <f t="shared" si="6"/>
        <v>171847.41099724692</v>
      </c>
      <c r="AO28" s="8">
        <f t="shared" si="6"/>
        <v>1317.1664633089806</v>
      </c>
      <c r="AP28" s="8">
        <f t="shared" si="6"/>
        <v>39662.195905127461</v>
      </c>
      <c r="AQ28" s="8">
        <f t="shared" si="6"/>
        <v>0</v>
      </c>
      <c r="AR28" s="8">
        <f t="shared" si="6"/>
        <v>45658.127114038274</v>
      </c>
      <c r="AS28" s="8">
        <f t="shared" si="6"/>
        <v>16798.882376448284</v>
      </c>
      <c r="AT28" s="8">
        <f t="shared" si="6"/>
        <v>7263.6902662931807</v>
      </c>
      <c r="AU28" s="8">
        <f t="shared" si="6"/>
        <v>4029.1083682629892</v>
      </c>
      <c r="AV28" s="8">
        <f t="shared" si="6"/>
        <v>0</v>
      </c>
      <c r="AW28" s="8">
        <f t="shared" si="6"/>
        <v>7357.9141244983557</v>
      </c>
      <c r="AX28" s="8">
        <f t="shared" si="6"/>
        <v>0</v>
      </c>
      <c r="AY28" s="8">
        <f t="shared" si="6"/>
        <v>257279.22860500813</v>
      </c>
      <c r="AZ28" s="8">
        <f t="shared" si="6"/>
        <v>23532.645421652505</v>
      </c>
      <c r="BA28" s="8">
        <f t="shared" si="6"/>
        <v>4297715.592813856</v>
      </c>
    </row>
    <row r="29" spans="1:71" hidden="1" x14ac:dyDescent="0.25">
      <c r="A29" s="12" t="s">
        <v>179</v>
      </c>
      <c r="B29" s="12"/>
      <c r="C29" s="8">
        <v>14532.09107201016</v>
      </c>
      <c r="D29" s="8">
        <f>D$7/100*$C29</f>
        <v>7568.1241131189554</v>
      </c>
      <c r="E29" s="8">
        <f t="shared" ref="E29:BA29" si="7">E$7/100*$C29</f>
        <v>1694.8995798651531</v>
      </c>
      <c r="F29" s="8">
        <f t="shared" si="7"/>
        <v>1429.9868256679435</v>
      </c>
      <c r="G29" s="8">
        <f t="shared" si="7"/>
        <v>561.34561392960848</v>
      </c>
      <c r="H29" s="8">
        <f t="shared" si="7"/>
        <v>283.65188563456633</v>
      </c>
      <c r="I29" s="8">
        <f t="shared" si="7"/>
        <v>21.325843648174914</v>
      </c>
      <c r="J29" s="8">
        <f t="shared" si="7"/>
        <v>625.83903410718949</v>
      </c>
      <c r="K29" s="8">
        <f t="shared" si="7"/>
        <v>480.03129833617561</v>
      </c>
      <c r="L29" s="8">
        <f t="shared" si="7"/>
        <v>0</v>
      </c>
      <c r="M29" s="8">
        <f t="shared" si="7"/>
        <v>37.362006146138121</v>
      </c>
      <c r="N29" s="8">
        <f t="shared" si="7"/>
        <v>24.908004097425415</v>
      </c>
      <c r="O29" s="8">
        <f t="shared" si="7"/>
        <v>4.0544534090908346</v>
      </c>
      <c r="P29" s="8">
        <f t="shared" si="7"/>
        <v>0</v>
      </c>
      <c r="Q29" s="8">
        <f t="shared" si="7"/>
        <v>210.88243959147545</v>
      </c>
      <c r="R29" s="8">
        <f t="shared" si="7"/>
        <v>25.838057926034061</v>
      </c>
      <c r="S29" s="8">
        <f t="shared" si="7"/>
        <v>5.93635920291615</v>
      </c>
      <c r="T29" s="8">
        <f t="shared" si="7"/>
        <v>0.62487991609643689</v>
      </c>
      <c r="U29" s="8">
        <f t="shared" si="7"/>
        <v>4.6066728698272215</v>
      </c>
      <c r="V29" s="8">
        <f t="shared" si="7"/>
        <v>86.647593016860597</v>
      </c>
      <c r="W29" s="8">
        <f t="shared" si="7"/>
        <v>11481.805155995227</v>
      </c>
      <c r="X29" s="8">
        <f t="shared" si="7"/>
        <v>103312.99505824185</v>
      </c>
      <c r="Y29" s="8">
        <f t="shared" si="7"/>
        <v>259.39782563538137</v>
      </c>
      <c r="Z29" s="8">
        <f t="shared" si="7"/>
        <v>377.97968878298423</v>
      </c>
      <c r="AA29" s="8">
        <f t="shared" si="7"/>
        <v>0</v>
      </c>
      <c r="AB29" s="8">
        <f t="shared" si="7"/>
        <v>0</v>
      </c>
      <c r="AC29" s="8">
        <f t="shared" si="7"/>
        <v>551.3911315452815</v>
      </c>
      <c r="AD29" s="8">
        <f t="shared" si="7"/>
        <v>2633.2149022482408</v>
      </c>
      <c r="AE29" s="8">
        <f t="shared" si="7"/>
        <v>0</v>
      </c>
      <c r="AF29" s="8">
        <f t="shared" si="7"/>
        <v>19010.88154040369</v>
      </c>
      <c r="AG29" s="8">
        <f t="shared" si="7"/>
        <v>0</v>
      </c>
      <c r="AH29" s="8">
        <f t="shared" si="7"/>
        <v>54488.802079055706</v>
      </c>
      <c r="AI29" s="8">
        <f t="shared" si="7"/>
        <v>659.13205475316488</v>
      </c>
      <c r="AJ29" s="8">
        <f t="shared" si="7"/>
        <v>66639.810028916996</v>
      </c>
      <c r="AK29" s="8">
        <f t="shared" si="7"/>
        <v>39249.724776392242</v>
      </c>
      <c r="AL29" s="8">
        <f t="shared" si="7"/>
        <v>0</v>
      </c>
      <c r="AM29" s="8">
        <f t="shared" si="7"/>
        <v>0</v>
      </c>
      <c r="AN29" s="8">
        <f t="shared" si="7"/>
        <v>34269.577166014358</v>
      </c>
      <c r="AO29" s="8">
        <f t="shared" si="7"/>
        <v>262.66754612658366</v>
      </c>
      <c r="AP29" s="8">
        <f t="shared" si="7"/>
        <v>7909.38120776297</v>
      </c>
      <c r="AQ29" s="8">
        <f t="shared" si="7"/>
        <v>0</v>
      </c>
      <c r="AR29" s="8">
        <f t="shared" si="7"/>
        <v>9105.0816611679675</v>
      </c>
      <c r="AS29" s="8">
        <f t="shared" si="7"/>
        <v>3350.0102943751422</v>
      </c>
      <c r="AT29" s="8">
        <f t="shared" si="7"/>
        <v>1448.5152417847567</v>
      </c>
      <c r="AU29" s="8">
        <f t="shared" si="7"/>
        <v>803.47931537144177</v>
      </c>
      <c r="AV29" s="8">
        <f t="shared" si="7"/>
        <v>0</v>
      </c>
      <c r="AW29" s="8">
        <f t="shared" si="7"/>
        <v>3167.5598909660544</v>
      </c>
      <c r="AX29" s="8">
        <f t="shared" si="7"/>
        <v>0</v>
      </c>
      <c r="AY29" s="8">
        <f t="shared" si="7"/>
        <v>121350.95310137444</v>
      </c>
      <c r="AZ29" s="8">
        <f t="shared" si="7"/>
        <v>4692.8481698842406</v>
      </c>
      <c r="BA29" s="8">
        <f t="shared" si="7"/>
        <v>857044.60306287126</v>
      </c>
    </row>
    <row r="30" spans="1:71" hidden="1" x14ac:dyDescent="0.25">
      <c r="A30" s="12" t="s">
        <v>180</v>
      </c>
      <c r="B30" s="12"/>
      <c r="C30" s="8">
        <v>170516.00653837557</v>
      </c>
      <c r="D30" s="8">
        <f t="shared" ref="D30:V30" si="8">D$18/100*$C30</f>
        <v>87831.08980785188</v>
      </c>
      <c r="E30" s="8">
        <f t="shared" si="8"/>
        <v>22098.021867340784</v>
      </c>
      <c r="F30" s="8">
        <f t="shared" si="8"/>
        <v>10954.800840057938</v>
      </c>
      <c r="G30" s="8">
        <f t="shared" si="8"/>
        <v>11120.201366400164</v>
      </c>
      <c r="H30" s="8">
        <f t="shared" si="8"/>
        <v>844.90681239765104</v>
      </c>
      <c r="I30" s="8">
        <f t="shared" si="8"/>
        <v>132.14990506724109</v>
      </c>
      <c r="J30" s="8">
        <f t="shared" si="8"/>
        <v>19125.075293344205</v>
      </c>
      <c r="K30" s="8">
        <f t="shared" si="8"/>
        <v>5908.3796265547135</v>
      </c>
      <c r="L30" s="8" t="e">
        <f t="shared" si="8"/>
        <v>#DIV/0!</v>
      </c>
      <c r="M30" s="8">
        <f t="shared" si="8"/>
        <v>400.71261536518261</v>
      </c>
      <c r="N30" s="8">
        <f t="shared" si="8"/>
        <v>784.37363007652766</v>
      </c>
      <c r="O30" s="8">
        <f t="shared" si="8"/>
        <v>688.88466641503715</v>
      </c>
      <c r="P30" s="8" t="e">
        <f t="shared" si="8"/>
        <v>#DIV/0!</v>
      </c>
      <c r="Q30" s="8">
        <f t="shared" si="8"/>
        <v>5457.3647892607096</v>
      </c>
      <c r="R30" s="8">
        <f t="shared" si="8"/>
        <v>230.19660882680702</v>
      </c>
      <c r="S30" s="8">
        <f t="shared" si="8"/>
        <v>114.24572438071164</v>
      </c>
      <c r="T30" s="8">
        <f t="shared" si="8"/>
        <v>215.7027482710451</v>
      </c>
      <c r="U30" s="8">
        <f t="shared" si="8"/>
        <v>46.039321765361407</v>
      </c>
      <c r="V30" s="8">
        <f t="shared" si="8"/>
        <v>483.41287853629478</v>
      </c>
      <c r="W30" s="8">
        <f t="shared" ref="W30:AL31" si="9">V$6/100000*$C30</f>
        <v>1.9310937740471035</v>
      </c>
      <c r="X30" s="8">
        <f t="shared" si="9"/>
        <v>269.4493935319411</v>
      </c>
      <c r="Y30" s="8">
        <f t="shared" si="9"/>
        <v>2424.4988905665473</v>
      </c>
      <c r="Z30" s="8">
        <f t="shared" si="9"/>
        <v>6.0874214334200083</v>
      </c>
      <c r="AA30" s="8">
        <f t="shared" si="9"/>
        <v>8.8702426601262978</v>
      </c>
      <c r="AB30" s="8">
        <f t="shared" si="9"/>
        <v>0</v>
      </c>
      <c r="AC30" s="8">
        <f t="shared" si="9"/>
        <v>0</v>
      </c>
      <c r="AD30" s="8">
        <f t="shared" si="9"/>
        <v>12.939777672171168</v>
      </c>
      <c r="AE30" s="8">
        <f t="shared" si="9"/>
        <v>61.795000769507311</v>
      </c>
      <c r="AF30" s="8">
        <f t="shared" si="9"/>
        <v>0</v>
      </c>
      <c r="AG30" s="8">
        <f t="shared" si="9"/>
        <v>446.13807950700584</v>
      </c>
      <c r="AH30" s="8">
        <f t="shared" si="9"/>
        <v>0</v>
      </c>
      <c r="AI30" s="8">
        <f t="shared" si="9"/>
        <v>1278.7165846319324</v>
      </c>
      <c r="AJ30" s="8">
        <f t="shared" si="9"/>
        <v>15.468189017122201</v>
      </c>
      <c r="AK30" s="8">
        <f t="shared" si="9"/>
        <v>1563.8705023660577</v>
      </c>
      <c r="AL30" s="8">
        <f t="shared" si="9"/>
        <v>921.09336411899733</v>
      </c>
      <c r="AM30" s="8">
        <f t="shared" ref="AM30:BA31" si="10">AL$6/100000*$C30</f>
        <v>0</v>
      </c>
      <c r="AN30" s="8">
        <f t="shared" si="10"/>
        <v>0</v>
      </c>
      <c r="AO30" s="8">
        <f t="shared" si="10"/>
        <v>804.22169323759465</v>
      </c>
      <c r="AP30" s="8">
        <f t="shared" si="10"/>
        <v>6.1641536363622773</v>
      </c>
      <c r="AQ30" s="8">
        <f t="shared" si="10"/>
        <v>185.61349375728335</v>
      </c>
      <c r="AR30" s="8">
        <f t="shared" si="10"/>
        <v>0</v>
      </c>
      <c r="AS30" s="8">
        <f t="shared" si="10"/>
        <v>213.67360779323843</v>
      </c>
      <c r="AT30" s="8">
        <f t="shared" si="10"/>
        <v>78.616404814518063</v>
      </c>
      <c r="AU30" s="8">
        <f t="shared" si="10"/>
        <v>33.993047967451325</v>
      </c>
      <c r="AV30" s="8">
        <f t="shared" si="10"/>
        <v>18.855660003013572</v>
      </c>
      <c r="AW30" s="8">
        <f t="shared" si="10"/>
        <v>0</v>
      </c>
      <c r="AX30" s="8">
        <f t="shared" si="10"/>
        <v>34.434002360359571</v>
      </c>
      <c r="AY30" s="8">
        <f t="shared" si="10"/>
        <v>0</v>
      </c>
      <c r="AZ30" s="8">
        <f t="shared" si="10"/>
        <v>1204.030573768124</v>
      </c>
      <c r="BA30" s="8">
        <f t="shared" si="10"/>
        <v>110.12946798287524</v>
      </c>
    </row>
    <row r="31" spans="1:71" hidden="1" x14ac:dyDescent="0.25">
      <c r="A31" s="12" t="s">
        <v>27</v>
      </c>
      <c r="B31" s="12"/>
      <c r="C31" s="8">
        <v>82080.74032619092</v>
      </c>
      <c r="D31" s="8">
        <f t="shared" ref="D31:V31" si="11">D$23/100*$C31</f>
        <v>39603.957207387117</v>
      </c>
      <c r="E31" s="8">
        <f t="shared" si="11"/>
        <v>15841.582882954848</v>
      </c>
      <c r="F31" s="8">
        <f t="shared" si="11"/>
        <v>3340.6861312759706</v>
      </c>
      <c r="G31" s="8">
        <f t="shared" si="11"/>
        <v>2528.0868020466805</v>
      </c>
      <c r="H31" s="8">
        <f t="shared" si="11"/>
        <v>1378.9564374800075</v>
      </c>
      <c r="I31" s="8">
        <f t="shared" si="11"/>
        <v>82.08074032619092</v>
      </c>
      <c r="J31" s="8">
        <f t="shared" si="11"/>
        <v>11795.002384873635</v>
      </c>
      <c r="K31" s="8">
        <f t="shared" si="11"/>
        <v>2798.9532451231103</v>
      </c>
      <c r="L31" s="8" t="e">
        <f t="shared" si="11"/>
        <v>#DIV/0!</v>
      </c>
      <c r="M31" s="8">
        <f t="shared" si="11"/>
        <v>262.65836904381098</v>
      </c>
      <c r="N31" s="8">
        <f t="shared" si="11"/>
        <v>172.36955468500094</v>
      </c>
      <c r="O31" s="8">
        <f t="shared" si="11"/>
        <v>49.248444195714548</v>
      </c>
      <c r="P31" s="8" t="e">
        <f t="shared" si="11"/>
        <v>#DIV/0!</v>
      </c>
      <c r="Q31" s="8">
        <f t="shared" si="11"/>
        <v>1026.0092540773865</v>
      </c>
      <c r="R31" s="8">
        <f t="shared" si="11"/>
        <v>139.53725855452458</v>
      </c>
      <c r="S31" s="8">
        <f t="shared" si="11"/>
        <v>90.288814358810015</v>
      </c>
      <c r="T31" s="8">
        <f t="shared" si="11"/>
        <v>65.664592260952745</v>
      </c>
      <c r="U31" s="8">
        <f t="shared" si="11"/>
        <v>1920.6893236328674</v>
      </c>
      <c r="V31" s="8">
        <f t="shared" si="11"/>
        <v>131.32918452190549</v>
      </c>
      <c r="W31" s="8">
        <f t="shared" si="9"/>
        <v>0.92956438419411225</v>
      </c>
      <c r="X31" s="8">
        <f t="shared" si="9"/>
        <v>129.70398586344692</v>
      </c>
      <c r="Y31" s="8">
        <f t="shared" si="9"/>
        <v>1167.0732144019782</v>
      </c>
      <c r="Z31" s="8">
        <f t="shared" si="9"/>
        <v>2.9302824296450161</v>
      </c>
      <c r="AA31" s="8">
        <f t="shared" si="9"/>
        <v>4.2698401117684517</v>
      </c>
      <c r="AB31" s="8">
        <f t="shared" si="9"/>
        <v>0</v>
      </c>
      <c r="AC31" s="8">
        <f t="shared" si="9"/>
        <v>0</v>
      </c>
      <c r="AD31" s="8">
        <f t="shared" si="9"/>
        <v>6.2287790603933244</v>
      </c>
      <c r="AE31" s="8">
        <f t="shared" si="9"/>
        <v>29.746060294211592</v>
      </c>
      <c r="AF31" s="8">
        <f t="shared" si="9"/>
        <v>0</v>
      </c>
      <c r="AG31" s="8">
        <f t="shared" si="9"/>
        <v>214.75604898944593</v>
      </c>
      <c r="AH31" s="8">
        <f t="shared" si="9"/>
        <v>0</v>
      </c>
      <c r="AI31" s="8">
        <f t="shared" si="9"/>
        <v>615.53167978013835</v>
      </c>
      <c r="AJ31" s="8">
        <f t="shared" si="9"/>
        <v>7.445872277950083</v>
      </c>
      <c r="AK31" s="8">
        <f t="shared" si="9"/>
        <v>752.79530182762733</v>
      </c>
      <c r="AL31" s="8">
        <f t="shared" si="9"/>
        <v>443.3837430940182</v>
      </c>
      <c r="AM31" s="8">
        <f t="shared" si="10"/>
        <v>0</v>
      </c>
      <c r="AN31" s="8">
        <f t="shared" si="10"/>
        <v>0</v>
      </c>
      <c r="AO31" s="8">
        <f t="shared" si="10"/>
        <v>387.12560367444695</v>
      </c>
      <c r="AP31" s="8">
        <f t="shared" si="10"/>
        <v>2.9672187627918021</v>
      </c>
      <c r="AQ31" s="8">
        <f t="shared" si="10"/>
        <v>89.348169074671873</v>
      </c>
      <c r="AR31" s="8">
        <f t="shared" si="10"/>
        <v>0</v>
      </c>
      <c r="AS31" s="8">
        <f t="shared" si="10"/>
        <v>102.85537570274984</v>
      </c>
      <c r="AT31" s="8">
        <f t="shared" si="10"/>
        <v>37.843325327390332</v>
      </c>
      <c r="AU31" s="8">
        <f t="shared" si="10"/>
        <v>16.363123906987465</v>
      </c>
      <c r="AV31" s="8">
        <f t="shared" si="10"/>
        <v>9.0764882652701928</v>
      </c>
      <c r="AW31" s="8">
        <f t="shared" si="10"/>
        <v>0</v>
      </c>
      <c r="AX31" s="8">
        <f t="shared" si="10"/>
        <v>16.575384701470998</v>
      </c>
      <c r="AY31" s="8">
        <f t="shared" si="10"/>
        <v>0</v>
      </c>
      <c r="AZ31" s="8">
        <f t="shared" si="10"/>
        <v>579.58031551726685</v>
      </c>
      <c r="BA31" s="8">
        <f t="shared" si="10"/>
        <v>53.012666947073662</v>
      </c>
    </row>
    <row r="32" spans="1:71" s="13" customFormat="1" x14ac:dyDescent="0.25">
      <c r="A32" s="1"/>
      <c r="B32" s="1"/>
      <c r="C32" s="10"/>
      <c r="D32" s="10" t="str">
        <f>D37</f>
        <v>SiO2</v>
      </c>
      <c r="E32" s="10" t="str">
        <f t="shared" ref="E32:BA32" si="12">E37</f>
        <v>Al2O3</v>
      </c>
      <c r="F32" s="10" t="str">
        <f t="shared" si="12"/>
        <v>Fe2O3</v>
      </c>
      <c r="G32" s="10" t="str">
        <f t="shared" si="12"/>
        <v>FeO</v>
      </c>
      <c r="H32" s="10" t="str">
        <f t="shared" si="12"/>
        <v>CaO</v>
      </c>
      <c r="I32" s="10" t="str">
        <f t="shared" si="12"/>
        <v>MgO</v>
      </c>
      <c r="J32" s="10" t="str">
        <f t="shared" si="12"/>
        <v>Na2O</v>
      </c>
      <c r="K32" s="10" t="str">
        <f t="shared" si="12"/>
        <v>K2O</v>
      </c>
      <c r="L32" s="10" t="str">
        <f t="shared" si="12"/>
        <v>Cr2O3</v>
      </c>
      <c r="M32" s="10" t="str">
        <f t="shared" si="12"/>
        <v>TiO2</v>
      </c>
      <c r="N32" s="10" t="str">
        <f t="shared" si="12"/>
        <v>MnO</v>
      </c>
      <c r="O32" s="10" t="str">
        <f t="shared" si="12"/>
        <v>P2O5</v>
      </c>
      <c r="P32" s="10" t="str">
        <f t="shared" si="12"/>
        <v>LOI</v>
      </c>
      <c r="Q32" s="10" t="str">
        <f t="shared" si="12"/>
        <v>H2O+ (calc)</v>
      </c>
      <c r="R32" s="10" t="str">
        <f t="shared" si="12"/>
        <v>H2O-</v>
      </c>
      <c r="S32" s="10" t="str">
        <f t="shared" si="12"/>
        <v>CO2</v>
      </c>
      <c r="T32" s="10" t="str">
        <f t="shared" si="12"/>
        <v>S</v>
      </c>
      <c r="U32" s="10" t="str">
        <f t="shared" si="12"/>
        <v>Cl</v>
      </c>
      <c r="V32" s="10" t="str">
        <f t="shared" si="12"/>
        <v>F</v>
      </c>
      <c r="W32" s="10" t="str">
        <f t="shared" si="12"/>
        <v>BaO</v>
      </c>
      <c r="X32" s="10" t="s">
        <v>85</v>
      </c>
      <c r="Y32" s="10" t="str">
        <f t="shared" si="12"/>
        <v>Cr2O3</v>
      </c>
      <c r="Z32" s="10" t="str">
        <f t="shared" si="12"/>
        <v>Cs2O3</v>
      </c>
      <c r="AA32" s="10" t="str">
        <f t="shared" si="12"/>
        <v>Dy2O3</v>
      </c>
      <c r="AB32" s="10" t="str">
        <f t="shared" si="12"/>
        <v>Er2O3</v>
      </c>
      <c r="AC32" s="10" t="str">
        <f t="shared" si="12"/>
        <v>Eu2O3</v>
      </c>
      <c r="AD32" s="10" t="str">
        <f t="shared" si="12"/>
        <v>Ga2O3</v>
      </c>
      <c r="AE32" s="10" t="str">
        <f t="shared" si="12"/>
        <v>Gd2O3</v>
      </c>
      <c r="AF32" s="10" t="str">
        <f t="shared" si="12"/>
        <v>HfO2</v>
      </c>
      <c r="AG32" s="10" t="str">
        <f t="shared" si="12"/>
        <v>Ho2O3</v>
      </c>
      <c r="AH32" s="10" t="str">
        <f t="shared" si="12"/>
        <v>La2O3</v>
      </c>
      <c r="AI32" s="10" t="str">
        <f t="shared" si="12"/>
        <v>Lu2O3</v>
      </c>
      <c r="AJ32" s="10" t="str">
        <f t="shared" si="12"/>
        <v>Nb2O5</v>
      </c>
      <c r="AK32" s="10" t="str">
        <f t="shared" si="12"/>
        <v>Nd2O3</v>
      </c>
      <c r="AL32" s="10" t="str">
        <f t="shared" si="12"/>
        <v>NiO2</v>
      </c>
      <c r="AM32" s="10" t="s">
        <v>99</v>
      </c>
      <c r="AN32" s="10" t="str">
        <f t="shared" si="12"/>
        <v>Rb2O</v>
      </c>
      <c r="AO32" s="10" t="str">
        <f t="shared" si="12"/>
        <v>Sc2O3</v>
      </c>
      <c r="AP32" s="10" t="str">
        <f t="shared" si="12"/>
        <v>Sm2O3</v>
      </c>
      <c r="AQ32" s="10" t="str">
        <f t="shared" si="12"/>
        <v>SnO2</v>
      </c>
      <c r="AR32" s="10" t="str">
        <f t="shared" si="12"/>
        <v>SrO</v>
      </c>
      <c r="AS32" s="10" t="str">
        <f t="shared" si="12"/>
        <v>Ta2O5</v>
      </c>
      <c r="AT32" s="10" t="s">
        <v>106</v>
      </c>
      <c r="AU32" s="10" t="str">
        <f t="shared" si="12"/>
        <v>ThO2</v>
      </c>
      <c r="AV32" s="10" t="str">
        <f t="shared" si="12"/>
        <v>Tm2O3</v>
      </c>
      <c r="AW32" s="10" t="str">
        <f t="shared" si="12"/>
        <v>UO2</v>
      </c>
      <c r="AX32" s="10" t="str">
        <f t="shared" si="12"/>
        <v>V2O5</v>
      </c>
      <c r="AY32" s="10" t="str">
        <f t="shared" si="12"/>
        <v>Y2O3</v>
      </c>
      <c r="AZ32" s="10" t="str">
        <f t="shared" si="12"/>
        <v>Yb2O3</v>
      </c>
      <c r="BA32" s="10" t="str">
        <f t="shared" si="12"/>
        <v>ZrO2</v>
      </c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</row>
    <row r="33" spans="1:71" ht="30" x14ac:dyDescent="0.25">
      <c r="A33" s="12" t="s">
        <v>181</v>
      </c>
      <c r="B33" s="12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>
        <v>0.20691313904265712</v>
      </c>
      <c r="Y33" s="8"/>
      <c r="Z33" s="8"/>
      <c r="AA33" s="8">
        <v>1.9E-2</v>
      </c>
      <c r="AB33" s="8">
        <v>1.6E-2</v>
      </c>
      <c r="AC33" s="8">
        <v>2E-3</v>
      </c>
      <c r="AD33" s="8"/>
      <c r="AE33" s="8">
        <v>1.7000000000000001E-2</v>
      </c>
      <c r="AF33" s="8"/>
      <c r="AG33" s="8">
        <v>4.0000000000000001E-3</v>
      </c>
      <c r="AH33" s="8">
        <v>0.11600000000000001</v>
      </c>
      <c r="AI33" s="8">
        <v>2E-3</v>
      </c>
      <c r="AJ33" s="8"/>
      <c r="AK33" s="8">
        <v>0.08</v>
      </c>
      <c r="AL33" s="8"/>
      <c r="AM33" s="8">
        <v>2.3406E-2</v>
      </c>
      <c r="AN33" s="8"/>
      <c r="AO33" s="8"/>
      <c r="AP33" s="8">
        <v>1.4999999999999999E-2</v>
      </c>
      <c r="AQ33" s="8"/>
      <c r="AR33" s="8"/>
      <c r="AS33" s="8"/>
      <c r="AT33" s="8">
        <v>2.9357252167998642E-3</v>
      </c>
      <c r="AU33" s="8"/>
      <c r="AV33" s="8">
        <v>2E-3</v>
      </c>
      <c r="AW33" s="8"/>
      <c r="AX33" s="8"/>
      <c r="AY33" s="8">
        <v>0.127</v>
      </c>
      <c r="AZ33" s="8">
        <v>1.2999999999999999E-2</v>
      </c>
      <c r="BA33" s="8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</row>
    <row r="34" spans="1:71" ht="30" x14ac:dyDescent="0.25">
      <c r="A34" s="12" t="s">
        <v>182</v>
      </c>
      <c r="B34" s="12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>
        <v>0.43671068056007817</v>
      </c>
      <c r="Y34" s="8"/>
      <c r="Z34" s="8"/>
      <c r="AA34" s="8">
        <v>1.2E-2</v>
      </c>
      <c r="AB34" s="8">
        <v>6.0000000000000001E-3</v>
      </c>
      <c r="AC34" s="8">
        <v>1E-3</v>
      </c>
      <c r="AD34" s="8"/>
      <c r="AE34" s="8">
        <v>1.2E-2</v>
      </c>
      <c r="AF34" s="8"/>
      <c r="AG34" s="8">
        <v>2E-3</v>
      </c>
      <c r="AH34" s="8">
        <v>0.29899999999999999</v>
      </c>
      <c r="AI34" s="8">
        <v>2E-3</v>
      </c>
      <c r="AJ34" s="8"/>
      <c r="AK34" s="8">
        <v>0.13400000000000001</v>
      </c>
      <c r="AL34" s="8"/>
      <c r="AM34" s="8">
        <v>3.5108999999999994E-2</v>
      </c>
      <c r="AN34" s="8"/>
      <c r="AO34" s="8"/>
      <c r="AP34" s="8">
        <v>1.7000000000000001E-2</v>
      </c>
      <c r="AQ34" s="8"/>
      <c r="AR34" s="8"/>
      <c r="AS34" s="8"/>
      <c r="AT34" s="8">
        <v>1.957150144533243E-3</v>
      </c>
      <c r="AU34" s="8"/>
      <c r="AV34" s="8">
        <v>1E-3</v>
      </c>
      <c r="AW34" s="8"/>
      <c r="AX34" s="8"/>
      <c r="AY34" s="8">
        <v>8.5000000000000006E-2</v>
      </c>
      <c r="AZ34" s="8">
        <v>5.0000000000000001E-3</v>
      </c>
      <c r="BA34" s="8"/>
      <c r="BC34" s="54"/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</row>
    <row r="35" spans="1:71" x14ac:dyDescent="0.25">
      <c r="A35" s="12"/>
      <c r="B35" s="12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</row>
    <row r="36" spans="1:71" s="15" customFormat="1" x14ac:dyDescent="0.25">
      <c r="A36" s="34" t="s">
        <v>83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W36" s="24">
        <v>1.1165</v>
      </c>
      <c r="X36" s="24">
        <v>1.1713</v>
      </c>
      <c r="Y36" s="24">
        <v>1.4615</v>
      </c>
      <c r="Z36" s="24">
        <v>1.0602</v>
      </c>
      <c r="AA36" s="24">
        <v>1.1476999999999999</v>
      </c>
      <c r="AB36" s="24">
        <v>1.1435</v>
      </c>
      <c r="AC36" s="24">
        <v>1.1578999999999999</v>
      </c>
      <c r="AD36" s="24">
        <v>1.3442000000000001</v>
      </c>
      <c r="AE36" s="24">
        <v>1.1526000000000001</v>
      </c>
      <c r="AF36" s="24">
        <v>1.1793</v>
      </c>
      <c r="AG36" s="24">
        <v>1.1455</v>
      </c>
      <c r="AH36" s="24">
        <v>1.1728000000000001</v>
      </c>
      <c r="AI36" s="24">
        <v>1.1371</v>
      </c>
      <c r="AJ36" s="24">
        <v>1.4305000000000001</v>
      </c>
      <c r="AK36" s="24">
        <v>1.1664000000000001</v>
      </c>
      <c r="AL36" s="24">
        <v>1.2725</v>
      </c>
      <c r="AM36" s="24">
        <v>1.1702999999999999</v>
      </c>
      <c r="AN36" s="24">
        <v>1.0935999999999999</v>
      </c>
      <c r="AO36" s="24">
        <v>1.5338000000000001</v>
      </c>
      <c r="AP36" s="24">
        <v>1.1596</v>
      </c>
      <c r="AQ36" s="24">
        <v>1.2696000000000001</v>
      </c>
      <c r="AR36" s="24">
        <v>1.1826000000000001</v>
      </c>
      <c r="AS36" s="24">
        <v>1.2211000000000001</v>
      </c>
      <c r="AT36" s="24">
        <v>1.151</v>
      </c>
      <c r="AU36" s="24">
        <v>1.1378999999999999</v>
      </c>
      <c r="AV36" s="24">
        <v>1.1420999999999999</v>
      </c>
      <c r="AW36" s="24">
        <v>1.1344000000000001</v>
      </c>
      <c r="AX36" s="24">
        <v>1.7851999999999999</v>
      </c>
      <c r="AY36" s="24">
        <v>1.2699</v>
      </c>
      <c r="AZ36" s="24">
        <v>1.1387</v>
      </c>
      <c r="BA36" s="24">
        <v>1.3508</v>
      </c>
    </row>
    <row r="37" spans="1:71" x14ac:dyDescent="0.25">
      <c r="A37" s="13"/>
      <c r="C37" s="1"/>
      <c r="D37" s="19" t="s">
        <v>31</v>
      </c>
      <c r="E37" s="19" t="s">
        <v>32</v>
      </c>
      <c r="F37" s="19" t="s">
        <v>33</v>
      </c>
      <c r="G37" s="19" t="s">
        <v>152</v>
      </c>
      <c r="H37" s="19" t="s">
        <v>34</v>
      </c>
      <c r="I37" s="19" t="s">
        <v>35</v>
      </c>
      <c r="J37" s="19" t="s">
        <v>36</v>
      </c>
      <c r="K37" s="19" t="s">
        <v>37</v>
      </c>
      <c r="L37" s="19" t="s">
        <v>38</v>
      </c>
      <c r="M37" s="19" t="s">
        <v>39</v>
      </c>
      <c r="N37" s="19" t="s">
        <v>40</v>
      </c>
      <c r="O37" s="19" t="s">
        <v>41</v>
      </c>
      <c r="P37" s="19" t="s">
        <v>42</v>
      </c>
      <c r="Q37" s="19" t="s">
        <v>43</v>
      </c>
      <c r="R37" s="13" t="s">
        <v>153</v>
      </c>
      <c r="S37" s="13" t="s">
        <v>154</v>
      </c>
      <c r="T37" s="13" t="s">
        <v>155</v>
      </c>
      <c r="U37" s="13" t="s">
        <v>156</v>
      </c>
      <c r="V37" s="13" t="s">
        <v>157</v>
      </c>
      <c r="W37" s="19" t="s">
        <v>84</v>
      </c>
      <c r="X37" s="19" t="s">
        <v>85</v>
      </c>
      <c r="Y37" s="19" t="s">
        <v>38</v>
      </c>
      <c r="Z37" s="19" t="s">
        <v>86</v>
      </c>
      <c r="AA37" s="19" t="s">
        <v>87</v>
      </c>
      <c r="AB37" s="19" t="s">
        <v>88</v>
      </c>
      <c r="AC37" s="19" t="s">
        <v>89</v>
      </c>
      <c r="AD37" s="19" t="s">
        <v>90</v>
      </c>
      <c r="AE37" s="19" t="s">
        <v>91</v>
      </c>
      <c r="AF37" s="19" t="s">
        <v>92</v>
      </c>
      <c r="AG37" s="19" t="s">
        <v>93</v>
      </c>
      <c r="AH37" s="19" t="s">
        <v>94</v>
      </c>
      <c r="AI37" s="19" t="s">
        <v>95</v>
      </c>
      <c r="AJ37" s="19" t="s">
        <v>96</v>
      </c>
      <c r="AK37" s="19" t="s">
        <v>97</v>
      </c>
      <c r="AL37" s="19" t="s">
        <v>98</v>
      </c>
      <c r="AM37" s="19" t="s">
        <v>99</v>
      </c>
      <c r="AN37" s="19" t="s">
        <v>100</v>
      </c>
      <c r="AO37" s="19" t="s">
        <v>101</v>
      </c>
      <c r="AP37" s="19" t="s">
        <v>102</v>
      </c>
      <c r="AQ37" s="19" t="s">
        <v>103</v>
      </c>
      <c r="AR37" s="19" t="s">
        <v>104</v>
      </c>
      <c r="AS37" s="19" t="s">
        <v>105</v>
      </c>
      <c r="AT37" s="19" t="s">
        <v>106</v>
      </c>
      <c r="AU37" s="19" t="s">
        <v>107</v>
      </c>
      <c r="AV37" s="19" t="s">
        <v>108</v>
      </c>
      <c r="AW37" s="19" t="s">
        <v>109</v>
      </c>
      <c r="AX37" s="19" t="s">
        <v>110</v>
      </c>
      <c r="AY37" s="19" t="s">
        <v>111</v>
      </c>
      <c r="AZ37" s="19" t="s">
        <v>112</v>
      </c>
      <c r="BA37" s="19" t="s">
        <v>113</v>
      </c>
      <c r="BB37" s="19" t="s">
        <v>183</v>
      </c>
      <c r="BC37" s="19" t="s">
        <v>132</v>
      </c>
      <c r="BD37" s="19" t="s">
        <v>355</v>
      </c>
      <c r="BE37" s="19" t="s">
        <v>192</v>
      </c>
    </row>
    <row r="38" spans="1:71" x14ac:dyDescent="0.25">
      <c r="A38" t="s">
        <v>22</v>
      </c>
      <c r="B38" t="s">
        <v>159</v>
      </c>
      <c r="C38" s="1"/>
      <c r="D38" s="51">
        <f t="shared" ref="D38:V38" si="13">D2</f>
        <v>51.83</v>
      </c>
      <c r="E38" s="51">
        <f t="shared" si="13"/>
        <v>14.57</v>
      </c>
      <c r="F38" s="51">
        <f t="shared" si="13"/>
        <v>7.56</v>
      </c>
      <c r="G38" s="51">
        <f t="shared" si="13"/>
        <v>4.6100000000000003</v>
      </c>
      <c r="H38" s="51">
        <f t="shared" si="13"/>
        <v>2.54</v>
      </c>
      <c r="I38" s="51">
        <f t="shared" si="13"/>
        <v>0.18</v>
      </c>
      <c r="J38" s="51">
        <f t="shared" si="13"/>
        <v>8.81</v>
      </c>
      <c r="K38" s="51">
        <f t="shared" si="13"/>
        <v>4.87</v>
      </c>
      <c r="L38" s="51">
        <f t="shared" si="13"/>
        <v>0</v>
      </c>
      <c r="M38" s="51">
        <f t="shared" si="13"/>
        <v>0.55000000000000004</v>
      </c>
      <c r="N38" s="51">
        <f t="shared" si="13"/>
        <v>0.48</v>
      </c>
      <c r="O38" s="51">
        <f t="shared" si="13"/>
        <v>0.08</v>
      </c>
      <c r="P38" s="51">
        <f t="shared" si="13"/>
        <v>0</v>
      </c>
      <c r="Q38" s="51">
        <f t="shared" si="13"/>
        <v>2.0299999999999998</v>
      </c>
      <c r="R38" s="51">
        <f t="shared" si="13"/>
        <v>0</v>
      </c>
      <c r="S38" s="51">
        <f t="shared" si="13"/>
        <v>0</v>
      </c>
      <c r="T38" s="51">
        <f t="shared" si="13"/>
        <v>0</v>
      </c>
      <c r="U38" s="51">
        <f t="shared" si="13"/>
        <v>0.33</v>
      </c>
      <c r="V38" s="51">
        <f t="shared" si="13"/>
        <v>0.84</v>
      </c>
      <c r="W38" s="55">
        <f t="shared" ref="W38:BA41" si="14">W$36*W2/10000</f>
        <v>0</v>
      </c>
      <c r="X38" s="55">
        <f t="shared" si="14"/>
        <v>9.8974850000000003E-2</v>
      </c>
      <c r="Y38" s="55">
        <f t="shared" si="14"/>
        <v>0</v>
      </c>
      <c r="Z38" s="55">
        <f t="shared" si="14"/>
        <v>0</v>
      </c>
      <c r="AA38" s="55">
        <f t="shared" si="14"/>
        <v>0</v>
      </c>
      <c r="AB38" s="55">
        <f t="shared" si="14"/>
        <v>0</v>
      </c>
      <c r="AC38" s="55">
        <f t="shared" si="14"/>
        <v>4.5505469999999994E-3</v>
      </c>
      <c r="AD38" s="55">
        <f t="shared" si="14"/>
        <v>0</v>
      </c>
      <c r="AE38" s="55">
        <f t="shared" si="14"/>
        <v>0</v>
      </c>
      <c r="AF38" s="55">
        <f t="shared" si="14"/>
        <v>1.06137E-2</v>
      </c>
      <c r="AG38" s="55">
        <f t="shared" si="14"/>
        <v>0</v>
      </c>
      <c r="AH38" s="55">
        <f t="shared" si="14"/>
        <v>5.664624E-2</v>
      </c>
      <c r="AI38" s="55">
        <f t="shared" si="14"/>
        <v>0</v>
      </c>
      <c r="AJ38" s="55">
        <f t="shared" si="14"/>
        <v>0.12402435000000001</v>
      </c>
      <c r="AK38" s="55">
        <f t="shared" si="14"/>
        <v>3.4758720000000007E-2</v>
      </c>
      <c r="AL38" s="55">
        <f t="shared" si="14"/>
        <v>0</v>
      </c>
      <c r="AM38" s="55">
        <f t="shared" si="14"/>
        <v>0</v>
      </c>
      <c r="AN38" s="55">
        <f t="shared" si="14"/>
        <v>3.9369599999999998E-2</v>
      </c>
      <c r="AO38" s="55">
        <f t="shared" si="14"/>
        <v>0</v>
      </c>
      <c r="AP38" s="55">
        <f t="shared" si="14"/>
        <v>4.5572279999999991E-3</v>
      </c>
      <c r="AQ38" s="55">
        <f t="shared" si="14"/>
        <v>0</v>
      </c>
      <c r="AR38" s="55">
        <f t="shared" si="14"/>
        <v>5.9129999999999999E-3</v>
      </c>
      <c r="AS38" s="55">
        <f t="shared" si="14"/>
        <v>0</v>
      </c>
      <c r="AT38" s="55">
        <f t="shared" si="14"/>
        <v>8.7936399999999999E-4</v>
      </c>
      <c r="AU38" s="55">
        <f t="shared" si="14"/>
        <v>7.1687699999999997E-3</v>
      </c>
      <c r="AV38" s="55">
        <f t="shared" si="14"/>
        <v>0</v>
      </c>
      <c r="AW38" s="55">
        <f t="shared" si="14"/>
        <v>3.2897600000000005E-3</v>
      </c>
      <c r="AX38" s="55">
        <f t="shared" si="14"/>
        <v>0</v>
      </c>
      <c r="AY38" s="55">
        <f t="shared" si="14"/>
        <v>4.1906699999999998E-2</v>
      </c>
      <c r="AZ38" s="55">
        <f t="shared" si="14"/>
        <v>3.8943540000000005E-3</v>
      </c>
      <c r="BA38" s="55">
        <f t="shared" si="14"/>
        <v>0.57152347999999997</v>
      </c>
      <c r="BB38" s="64">
        <f>SUM(X38,AA38,AB38,AC38,AE38,AG38,AH38,AI38,AK38,AM38,AP38,AT38,AV38,AY38,AZ38)</f>
        <v>0.24616800299999997</v>
      </c>
      <c r="BC38" s="64">
        <f>SUM(AH38,AK38,X38,AP38)</f>
        <v>0.19493703800000001</v>
      </c>
      <c r="BD38" s="56">
        <f>AM38+AE38+AC38</f>
        <v>4.5505469999999994E-3</v>
      </c>
      <c r="BE38" s="64">
        <f>SUM(AZ38,AY38,AT38,AI38,AG38,AA38,AV38)</f>
        <v>4.6680418000000001E-2</v>
      </c>
    </row>
    <row r="39" spans="1:71" x14ac:dyDescent="0.25">
      <c r="A39" t="s">
        <v>160</v>
      </c>
      <c r="B39" t="s">
        <v>161</v>
      </c>
      <c r="D39" s="55">
        <v>53.3</v>
      </c>
      <c r="E39" s="55">
        <v>13.4</v>
      </c>
      <c r="F39" s="55">
        <v>7.9</v>
      </c>
      <c r="G39" s="55">
        <v>3.42</v>
      </c>
      <c r="H39" s="55">
        <v>2.1</v>
      </c>
      <c r="I39" s="55">
        <v>0.23</v>
      </c>
      <c r="J39" s="55">
        <v>8.84</v>
      </c>
      <c r="K39" s="55">
        <v>4.04</v>
      </c>
      <c r="L39" s="55"/>
      <c r="M39" s="55">
        <v>0.16</v>
      </c>
      <c r="N39" s="55">
        <v>0.31</v>
      </c>
      <c r="O39" s="55">
        <v>0.04</v>
      </c>
      <c r="P39" s="55"/>
      <c r="Q39" s="55">
        <v>2.81</v>
      </c>
      <c r="R39" s="55">
        <v>0.41</v>
      </c>
      <c r="S39" s="55">
        <v>0.09</v>
      </c>
      <c r="T39" s="55">
        <v>0.01</v>
      </c>
      <c r="U39" s="55">
        <v>0.04</v>
      </c>
      <c r="V39" s="55">
        <v>1.05</v>
      </c>
      <c r="W39" s="55">
        <f t="shared" si="14"/>
        <v>1.8198950000000002E-2</v>
      </c>
      <c r="X39" s="55">
        <f t="shared" si="14"/>
        <v>0.17100979999999999</v>
      </c>
      <c r="Y39" s="55">
        <f t="shared" si="14"/>
        <v>5.6998499999999996E-4</v>
      </c>
      <c r="Z39" s="55">
        <f t="shared" si="14"/>
        <v>5.8310999999999997E-4</v>
      </c>
      <c r="AA39" s="55">
        <f t="shared" si="14"/>
        <v>0</v>
      </c>
      <c r="AB39" s="55">
        <f t="shared" si="14"/>
        <v>0</v>
      </c>
      <c r="AC39" s="55">
        <f t="shared" si="14"/>
        <v>8.3137219999999989E-4</v>
      </c>
      <c r="AD39" s="55">
        <f t="shared" si="14"/>
        <v>4.9735400000000003E-3</v>
      </c>
      <c r="AE39" s="55">
        <f t="shared" si="14"/>
        <v>0</v>
      </c>
      <c r="AF39" s="55">
        <f t="shared" si="14"/>
        <v>2.9246640000000001E-2</v>
      </c>
      <c r="AG39" s="55">
        <f t="shared" si="14"/>
        <v>0</v>
      </c>
      <c r="AH39" s="55">
        <f t="shared" si="14"/>
        <v>8.7139040000000001E-2</v>
      </c>
      <c r="AI39" s="55">
        <f t="shared" si="14"/>
        <v>1.0529546E-3</v>
      </c>
      <c r="AJ39" s="55">
        <f t="shared" si="14"/>
        <v>0.12788670000000002</v>
      </c>
      <c r="AK39" s="55">
        <f t="shared" si="14"/>
        <v>6.683472E-2</v>
      </c>
      <c r="AL39" s="55">
        <f t="shared" si="14"/>
        <v>0</v>
      </c>
      <c r="AM39" s="55">
        <f t="shared" si="14"/>
        <v>0</v>
      </c>
      <c r="AN39" s="55">
        <f t="shared" si="14"/>
        <v>5.9273119999999992E-2</v>
      </c>
      <c r="AO39" s="55">
        <f t="shared" si="14"/>
        <v>1.8405599999999999E-4</v>
      </c>
      <c r="AP39" s="55">
        <f t="shared" si="14"/>
        <v>1.2175799999999999E-2</v>
      </c>
      <c r="AQ39" s="55">
        <f t="shared" si="14"/>
        <v>0</v>
      </c>
      <c r="AR39" s="55">
        <f t="shared" si="14"/>
        <v>1.2772080000000002E-2</v>
      </c>
      <c r="AS39" s="55">
        <f t="shared" si="14"/>
        <v>6.911426E-3</v>
      </c>
      <c r="AT39" s="55">
        <f t="shared" si="14"/>
        <v>2.4171000000000002E-3</v>
      </c>
      <c r="AU39" s="55">
        <f t="shared" si="14"/>
        <v>7.2825600000000004E-4</v>
      </c>
      <c r="AV39" s="55">
        <f t="shared" si="14"/>
        <v>0</v>
      </c>
      <c r="AW39" s="55">
        <f t="shared" si="14"/>
        <v>2.6544960000000001E-3</v>
      </c>
      <c r="AX39" s="55">
        <f t="shared" si="14"/>
        <v>0</v>
      </c>
      <c r="AY39" s="55">
        <f t="shared" si="14"/>
        <v>9.6385410000000005E-2</v>
      </c>
      <c r="AZ39" s="55">
        <f t="shared" si="14"/>
        <v>7.4243240000000004E-3</v>
      </c>
      <c r="BA39" s="55">
        <f t="shared" si="14"/>
        <v>1.6479759999999999</v>
      </c>
      <c r="BB39" s="64">
        <f t="shared" ref="BB39:BB61" si="15">SUM(X39,AA39,AB39,AC39,AE39,AG39,AH39,AI39,AK39,AM39,AP39,AT39,AV39,AY39,AZ39)</f>
        <v>0.44527052080000001</v>
      </c>
      <c r="BC39" s="64">
        <f t="shared" ref="BC39:BC61" si="16">SUM(AH39,AK39,X39,AP39)</f>
        <v>0.33715936000000002</v>
      </c>
      <c r="BD39" s="56">
        <f t="shared" ref="BD39:BD61" si="17">AM39+AE39+AC39</f>
        <v>8.3137219999999989E-4</v>
      </c>
      <c r="BE39" s="64">
        <f t="shared" ref="BE39:BE61" si="18">SUM(AZ39,AY39,AT39,AI39,AG39,AA39,AV39)</f>
        <v>0.10727978860000001</v>
      </c>
    </row>
    <row r="40" spans="1:71" x14ac:dyDescent="0.25">
      <c r="A40" t="s">
        <v>162</v>
      </c>
      <c r="B40" t="s">
        <v>161</v>
      </c>
      <c r="D40" s="55">
        <v>52.2</v>
      </c>
      <c r="E40" s="55">
        <v>10.51</v>
      </c>
      <c r="F40" s="55">
        <v>6.04</v>
      </c>
      <c r="G40" s="55">
        <v>6.9</v>
      </c>
      <c r="H40" s="55">
        <v>3.58</v>
      </c>
      <c r="I40" s="55">
        <v>0.28000000000000003</v>
      </c>
      <c r="J40" s="55">
        <v>9.26</v>
      </c>
      <c r="K40" s="55">
        <v>3.39</v>
      </c>
      <c r="L40" s="55"/>
      <c r="M40" s="55">
        <v>0.68</v>
      </c>
      <c r="N40" s="55">
        <v>0.41</v>
      </c>
      <c r="O40" s="8">
        <v>0.04</v>
      </c>
      <c r="P40" s="55"/>
      <c r="Q40" s="55">
        <v>2.1800000000000002</v>
      </c>
      <c r="R40" s="55">
        <v>0.21</v>
      </c>
      <c r="S40" s="55">
        <v>0.06</v>
      </c>
      <c r="T40" s="55">
        <v>0.01</v>
      </c>
      <c r="U40" s="55">
        <v>0.3</v>
      </c>
      <c r="V40" s="55">
        <v>0.38</v>
      </c>
      <c r="W40" s="55">
        <f t="shared" si="14"/>
        <v>2.0878550000000003E-2</v>
      </c>
      <c r="X40" s="55">
        <f t="shared" si="14"/>
        <v>0.30922319999999998</v>
      </c>
      <c r="Y40" s="55">
        <f t="shared" si="14"/>
        <v>5.1152499999999998E-4</v>
      </c>
      <c r="Z40" s="55">
        <f t="shared" si="14"/>
        <v>4.13478E-4</v>
      </c>
      <c r="AA40" s="55">
        <f t="shared" si="14"/>
        <v>0</v>
      </c>
      <c r="AB40" s="55">
        <f t="shared" si="14"/>
        <v>0</v>
      </c>
      <c r="AC40" s="55">
        <f t="shared" si="14"/>
        <v>2.1189569999999999E-3</v>
      </c>
      <c r="AD40" s="55">
        <f t="shared" si="14"/>
        <v>5.5112199999999998E-3</v>
      </c>
      <c r="AE40" s="55">
        <f t="shared" si="14"/>
        <v>0</v>
      </c>
      <c r="AF40" s="55">
        <f t="shared" si="14"/>
        <v>7.0050420000000002E-2</v>
      </c>
      <c r="AG40" s="55">
        <f t="shared" si="14"/>
        <v>0</v>
      </c>
      <c r="AH40" s="55">
        <f t="shared" si="14"/>
        <v>0.15598239999999999</v>
      </c>
      <c r="AI40" s="55">
        <f t="shared" si="14"/>
        <v>1.9785539999999996E-3</v>
      </c>
      <c r="AJ40" s="55">
        <f t="shared" si="14"/>
        <v>0.27036450000000001</v>
      </c>
      <c r="AK40" s="55">
        <f t="shared" si="14"/>
        <v>8.3630880000000005E-2</v>
      </c>
      <c r="AL40" s="55">
        <f t="shared" si="14"/>
        <v>0</v>
      </c>
      <c r="AM40" s="55">
        <f t="shared" si="14"/>
        <v>0</v>
      </c>
      <c r="AN40" s="55">
        <f t="shared" si="14"/>
        <v>3.4339039999999994E-2</v>
      </c>
      <c r="AO40" s="55">
        <f t="shared" si="14"/>
        <v>2.91422E-4</v>
      </c>
      <c r="AP40" s="55">
        <f t="shared" si="14"/>
        <v>2.3076039999999999E-2</v>
      </c>
      <c r="AQ40" s="55">
        <f t="shared" si="14"/>
        <v>0</v>
      </c>
      <c r="AR40" s="55">
        <f t="shared" si="14"/>
        <v>2.2824179999999999E-2</v>
      </c>
      <c r="AS40" s="55">
        <f t="shared" si="14"/>
        <v>2.283457E-3</v>
      </c>
      <c r="AT40" s="55">
        <f t="shared" si="14"/>
        <v>3.9364200000000004E-3</v>
      </c>
      <c r="AU40" s="55">
        <f t="shared" si="14"/>
        <v>6.759125999999999E-3</v>
      </c>
      <c r="AV40" s="55">
        <f t="shared" si="14"/>
        <v>0</v>
      </c>
      <c r="AW40" s="55">
        <f t="shared" si="14"/>
        <v>2.3368640000000001E-3</v>
      </c>
      <c r="AX40" s="55">
        <f t="shared" si="14"/>
        <v>0</v>
      </c>
      <c r="AY40" s="55">
        <f t="shared" si="14"/>
        <v>0.13968900000000001</v>
      </c>
      <c r="AZ40" s="55">
        <f t="shared" si="14"/>
        <v>1.4689230000000001E-2</v>
      </c>
      <c r="BA40" s="55">
        <f t="shared" si="14"/>
        <v>2.7151080000000003</v>
      </c>
      <c r="BB40" s="64">
        <f t="shared" si="15"/>
        <v>0.73432468100000003</v>
      </c>
      <c r="BC40" s="64">
        <f t="shared" si="16"/>
        <v>0.57191251999999992</v>
      </c>
      <c r="BD40" s="56">
        <f t="shared" si="17"/>
        <v>2.1189569999999999E-3</v>
      </c>
      <c r="BE40" s="64">
        <f t="shared" si="18"/>
        <v>0.16029320399999999</v>
      </c>
    </row>
    <row r="41" spans="1:71" x14ac:dyDescent="0.25">
      <c r="A41" t="s">
        <v>163</v>
      </c>
      <c r="B41" t="s">
        <v>161</v>
      </c>
      <c r="D41" s="55">
        <v>48.06</v>
      </c>
      <c r="E41" s="55">
        <v>8.16</v>
      </c>
      <c r="F41" s="55">
        <v>7.17</v>
      </c>
      <c r="G41" s="55">
        <v>17.079999999999998</v>
      </c>
      <c r="H41" s="55">
        <v>4.3899999999999997</v>
      </c>
      <c r="I41" s="55">
        <v>0.57999999999999996</v>
      </c>
      <c r="J41" s="55">
        <v>6.95</v>
      </c>
      <c r="K41" s="55">
        <v>2.79</v>
      </c>
      <c r="L41" s="55"/>
      <c r="M41" s="55">
        <v>0.56999999999999995</v>
      </c>
      <c r="N41" s="55">
        <v>0.48</v>
      </c>
      <c r="O41" s="55">
        <v>0.01</v>
      </c>
      <c r="P41" s="55"/>
      <c r="Q41" s="55">
        <v>1.66</v>
      </c>
      <c r="R41" s="55">
        <v>0.15</v>
      </c>
      <c r="S41" s="55">
        <v>0.05</v>
      </c>
      <c r="T41" s="55">
        <v>0</v>
      </c>
      <c r="U41" s="55">
        <v>0.04</v>
      </c>
      <c r="V41" s="55">
        <v>2.0699999999999998</v>
      </c>
      <c r="W41" s="55">
        <f t="shared" si="14"/>
        <v>1.25048E-2</v>
      </c>
      <c r="X41" s="55">
        <f t="shared" si="14"/>
        <v>5.0248770000000005E-2</v>
      </c>
      <c r="Y41" s="55">
        <f t="shared" si="14"/>
        <v>2.6307000000000001E-4</v>
      </c>
      <c r="Z41" s="55">
        <f t="shared" si="14"/>
        <v>4.6648800000000004E-4</v>
      </c>
      <c r="AA41" s="55">
        <f t="shared" si="14"/>
        <v>0</v>
      </c>
      <c r="AB41" s="55">
        <f t="shared" si="14"/>
        <v>0</v>
      </c>
      <c r="AC41" s="55">
        <f t="shared" si="14"/>
        <v>3.4158050000000003E-4</v>
      </c>
      <c r="AD41" s="55">
        <f t="shared" si="14"/>
        <v>3.8981799999999998E-3</v>
      </c>
      <c r="AE41" s="55">
        <f t="shared" si="14"/>
        <v>0</v>
      </c>
      <c r="AF41" s="55">
        <f t="shared" si="14"/>
        <v>1.450539E-2</v>
      </c>
      <c r="AG41" s="55">
        <f t="shared" si="14"/>
        <v>0</v>
      </c>
      <c r="AH41" s="55">
        <f t="shared" si="14"/>
        <v>4.8671200000000005E-2</v>
      </c>
      <c r="AI41" s="55">
        <f t="shared" si="14"/>
        <v>3.0474279999999999E-4</v>
      </c>
      <c r="AJ41" s="55">
        <f t="shared" si="14"/>
        <v>5.9937950000000004E-2</v>
      </c>
      <c r="AK41" s="55">
        <f t="shared" si="14"/>
        <v>2.8693440000000004E-2</v>
      </c>
      <c r="AL41" s="55">
        <f t="shared" si="14"/>
        <v>0</v>
      </c>
      <c r="AM41" s="55">
        <f t="shared" si="14"/>
        <v>0</v>
      </c>
      <c r="AN41" s="55">
        <f t="shared" si="14"/>
        <v>2.0340959999999998E-2</v>
      </c>
      <c r="AO41" s="55">
        <f t="shared" si="14"/>
        <v>2.7608400000000001E-3</v>
      </c>
      <c r="AP41" s="55">
        <f t="shared" si="14"/>
        <v>8.3607159999999989E-3</v>
      </c>
      <c r="AQ41" s="55">
        <f t="shared" si="14"/>
        <v>0</v>
      </c>
      <c r="AR41" s="55">
        <f t="shared" si="14"/>
        <v>2.0932020000000003E-2</v>
      </c>
      <c r="AS41" s="55">
        <f t="shared" si="14"/>
        <v>7.326600000000001E-4</v>
      </c>
      <c r="AT41" s="55">
        <f t="shared" si="14"/>
        <v>5.6514100000000002E-4</v>
      </c>
      <c r="AU41" s="55">
        <f t="shared" si="14"/>
        <v>6.3722399999999993E-4</v>
      </c>
      <c r="AV41" s="55">
        <f t="shared" si="14"/>
        <v>0</v>
      </c>
      <c r="AW41" s="55">
        <f t="shared" si="14"/>
        <v>2.6091199999999997E-4</v>
      </c>
      <c r="AX41" s="55">
        <f t="shared" si="14"/>
        <v>0</v>
      </c>
      <c r="AY41" s="55">
        <f t="shared" si="14"/>
        <v>2.0572380000000001E-2</v>
      </c>
      <c r="AZ41" s="55">
        <f t="shared" si="14"/>
        <v>2.254626E-3</v>
      </c>
      <c r="BA41" s="55">
        <f t="shared" si="14"/>
        <v>0.57138840000000002</v>
      </c>
      <c r="BB41" s="64">
        <f t="shared" si="15"/>
        <v>0.1600125963</v>
      </c>
      <c r="BC41" s="64">
        <f t="shared" si="16"/>
        <v>0.135974126</v>
      </c>
      <c r="BD41" s="56">
        <f t="shared" si="17"/>
        <v>3.4158050000000003E-4</v>
      </c>
      <c r="BE41" s="64">
        <f t="shared" si="18"/>
        <v>2.3696889800000003E-2</v>
      </c>
    </row>
    <row r="42" spans="1:71" x14ac:dyDescent="0.25">
      <c r="A42" t="s">
        <v>184</v>
      </c>
      <c r="B42" t="s">
        <v>185</v>
      </c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>
        <f t="shared" ref="W42:BA42" si="19">W33</f>
        <v>0</v>
      </c>
      <c r="X42" s="55">
        <f t="shared" si="19"/>
        <v>0.20691313904265712</v>
      </c>
      <c r="Y42" s="55">
        <f t="shared" si="19"/>
        <v>0</v>
      </c>
      <c r="Z42" s="55">
        <f t="shared" si="19"/>
        <v>0</v>
      </c>
      <c r="AA42" s="55">
        <f t="shared" si="19"/>
        <v>1.9E-2</v>
      </c>
      <c r="AB42" s="55">
        <f t="shared" si="19"/>
        <v>1.6E-2</v>
      </c>
      <c r="AC42" s="55">
        <f t="shared" si="19"/>
        <v>2E-3</v>
      </c>
      <c r="AD42" s="55">
        <f t="shared" si="19"/>
        <v>0</v>
      </c>
      <c r="AE42" s="55">
        <f t="shared" si="19"/>
        <v>1.7000000000000001E-2</v>
      </c>
      <c r="AF42" s="55">
        <f t="shared" si="19"/>
        <v>0</v>
      </c>
      <c r="AG42" s="55">
        <f t="shared" si="19"/>
        <v>4.0000000000000001E-3</v>
      </c>
      <c r="AH42" s="55">
        <f t="shared" si="19"/>
        <v>0.11600000000000001</v>
      </c>
      <c r="AI42" s="55">
        <f t="shared" si="19"/>
        <v>2E-3</v>
      </c>
      <c r="AJ42" s="55">
        <f t="shared" si="19"/>
        <v>0</v>
      </c>
      <c r="AK42" s="55">
        <f t="shared" si="19"/>
        <v>0.08</v>
      </c>
      <c r="AL42" s="55">
        <f t="shared" si="19"/>
        <v>0</v>
      </c>
      <c r="AM42" s="55">
        <f t="shared" si="19"/>
        <v>2.3406E-2</v>
      </c>
      <c r="AN42" s="55">
        <f t="shared" si="19"/>
        <v>0</v>
      </c>
      <c r="AO42" s="55">
        <f t="shared" si="19"/>
        <v>0</v>
      </c>
      <c r="AP42" s="55">
        <f t="shared" si="19"/>
        <v>1.4999999999999999E-2</v>
      </c>
      <c r="AQ42" s="55">
        <f t="shared" si="19"/>
        <v>0</v>
      </c>
      <c r="AR42" s="55">
        <f t="shared" si="19"/>
        <v>0</v>
      </c>
      <c r="AS42" s="55">
        <f t="shared" si="19"/>
        <v>0</v>
      </c>
      <c r="AT42" s="55">
        <f t="shared" si="19"/>
        <v>2.9357252167998642E-3</v>
      </c>
      <c r="AU42" s="55">
        <f t="shared" si="19"/>
        <v>0</v>
      </c>
      <c r="AV42" s="55">
        <f t="shared" si="19"/>
        <v>2E-3</v>
      </c>
      <c r="AW42" s="55">
        <f t="shared" si="19"/>
        <v>0</v>
      </c>
      <c r="AX42" s="55">
        <f t="shared" si="19"/>
        <v>0</v>
      </c>
      <c r="AY42" s="55">
        <f t="shared" si="19"/>
        <v>0.127</v>
      </c>
      <c r="AZ42" s="55">
        <f t="shared" si="19"/>
        <v>1.2999999999999999E-2</v>
      </c>
      <c r="BA42" s="55">
        <f t="shared" si="19"/>
        <v>0</v>
      </c>
      <c r="BB42" s="64">
        <f t="shared" si="15"/>
        <v>0.646254864259457</v>
      </c>
      <c r="BC42" s="64">
        <f t="shared" si="16"/>
        <v>0.41791313904265714</v>
      </c>
      <c r="BD42" s="56">
        <f t="shared" si="17"/>
        <v>4.2405999999999999E-2</v>
      </c>
      <c r="BE42" s="64">
        <f t="shared" si="18"/>
        <v>0.16993572521679987</v>
      </c>
    </row>
    <row r="43" spans="1:71" s="35" customFormat="1" x14ac:dyDescent="0.25">
      <c r="A43" s="47" t="s">
        <v>164</v>
      </c>
      <c r="B43" s="47" t="s">
        <v>161</v>
      </c>
      <c r="D43" s="38">
        <f t="shared" ref="D43:AX43" si="20">((D41*0.14)+(0.09*D40)+(0.77*D39))</f>
        <v>52.467399999999998</v>
      </c>
      <c r="E43" s="38">
        <f t="shared" si="20"/>
        <v>12.406300000000002</v>
      </c>
      <c r="F43" s="38">
        <f t="shared" si="20"/>
        <v>7.6303999999999998</v>
      </c>
      <c r="G43" s="38">
        <f t="shared" si="20"/>
        <v>5.6456</v>
      </c>
      <c r="H43" s="38">
        <f t="shared" si="20"/>
        <v>2.5538000000000003</v>
      </c>
      <c r="I43" s="38">
        <f t="shared" si="20"/>
        <v>0.28350000000000003</v>
      </c>
      <c r="J43" s="38">
        <f t="shared" si="20"/>
        <v>8.6131999999999991</v>
      </c>
      <c r="K43" s="38">
        <f t="shared" si="20"/>
        <v>3.8065000000000002</v>
      </c>
      <c r="L43" s="38">
        <f t="shared" si="20"/>
        <v>0</v>
      </c>
      <c r="M43" s="38">
        <f t="shared" si="20"/>
        <v>0.26419999999999999</v>
      </c>
      <c r="N43" s="38">
        <f t="shared" si="20"/>
        <v>0.34279999999999999</v>
      </c>
      <c r="O43" s="38">
        <f t="shared" si="20"/>
        <v>3.5799999999999998E-2</v>
      </c>
      <c r="P43" s="38">
        <f t="shared" si="20"/>
        <v>0</v>
      </c>
      <c r="Q43" s="38">
        <f t="shared" si="20"/>
        <v>2.5922999999999998</v>
      </c>
      <c r="R43" s="38">
        <f t="shared" si="20"/>
        <v>0.35559999999999997</v>
      </c>
      <c r="S43" s="38">
        <f t="shared" si="20"/>
        <v>8.1699999999999995E-2</v>
      </c>
      <c r="T43" s="38">
        <f t="shared" si="20"/>
        <v>8.6E-3</v>
      </c>
      <c r="U43" s="38">
        <f t="shared" si="20"/>
        <v>6.3400000000000012E-2</v>
      </c>
      <c r="V43" s="38">
        <f t="shared" si="20"/>
        <v>1.1325000000000001</v>
      </c>
      <c r="W43" s="38">
        <f t="shared" si="20"/>
        <v>1.7642933E-2</v>
      </c>
      <c r="X43" s="38">
        <f>((X41*0.14)+(0.09*AVERAGE(X40,X42))+(0.77*X39))</f>
        <v>0.16193850905691959</v>
      </c>
      <c r="Y43" s="38">
        <f t="shared" si="20"/>
        <v>5.217555E-4</v>
      </c>
      <c r="Z43" s="38">
        <f t="shared" si="20"/>
        <v>5.5151604E-4</v>
      </c>
      <c r="AA43" s="38">
        <f>((AA41*0.14)+(0.09*AVERAGE(AA40,AA42))+(0.77*AA39))</f>
        <v>8.5499999999999997E-4</v>
      </c>
      <c r="AB43" s="38">
        <f>((AB41*0.14)+(0.09*AVERAGE(AB40,AB42))+(0.77*AB39))</f>
        <v>7.1999999999999994E-4</v>
      </c>
      <c r="AC43" s="38">
        <f>((AC41*0.14)+(0.09*AVERAGE(AC40,AC42))+(0.77*AC39))</f>
        <v>8.7333092899999994E-4</v>
      </c>
      <c r="AD43" s="38">
        <f t="shared" si="20"/>
        <v>4.8713808000000001E-3</v>
      </c>
      <c r="AE43" s="38">
        <f>((AE41*0.14)+(0.09*AVERAGE(AE40,AE42))+(0.77*AE39))</f>
        <v>7.6500000000000005E-4</v>
      </c>
      <c r="AF43" s="38">
        <f t="shared" si="20"/>
        <v>3.0855205199999999E-2</v>
      </c>
      <c r="AG43" s="38">
        <f>((AG41*0.14)+(0.09*AVERAGE(AG40,AG42))+(0.77*AG39))</f>
        <v>1.7999999999999998E-4</v>
      </c>
      <c r="AH43" s="38">
        <f>((AH41*0.14)+(0.09*AVERAGE(AH40,AH42))+(0.77*AH39))</f>
        <v>8.6150236800000002E-2</v>
      </c>
      <c r="AI43" s="38">
        <f>((AI41*0.14)+(0.09*AVERAGE(AI40,AI42))+(0.77*AI39))</f>
        <v>1.0324739639999999E-3</v>
      </c>
      <c r="AJ43" s="38">
        <f t="shared" si="20"/>
        <v>0.13119687700000002</v>
      </c>
      <c r="AK43" s="38">
        <f>((AK41*0.14)+(0.09*AVERAGE(AK40,AK42))+(0.77*AK39))</f>
        <v>6.2843205600000007E-2</v>
      </c>
      <c r="AL43" s="38">
        <f t="shared" si="20"/>
        <v>0</v>
      </c>
      <c r="AM43" s="38">
        <f>((AM41*0.14)+(0.09*AVERAGE(AM40,AM42))+(0.77*AM39))</f>
        <v>1.05327E-3</v>
      </c>
      <c r="AN43" s="38">
        <f t="shared" si="20"/>
        <v>5.1578550399999992E-2</v>
      </c>
      <c r="AO43" s="38">
        <f t="shared" si="20"/>
        <v>5.5446870000000004E-4</v>
      </c>
      <c r="AP43" s="38">
        <f>((AP41*0.14)+(0.09*AVERAGE(AP40,AP42))+(0.77*AP39))</f>
        <v>1.225928804E-2</v>
      </c>
      <c r="AQ43" s="38">
        <f t="shared" si="20"/>
        <v>0</v>
      </c>
      <c r="AR43" s="38">
        <f t="shared" si="20"/>
        <v>1.4819160600000002E-2</v>
      </c>
      <c r="AS43" s="38">
        <f t="shared" si="20"/>
        <v>5.6298815500000002E-3</v>
      </c>
      <c r="AT43" s="38">
        <f>((AT41*0.14)+(0.09*AVERAGE(AT40,AT42))+(0.77*AT39))</f>
        <v>2.2495332747559942E-3</v>
      </c>
      <c r="AU43" s="38">
        <f t="shared" si="20"/>
        <v>1.2582898199999999E-3</v>
      </c>
      <c r="AV43" s="38">
        <f>((AV41*0.14)+(0.09*AVERAGE(AV40,AV42))+(0.77*AV39))</f>
        <v>8.9999999999999992E-5</v>
      </c>
      <c r="AW43" s="38">
        <f t="shared" si="20"/>
        <v>2.29080736E-3</v>
      </c>
      <c r="AX43" s="38">
        <f t="shared" si="20"/>
        <v>0</v>
      </c>
      <c r="AY43" s="38">
        <f>((AY41*0.14)+(0.09*AVERAGE(AY40,AY42))+(0.77*AY39))</f>
        <v>8.9097903900000011E-2</v>
      </c>
      <c r="AZ43" s="38">
        <f>((AZ41*0.14)+(0.09*AVERAGE(AZ40,AZ42))+(0.77*AZ39))</f>
        <v>7.2783924700000006E-3</v>
      </c>
      <c r="BA43" s="38">
        <f t="shared" ref="BA43" si="21">((BA41*0.14)+(0.09*BA40)+(0.77*BA39))</f>
        <v>1.593295616</v>
      </c>
      <c r="BB43" s="122">
        <f t="shared" si="15"/>
        <v>0.42738614403467562</v>
      </c>
      <c r="BC43" s="122">
        <f t="shared" si="16"/>
        <v>0.32319123949691958</v>
      </c>
      <c r="BD43" s="57">
        <f t="shared" si="17"/>
        <v>2.6916009289999999E-3</v>
      </c>
      <c r="BE43" s="122">
        <f t="shared" si="18"/>
        <v>0.10078330360875601</v>
      </c>
    </row>
    <row r="44" spans="1:71" s="35" customFormat="1" x14ac:dyDescent="0.25">
      <c r="A44" s="35" t="s">
        <v>186</v>
      </c>
      <c r="B44" s="47" t="s">
        <v>187</v>
      </c>
      <c r="D44" s="38">
        <f t="shared" ref="D44:V44" si="22">D7</f>
        <v>52.078699999999998</v>
      </c>
      <c r="E44" s="38">
        <f t="shared" si="22"/>
        <v>11.663150000000002</v>
      </c>
      <c r="F44" s="38">
        <f t="shared" si="22"/>
        <v>9.8401999999999994</v>
      </c>
      <c r="G44" s="38">
        <f t="shared" si="22"/>
        <v>3.8628</v>
      </c>
      <c r="H44" s="38">
        <f t="shared" si="22"/>
        <v>1.9519000000000002</v>
      </c>
      <c r="I44" s="38">
        <f t="shared" si="22"/>
        <v>0.14675000000000002</v>
      </c>
      <c r="J44" s="38">
        <f t="shared" si="22"/>
        <v>4.3065999999999995</v>
      </c>
      <c r="K44" s="38">
        <f t="shared" si="22"/>
        <v>3.3032500000000002</v>
      </c>
      <c r="L44" s="38">
        <f t="shared" si="22"/>
        <v>0</v>
      </c>
      <c r="M44" s="38">
        <f t="shared" si="22"/>
        <v>0.2571</v>
      </c>
      <c r="N44" s="38">
        <f t="shared" si="22"/>
        <v>0.1714</v>
      </c>
      <c r="O44" s="38">
        <f t="shared" si="22"/>
        <v>2.7900000000000001E-2</v>
      </c>
      <c r="P44" s="38">
        <f t="shared" si="22"/>
        <v>0</v>
      </c>
      <c r="Q44" s="38">
        <f t="shared" si="22"/>
        <v>1.4511499999999999</v>
      </c>
      <c r="R44" s="38">
        <f t="shared" si="22"/>
        <v>0.17779999999999999</v>
      </c>
      <c r="S44" s="38">
        <f t="shared" si="22"/>
        <v>4.0849999999999997E-2</v>
      </c>
      <c r="T44" s="38">
        <f t="shared" si="22"/>
        <v>4.3E-3</v>
      </c>
      <c r="U44" s="38">
        <f t="shared" si="22"/>
        <v>3.1700000000000006E-2</v>
      </c>
      <c r="V44" s="38">
        <f t="shared" si="22"/>
        <v>0.59625000000000006</v>
      </c>
      <c r="W44" s="38">
        <f t="shared" ref="W44:BA44" si="23">W43*0.5+W45*0.5</f>
        <v>8.8214664999999998E-3</v>
      </c>
      <c r="X44" s="38">
        <f t="shared" si="23"/>
        <v>8.0969254528459794E-2</v>
      </c>
      <c r="Y44" s="38">
        <f t="shared" si="23"/>
        <v>2.6087775E-4</v>
      </c>
      <c r="Z44" s="38">
        <f t="shared" si="23"/>
        <v>2.7575802E-4</v>
      </c>
      <c r="AA44" s="38">
        <f t="shared" si="23"/>
        <v>4.2749999999999998E-4</v>
      </c>
      <c r="AB44" s="38">
        <f t="shared" si="23"/>
        <v>3.5999999999999997E-4</v>
      </c>
      <c r="AC44" s="38">
        <f t="shared" si="23"/>
        <v>4.3666546449999997E-4</v>
      </c>
      <c r="AD44" s="38">
        <f t="shared" si="23"/>
        <v>2.4356904E-3</v>
      </c>
      <c r="AE44" s="38">
        <f t="shared" si="23"/>
        <v>3.8250000000000003E-4</v>
      </c>
      <c r="AF44" s="38">
        <f t="shared" si="23"/>
        <v>1.54276026E-2</v>
      </c>
      <c r="AG44" s="38">
        <f t="shared" si="23"/>
        <v>8.9999999999999992E-5</v>
      </c>
      <c r="AH44" s="38">
        <f t="shared" si="23"/>
        <v>4.3075118400000001E-2</v>
      </c>
      <c r="AI44" s="38">
        <f t="shared" si="23"/>
        <v>5.1623698199999997E-4</v>
      </c>
      <c r="AJ44" s="38">
        <f t="shared" si="23"/>
        <v>6.5598438500000009E-2</v>
      </c>
      <c r="AK44" s="38">
        <f t="shared" si="23"/>
        <v>3.1421602800000004E-2</v>
      </c>
      <c r="AL44" s="38">
        <f t="shared" si="23"/>
        <v>0</v>
      </c>
      <c r="AM44" s="38">
        <f t="shared" si="23"/>
        <v>5.2663500000000002E-4</v>
      </c>
      <c r="AN44" s="38">
        <f t="shared" si="23"/>
        <v>2.5789275199999996E-2</v>
      </c>
      <c r="AO44" s="38">
        <f t="shared" si="23"/>
        <v>2.7723435000000002E-4</v>
      </c>
      <c r="AP44" s="38">
        <f t="shared" si="23"/>
        <v>6.12964402E-3</v>
      </c>
      <c r="AQ44" s="38">
        <f t="shared" si="23"/>
        <v>0</v>
      </c>
      <c r="AR44" s="38">
        <f t="shared" si="23"/>
        <v>7.4095803000000012E-3</v>
      </c>
      <c r="AS44" s="38">
        <f t="shared" si="23"/>
        <v>2.8149407750000001E-3</v>
      </c>
      <c r="AT44" s="38">
        <f t="shared" si="23"/>
        <v>1.1247666373779971E-3</v>
      </c>
      <c r="AU44" s="38">
        <f t="shared" si="23"/>
        <v>6.2914490999999993E-4</v>
      </c>
      <c r="AV44" s="38">
        <f t="shared" si="23"/>
        <v>4.4999999999999996E-5</v>
      </c>
      <c r="AW44" s="38">
        <f t="shared" si="23"/>
        <v>2.4726516800000001E-3</v>
      </c>
      <c r="AX44" s="38">
        <f t="shared" si="23"/>
        <v>0</v>
      </c>
      <c r="AY44" s="38">
        <f t="shared" si="23"/>
        <v>0.10575813195</v>
      </c>
      <c r="AZ44" s="38">
        <f t="shared" si="23"/>
        <v>3.6391962350000003E-3</v>
      </c>
      <c r="BA44" s="38">
        <f t="shared" si="23"/>
        <v>0.79664780800000001</v>
      </c>
      <c r="BB44" s="122">
        <f t="shared" si="15"/>
        <v>0.27490225201733776</v>
      </c>
      <c r="BC44" s="122">
        <f t="shared" si="16"/>
        <v>0.16159561974845979</v>
      </c>
      <c r="BD44" s="57">
        <f t="shared" si="17"/>
        <v>1.3458004645E-3</v>
      </c>
      <c r="BE44" s="122">
        <f t="shared" si="18"/>
        <v>0.11160083180437801</v>
      </c>
    </row>
    <row r="45" spans="1:71" x14ac:dyDescent="0.25">
      <c r="A45" t="s">
        <v>166</v>
      </c>
      <c r="B45" t="s">
        <v>167</v>
      </c>
      <c r="D45" s="8">
        <v>51.69</v>
      </c>
      <c r="E45" s="8">
        <v>10.92</v>
      </c>
      <c r="F45" s="8">
        <v>12.05</v>
      </c>
      <c r="G45" s="8">
        <v>2.08</v>
      </c>
      <c r="H45" s="8">
        <v>1.35</v>
      </c>
      <c r="I45" s="8">
        <v>0.01</v>
      </c>
      <c r="J45" s="8"/>
      <c r="K45" s="8">
        <v>2.8</v>
      </c>
      <c r="L45" s="8"/>
      <c r="M45" s="8">
        <v>0.25</v>
      </c>
      <c r="N45" s="8"/>
      <c r="O45" s="8">
        <v>0.02</v>
      </c>
      <c r="P45" s="8"/>
      <c r="Q45" s="8">
        <v>0.31</v>
      </c>
      <c r="R45" s="8"/>
      <c r="S45" s="8"/>
      <c r="T45" s="8"/>
      <c r="U45" s="8"/>
      <c r="V45" s="8">
        <v>0.06</v>
      </c>
      <c r="W45" s="8">
        <f t="shared" ref="W45:BA51" si="24">W$36*W8/10000</f>
        <v>0</v>
      </c>
      <c r="X45" s="8">
        <f t="shared" si="24"/>
        <v>0</v>
      </c>
      <c r="Y45" s="8">
        <f t="shared" si="24"/>
        <v>0</v>
      </c>
      <c r="Z45" s="8">
        <f t="shared" si="24"/>
        <v>0</v>
      </c>
      <c r="AA45" s="8">
        <f t="shared" si="24"/>
        <v>0</v>
      </c>
      <c r="AB45" s="8">
        <f t="shared" si="24"/>
        <v>0</v>
      </c>
      <c r="AC45" s="8">
        <f t="shared" si="24"/>
        <v>0</v>
      </c>
      <c r="AD45" s="8">
        <f t="shared" si="24"/>
        <v>0</v>
      </c>
      <c r="AE45" s="8">
        <f t="shared" si="24"/>
        <v>0</v>
      </c>
      <c r="AF45" s="8">
        <f t="shared" si="24"/>
        <v>0</v>
      </c>
      <c r="AG45" s="8">
        <f t="shared" si="24"/>
        <v>0</v>
      </c>
      <c r="AH45" s="8">
        <f t="shared" si="24"/>
        <v>0</v>
      </c>
      <c r="AI45" s="8">
        <f t="shared" si="24"/>
        <v>0</v>
      </c>
      <c r="AJ45" s="8">
        <f t="shared" si="24"/>
        <v>0</v>
      </c>
      <c r="AK45" s="8">
        <f t="shared" si="24"/>
        <v>0</v>
      </c>
      <c r="AL45" s="8">
        <f t="shared" si="24"/>
        <v>0</v>
      </c>
      <c r="AM45" s="8">
        <f t="shared" si="24"/>
        <v>0</v>
      </c>
      <c r="AN45" s="8">
        <f t="shared" si="24"/>
        <v>0</v>
      </c>
      <c r="AO45" s="8">
        <f t="shared" si="24"/>
        <v>0</v>
      </c>
      <c r="AP45" s="8">
        <f t="shared" si="24"/>
        <v>0</v>
      </c>
      <c r="AQ45" s="8">
        <f t="shared" si="24"/>
        <v>0</v>
      </c>
      <c r="AR45" s="8">
        <f t="shared" si="24"/>
        <v>0</v>
      </c>
      <c r="AS45" s="8">
        <f t="shared" si="24"/>
        <v>0</v>
      </c>
      <c r="AT45" s="8">
        <f t="shared" si="24"/>
        <v>0</v>
      </c>
      <c r="AU45" s="8">
        <f t="shared" si="24"/>
        <v>0</v>
      </c>
      <c r="AV45" s="8">
        <f t="shared" si="24"/>
        <v>0</v>
      </c>
      <c r="AW45" s="8">
        <f t="shared" si="24"/>
        <v>2.6544960000000001E-3</v>
      </c>
      <c r="AX45" s="8">
        <f t="shared" si="24"/>
        <v>0</v>
      </c>
      <c r="AY45" s="8">
        <f t="shared" si="24"/>
        <v>0.12241836</v>
      </c>
      <c r="AZ45" s="8">
        <f t="shared" si="24"/>
        <v>0</v>
      </c>
      <c r="BA45" s="8">
        <f t="shared" si="24"/>
        <v>0</v>
      </c>
      <c r="BB45" s="64">
        <f t="shared" si="15"/>
        <v>0.12241836</v>
      </c>
      <c r="BC45" s="64">
        <f t="shared" si="16"/>
        <v>0</v>
      </c>
      <c r="BD45" s="56">
        <f t="shared" si="17"/>
        <v>0</v>
      </c>
      <c r="BE45" s="64">
        <f t="shared" si="18"/>
        <v>0.12241836</v>
      </c>
    </row>
    <row r="46" spans="1:71" x14ac:dyDescent="0.25">
      <c r="A46" t="s">
        <v>168</v>
      </c>
      <c r="B46" t="s">
        <v>161</v>
      </c>
      <c r="D46" s="8">
        <v>53.24</v>
      </c>
      <c r="E46" s="8">
        <v>15.08</v>
      </c>
      <c r="F46" s="8">
        <v>8.83</v>
      </c>
      <c r="G46" s="8">
        <v>2.2000000000000002</v>
      </c>
      <c r="H46" s="8">
        <v>0.79</v>
      </c>
      <c r="I46" s="8">
        <v>0.19</v>
      </c>
      <c r="J46" s="8">
        <v>11.52</v>
      </c>
      <c r="K46" s="8">
        <v>3.32</v>
      </c>
      <c r="L46" s="8"/>
      <c r="M46" s="8">
        <v>0.17</v>
      </c>
      <c r="N46" s="8">
        <v>0.21</v>
      </c>
      <c r="O46" s="8">
        <v>0.03</v>
      </c>
      <c r="P46" s="8"/>
      <c r="Q46" s="8">
        <v>1.98</v>
      </c>
      <c r="R46" s="8">
        <v>0.15</v>
      </c>
      <c r="S46" s="8">
        <v>0.09</v>
      </c>
      <c r="T46" s="8">
        <v>0.04</v>
      </c>
      <c r="U46" s="8">
        <v>0.05</v>
      </c>
      <c r="V46" s="8">
        <v>0.04</v>
      </c>
      <c r="W46" s="8">
        <f t="shared" si="24"/>
        <v>7.5921999999999995E-3</v>
      </c>
      <c r="X46" s="8">
        <f t="shared" si="24"/>
        <v>0.20614879999999999</v>
      </c>
      <c r="Y46" s="8">
        <f t="shared" si="24"/>
        <v>1.6076500000000002E-4</v>
      </c>
      <c r="Z46" s="8">
        <f t="shared" si="24"/>
        <v>5.40702E-4</v>
      </c>
      <c r="AA46" s="8">
        <f t="shared" si="24"/>
        <v>0</v>
      </c>
      <c r="AB46" s="8">
        <f t="shared" si="24"/>
        <v>0</v>
      </c>
      <c r="AC46" s="8">
        <f t="shared" si="24"/>
        <v>1.3431639999999998E-3</v>
      </c>
      <c r="AD46" s="8">
        <f t="shared" si="24"/>
        <v>7.5275200000000002E-3</v>
      </c>
      <c r="AE46" s="8">
        <f t="shared" si="24"/>
        <v>0</v>
      </c>
      <c r="AF46" s="8">
        <f t="shared" si="24"/>
        <v>1.4269530000000001E-2</v>
      </c>
      <c r="AG46" s="8">
        <f t="shared" si="24"/>
        <v>0</v>
      </c>
      <c r="AH46" s="8">
        <f t="shared" si="24"/>
        <v>9.8984320000000001E-2</v>
      </c>
      <c r="AI46" s="8">
        <f t="shared" si="24"/>
        <v>7.720909E-4</v>
      </c>
      <c r="AJ46" s="8">
        <f t="shared" si="24"/>
        <v>8.5114750000000003E-2</v>
      </c>
      <c r="AK46" s="8">
        <f t="shared" si="24"/>
        <v>7.9781760000000007E-2</v>
      </c>
      <c r="AL46" s="8">
        <f t="shared" si="24"/>
        <v>0</v>
      </c>
      <c r="AM46" s="8">
        <f t="shared" si="24"/>
        <v>0</v>
      </c>
      <c r="AN46" s="8">
        <f t="shared" si="24"/>
        <v>7.2724399999999995E-2</v>
      </c>
      <c r="AO46" s="8">
        <f t="shared" si="24"/>
        <v>3.2209799999999998E-5</v>
      </c>
      <c r="AP46" s="8">
        <f t="shared" si="24"/>
        <v>1.2407719999999999E-2</v>
      </c>
      <c r="AQ46" s="8">
        <f t="shared" si="24"/>
        <v>0</v>
      </c>
      <c r="AR46" s="8">
        <f t="shared" si="24"/>
        <v>6.0312600000000001E-3</v>
      </c>
      <c r="AS46" s="8">
        <f t="shared" si="24"/>
        <v>2.6009430000000001E-3</v>
      </c>
      <c r="AT46" s="8">
        <f t="shared" si="24"/>
        <v>2.0602899999999998E-3</v>
      </c>
      <c r="AU46" s="8">
        <f t="shared" si="24"/>
        <v>8.2042589999999985E-3</v>
      </c>
      <c r="AV46" s="8">
        <f t="shared" si="24"/>
        <v>0</v>
      </c>
      <c r="AW46" s="8">
        <f t="shared" si="24"/>
        <v>2.4616479999999999E-3</v>
      </c>
      <c r="AX46" s="8">
        <f t="shared" si="24"/>
        <v>0</v>
      </c>
      <c r="AY46" s="8">
        <f t="shared" si="24"/>
        <v>7.7082929999999994E-2</v>
      </c>
      <c r="AZ46" s="8">
        <f t="shared" si="24"/>
        <v>6.4564289999999996E-3</v>
      </c>
      <c r="BA46" s="8">
        <f t="shared" si="24"/>
        <v>0.89422960000000007</v>
      </c>
      <c r="BB46" s="64">
        <f t="shared" si="15"/>
        <v>0.48503750390000006</v>
      </c>
      <c r="BC46" s="64">
        <f t="shared" si="16"/>
        <v>0.39732259999999997</v>
      </c>
      <c r="BD46" s="56">
        <f t="shared" si="17"/>
        <v>1.3431639999999998E-3</v>
      </c>
      <c r="BE46" s="64">
        <f t="shared" si="18"/>
        <v>8.6371739899999994E-2</v>
      </c>
    </row>
    <row r="47" spans="1:71" x14ac:dyDescent="0.25">
      <c r="A47" t="s">
        <v>169</v>
      </c>
      <c r="B47" t="s">
        <v>161</v>
      </c>
      <c r="D47" s="8">
        <v>53.06</v>
      </c>
      <c r="E47" s="8">
        <v>14.29</v>
      </c>
      <c r="F47" s="8">
        <v>2.89</v>
      </c>
      <c r="G47" s="8">
        <v>7.75</v>
      </c>
      <c r="H47" s="8">
        <v>0.38</v>
      </c>
      <c r="I47" s="8">
        <v>0.14000000000000001</v>
      </c>
      <c r="J47" s="8">
        <v>9.84</v>
      </c>
      <c r="K47" s="8">
        <v>3.42</v>
      </c>
      <c r="L47" s="8"/>
      <c r="M47" s="8">
        <v>0.15</v>
      </c>
      <c r="N47" s="8">
        <v>0.44</v>
      </c>
      <c r="O47" s="8">
        <v>0.54</v>
      </c>
      <c r="P47" s="8"/>
      <c r="Q47" s="8">
        <v>4.26</v>
      </c>
      <c r="R47" s="8">
        <v>0.13</v>
      </c>
      <c r="S47" s="8">
        <v>0.06</v>
      </c>
      <c r="T47" s="8">
        <v>0.15</v>
      </c>
      <c r="U47" s="8">
        <v>0.02</v>
      </c>
      <c r="V47" s="8">
        <v>0.15</v>
      </c>
      <c r="W47" s="8">
        <f t="shared" si="24"/>
        <v>5.2475500000000001E-3</v>
      </c>
      <c r="X47" s="8">
        <f t="shared" si="24"/>
        <v>0.59033519999999995</v>
      </c>
      <c r="Y47" s="8">
        <f t="shared" si="24"/>
        <v>2.6307000000000001E-4</v>
      </c>
      <c r="Z47" s="8">
        <f t="shared" si="24"/>
        <v>7.8454800000000004E-4</v>
      </c>
      <c r="AA47" s="8">
        <f t="shared" si="24"/>
        <v>0</v>
      </c>
      <c r="AB47" s="8">
        <f t="shared" si="24"/>
        <v>0</v>
      </c>
      <c r="AC47" s="8">
        <f t="shared" si="24"/>
        <v>2.0031669999999997E-3</v>
      </c>
      <c r="AD47" s="8">
        <f t="shared" si="24"/>
        <v>7.7963599999999996E-3</v>
      </c>
      <c r="AE47" s="8">
        <f t="shared" si="24"/>
        <v>0</v>
      </c>
      <c r="AF47" s="8">
        <f t="shared" si="24"/>
        <v>7.1465579999999999E-3</v>
      </c>
      <c r="AG47" s="8">
        <f t="shared" si="24"/>
        <v>0</v>
      </c>
      <c r="AH47" s="8">
        <f t="shared" si="24"/>
        <v>0.43276320000000007</v>
      </c>
      <c r="AI47" s="8">
        <f t="shared" si="24"/>
        <v>6.0493720000000001E-4</v>
      </c>
      <c r="AJ47" s="8">
        <f t="shared" si="24"/>
        <v>7.138195E-2</v>
      </c>
      <c r="AK47" s="8">
        <f t="shared" si="24"/>
        <v>0.18312480000000003</v>
      </c>
      <c r="AL47" s="8">
        <f t="shared" si="24"/>
        <v>0</v>
      </c>
      <c r="AM47" s="8">
        <f t="shared" si="24"/>
        <v>0</v>
      </c>
      <c r="AN47" s="8">
        <f t="shared" si="24"/>
        <v>6.0257359999999996E-2</v>
      </c>
      <c r="AO47" s="8">
        <f t="shared" si="24"/>
        <v>7.9757600000000004E-5</v>
      </c>
      <c r="AP47" s="8">
        <f t="shared" si="24"/>
        <v>2.040896E-2</v>
      </c>
      <c r="AQ47" s="8">
        <f t="shared" si="24"/>
        <v>0</v>
      </c>
      <c r="AR47" s="8">
        <f t="shared" si="24"/>
        <v>7.2138600000000008E-3</v>
      </c>
      <c r="AS47" s="8">
        <f t="shared" si="24"/>
        <v>2.344512E-3</v>
      </c>
      <c r="AT47" s="8">
        <f t="shared" si="24"/>
        <v>2.6588100000000002E-3</v>
      </c>
      <c r="AU47" s="8">
        <f t="shared" si="24"/>
        <v>7.2256649999999992E-3</v>
      </c>
      <c r="AV47" s="8">
        <f t="shared" si="24"/>
        <v>0</v>
      </c>
      <c r="AW47" s="8">
        <f t="shared" si="24"/>
        <v>1.4066560000000001E-2</v>
      </c>
      <c r="AX47" s="8">
        <f t="shared" si="24"/>
        <v>0</v>
      </c>
      <c r="AY47" s="8">
        <f t="shared" si="24"/>
        <v>8.1527580000000002E-2</v>
      </c>
      <c r="AZ47" s="8">
        <f t="shared" si="24"/>
        <v>4.5661870000000002E-3</v>
      </c>
      <c r="BA47" s="8">
        <f t="shared" si="24"/>
        <v>0.71187160000000005</v>
      </c>
      <c r="BB47" s="64">
        <f t="shared" si="15"/>
        <v>1.3179928412000002</v>
      </c>
      <c r="BC47" s="64">
        <f t="shared" si="16"/>
        <v>1.2266321600000001</v>
      </c>
      <c r="BD47" s="56">
        <f t="shared" si="17"/>
        <v>2.0031669999999997E-3</v>
      </c>
      <c r="BE47" s="64">
        <f t="shared" si="18"/>
        <v>8.9357514200000002E-2</v>
      </c>
    </row>
    <row r="48" spans="1:71" x14ac:dyDescent="0.25">
      <c r="A48" t="s">
        <v>169</v>
      </c>
      <c r="B48" t="s">
        <v>170</v>
      </c>
      <c r="D48" s="8">
        <v>51.22</v>
      </c>
      <c r="E48" s="8">
        <v>12.06</v>
      </c>
      <c r="F48" s="8">
        <v>5.44</v>
      </c>
      <c r="G48" s="8">
        <v>8.8000000000000007</v>
      </c>
      <c r="H48" s="8">
        <v>0.26</v>
      </c>
      <c r="I48" s="8">
        <v>0.06</v>
      </c>
      <c r="J48" s="8">
        <v>9.9</v>
      </c>
      <c r="K48" s="8">
        <v>3.31</v>
      </c>
      <c r="L48" s="8"/>
      <c r="M48" s="8">
        <v>0.24</v>
      </c>
      <c r="N48" s="8">
        <v>0.56000000000000005</v>
      </c>
      <c r="O48" s="8">
        <v>0.73</v>
      </c>
      <c r="P48" s="8"/>
      <c r="Q48" s="8"/>
      <c r="R48" s="8"/>
      <c r="S48" s="8"/>
      <c r="T48" s="8">
        <v>0.15</v>
      </c>
      <c r="U48" s="8"/>
      <c r="V48" s="8">
        <v>0.04</v>
      </c>
      <c r="W48" s="8">
        <f t="shared" si="24"/>
        <v>8.3737499999999992E-3</v>
      </c>
      <c r="X48" s="8">
        <f t="shared" si="24"/>
        <v>0.45680699999999996</v>
      </c>
      <c r="Y48" s="8">
        <f t="shared" si="24"/>
        <v>0</v>
      </c>
      <c r="Z48" s="8">
        <f t="shared" si="24"/>
        <v>1.27224E-3</v>
      </c>
      <c r="AA48" s="8">
        <f t="shared" si="24"/>
        <v>0</v>
      </c>
      <c r="AB48" s="8">
        <f t="shared" si="24"/>
        <v>0</v>
      </c>
      <c r="AC48" s="8">
        <f t="shared" si="24"/>
        <v>0</v>
      </c>
      <c r="AD48" s="8">
        <f t="shared" si="24"/>
        <v>1.3576420000000002E-2</v>
      </c>
      <c r="AE48" s="8">
        <f t="shared" si="24"/>
        <v>0</v>
      </c>
      <c r="AF48" s="8">
        <f t="shared" si="24"/>
        <v>0</v>
      </c>
      <c r="AG48" s="8">
        <f t="shared" si="24"/>
        <v>0</v>
      </c>
      <c r="AH48" s="8">
        <f t="shared" si="24"/>
        <v>0.37646879999999999</v>
      </c>
      <c r="AI48" s="8">
        <f t="shared" si="24"/>
        <v>0</v>
      </c>
      <c r="AJ48" s="8">
        <f t="shared" si="24"/>
        <v>6.8664000000000017E-2</v>
      </c>
      <c r="AK48" s="8">
        <f t="shared" si="24"/>
        <v>0.10929168000000002</v>
      </c>
      <c r="AL48" s="8">
        <f t="shared" si="24"/>
        <v>0</v>
      </c>
      <c r="AM48" s="8">
        <f t="shared" si="24"/>
        <v>0</v>
      </c>
      <c r="AN48" s="8">
        <f t="shared" si="24"/>
        <v>6.0913519999999992E-2</v>
      </c>
      <c r="AO48" s="8">
        <f t="shared" si="24"/>
        <v>0</v>
      </c>
      <c r="AP48" s="8">
        <f t="shared" si="24"/>
        <v>0</v>
      </c>
      <c r="AQ48" s="8">
        <f t="shared" si="24"/>
        <v>0</v>
      </c>
      <c r="AR48" s="8">
        <f t="shared" si="24"/>
        <v>5.4399600000000006E-3</v>
      </c>
      <c r="AS48" s="8">
        <f t="shared" si="24"/>
        <v>0</v>
      </c>
      <c r="AT48" s="8">
        <f t="shared" si="24"/>
        <v>0</v>
      </c>
      <c r="AU48" s="8">
        <f t="shared" si="24"/>
        <v>8.6480399999999992E-3</v>
      </c>
      <c r="AV48" s="8">
        <f t="shared" si="24"/>
        <v>0</v>
      </c>
      <c r="AW48" s="8">
        <f t="shared" si="24"/>
        <v>1.07768E-2</v>
      </c>
      <c r="AX48" s="8">
        <f t="shared" si="24"/>
        <v>0</v>
      </c>
      <c r="AY48" s="8">
        <f t="shared" si="24"/>
        <v>7.5559050000000003E-2</v>
      </c>
      <c r="AZ48" s="8">
        <f t="shared" si="24"/>
        <v>0</v>
      </c>
      <c r="BA48" s="8">
        <f t="shared" si="24"/>
        <v>0</v>
      </c>
      <c r="BB48" s="64">
        <f t="shared" si="15"/>
        <v>1.01812653</v>
      </c>
      <c r="BC48" s="64">
        <f t="shared" si="16"/>
        <v>0.9425674799999999</v>
      </c>
      <c r="BD48" s="56">
        <f t="shared" si="17"/>
        <v>0</v>
      </c>
      <c r="BE48" s="64">
        <f t="shared" si="18"/>
        <v>7.5559050000000003E-2</v>
      </c>
    </row>
    <row r="49" spans="1:61" x14ac:dyDescent="0.25">
      <c r="A49" t="s">
        <v>171</v>
      </c>
      <c r="B49" t="s">
        <v>170</v>
      </c>
      <c r="D49" s="8">
        <v>48.25</v>
      </c>
      <c r="E49" s="8">
        <v>12.3</v>
      </c>
      <c r="F49" s="8">
        <v>7.03</v>
      </c>
      <c r="G49" s="8">
        <v>7.72</v>
      </c>
      <c r="H49" s="8">
        <v>0.14000000000000001</v>
      </c>
      <c r="I49" s="8">
        <v>0.02</v>
      </c>
      <c r="J49" s="8">
        <v>14.31</v>
      </c>
      <c r="K49" s="8">
        <v>3.41</v>
      </c>
      <c r="L49" s="8"/>
      <c r="M49" s="8">
        <v>0.25</v>
      </c>
      <c r="N49" s="8">
        <v>0.54</v>
      </c>
      <c r="O49" s="8">
        <v>0.57999999999999996</v>
      </c>
      <c r="P49" s="8"/>
      <c r="Q49" s="8"/>
      <c r="R49" s="8"/>
      <c r="S49" s="8"/>
      <c r="T49" s="8">
        <v>0.16</v>
      </c>
      <c r="U49" s="8"/>
      <c r="V49" s="8">
        <v>1.04</v>
      </c>
      <c r="W49" s="8">
        <f t="shared" si="24"/>
        <v>3.2378500000000004E-3</v>
      </c>
      <c r="X49" s="8">
        <f t="shared" si="24"/>
        <v>0.27525549999999999</v>
      </c>
      <c r="Y49" s="8">
        <f t="shared" si="24"/>
        <v>0</v>
      </c>
      <c r="Z49" s="8">
        <f t="shared" si="24"/>
        <v>9.1177200000000004E-4</v>
      </c>
      <c r="AA49" s="8">
        <f t="shared" si="24"/>
        <v>0</v>
      </c>
      <c r="AB49" s="8">
        <f t="shared" si="24"/>
        <v>0</v>
      </c>
      <c r="AC49" s="8">
        <f t="shared" si="24"/>
        <v>0</v>
      </c>
      <c r="AD49" s="8">
        <f t="shared" si="24"/>
        <v>1.5458299999999999E-2</v>
      </c>
      <c r="AE49" s="8">
        <f t="shared" si="24"/>
        <v>0</v>
      </c>
      <c r="AF49" s="8">
        <f t="shared" si="24"/>
        <v>0</v>
      </c>
      <c r="AG49" s="8">
        <f t="shared" si="24"/>
        <v>0</v>
      </c>
      <c r="AH49" s="8">
        <f t="shared" si="24"/>
        <v>0.24159680000000003</v>
      </c>
      <c r="AI49" s="8">
        <f t="shared" si="24"/>
        <v>0</v>
      </c>
      <c r="AJ49" s="8">
        <f t="shared" si="24"/>
        <v>3.9338750000000006E-2</v>
      </c>
      <c r="AK49" s="8">
        <f t="shared" si="24"/>
        <v>6.1702560000000004E-2</v>
      </c>
      <c r="AL49" s="8">
        <f t="shared" si="24"/>
        <v>0</v>
      </c>
      <c r="AM49" s="8">
        <f t="shared" si="24"/>
        <v>0</v>
      </c>
      <c r="AN49" s="8">
        <f t="shared" si="24"/>
        <v>0.10236095999999999</v>
      </c>
      <c r="AO49" s="8">
        <f t="shared" si="24"/>
        <v>0</v>
      </c>
      <c r="AP49" s="8">
        <f t="shared" si="24"/>
        <v>0</v>
      </c>
      <c r="AQ49" s="8">
        <f t="shared" si="24"/>
        <v>0</v>
      </c>
      <c r="AR49" s="8">
        <f t="shared" si="24"/>
        <v>3.5478000000000003E-3</v>
      </c>
      <c r="AS49" s="8">
        <f t="shared" si="24"/>
        <v>0</v>
      </c>
      <c r="AT49" s="8">
        <f t="shared" si="24"/>
        <v>0</v>
      </c>
      <c r="AU49" s="8">
        <f t="shared" si="24"/>
        <v>1.0127309999999999E-2</v>
      </c>
      <c r="AV49" s="8">
        <f t="shared" si="24"/>
        <v>0</v>
      </c>
      <c r="AW49" s="8">
        <f t="shared" si="24"/>
        <v>2.2234240000000002E-2</v>
      </c>
      <c r="AX49" s="8">
        <f t="shared" si="24"/>
        <v>0</v>
      </c>
      <c r="AY49" s="8">
        <f t="shared" si="24"/>
        <v>8.5210289999999994E-2</v>
      </c>
      <c r="AZ49" s="8">
        <f t="shared" si="24"/>
        <v>0</v>
      </c>
      <c r="BA49" s="8">
        <f t="shared" si="24"/>
        <v>0</v>
      </c>
      <c r="BB49" s="64">
        <f t="shared" si="15"/>
        <v>0.66376515000000003</v>
      </c>
      <c r="BC49" s="64">
        <f t="shared" si="16"/>
        <v>0.57855486</v>
      </c>
      <c r="BD49" s="56">
        <f t="shared" si="17"/>
        <v>0</v>
      </c>
      <c r="BE49" s="64">
        <f t="shared" si="18"/>
        <v>8.5210289999999994E-2</v>
      </c>
    </row>
    <row r="50" spans="1:61" x14ac:dyDescent="0.25">
      <c r="A50" t="s">
        <v>172</v>
      </c>
      <c r="B50" t="s">
        <v>170</v>
      </c>
      <c r="D50" s="8">
        <v>50.02</v>
      </c>
      <c r="E50" s="8">
        <v>13.12</v>
      </c>
      <c r="F50" s="8">
        <v>4.2699999999999996</v>
      </c>
      <c r="G50" s="8">
        <v>9.4</v>
      </c>
      <c r="H50" s="8">
        <v>0.19</v>
      </c>
      <c r="I50" s="8">
        <v>0.03</v>
      </c>
      <c r="J50" s="8">
        <v>12.41</v>
      </c>
      <c r="K50" s="8">
        <v>3.28</v>
      </c>
      <c r="L50" s="8"/>
      <c r="M50" s="8">
        <v>0.22</v>
      </c>
      <c r="N50" s="8">
        <v>0.7</v>
      </c>
      <c r="O50" s="8">
        <v>0.48</v>
      </c>
      <c r="P50" s="8"/>
      <c r="Q50" s="8"/>
      <c r="R50" s="8"/>
      <c r="S50" s="8"/>
      <c r="T50" s="8">
        <v>0.21</v>
      </c>
      <c r="U50" s="8"/>
      <c r="V50" s="8">
        <v>0.48</v>
      </c>
      <c r="W50" s="8">
        <f t="shared" si="24"/>
        <v>3.5728000000000001E-3</v>
      </c>
      <c r="X50" s="8">
        <f t="shared" si="24"/>
        <v>0.40526980000000001</v>
      </c>
      <c r="Y50" s="8">
        <f t="shared" si="24"/>
        <v>0</v>
      </c>
      <c r="Z50" s="8">
        <f t="shared" si="24"/>
        <v>3.1806E-3</v>
      </c>
      <c r="AA50" s="8">
        <f t="shared" si="24"/>
        <v>0</v>
      </c>
      <c r="AB50" s="8">
        <f t="shared" si="24"/>
        <v>0</v>
      </c>
      <c r="AC50" s="8">
        <f t="shared" si="24"/>
        <v>0</v>
      </c>
      <c r="AD50" s="8">
        <f t="shared" si="24"/>
        <v>1.760902E-2</v>
      </c>
      <c r="AE50" s="8">
        <f t="shared" si="24"/>
        <v>0</v>
      </c>
      <c r="AF50" s="8">
        <f t="shared" si="24"/>
        <v>0</v>
      </c>
      <c r="AG50" s="8">
        <f t="shared" si="24"/>
        <v>0</v>
      </c>
      <c r="AH50" s="8">
        <f t="shared" si="24"/>
        <v>0.29202719999999999</v>
      </c>
      <c r="AI50" s="8">
        <f t="shared" si="24"/>
        <v>0</v>
      </c>
      <c r="AJ50" s="8">
        <f t="shared" si="24"/>
        <v>6.1225399999999999E-2</v>
      </c>
      <c r="AK50" s="8">
        <f t="shared" si="24"/>
        <v>0.10485936000000001</v>
      </c>
      <c r="AL50" s="8">
        <f t="shared" si="24"/>
        <v>0</v>
      </c>
      <c r="AM50" s="8">
        <f t="shared" si="24"/>
        <v>0</v>
      </c>
      <c r="AN50" s="8">
        <f t="shared" si="24"/>
        <v>0.10618855999999999</v>
      </c>
      <c r="AO50" s="8">
        <f t="shared" si="24"/>
        <v>0</v>
      </c>
      <c r="AP50" s="8">
        <f t="shared" si="24"/>
        <v>0</v>
      </c>
      <c r="AQ50" s="8">
        <f t="shared" si="24"/>
        <v>0</v>
      </c>
      <c r="AR50" s="8">
        <f t="shared" si="24"/>
        <v>3.9025800000000005E-3</v>
      </c>
      <c r="AS50" s="8">
        <f t="shared" si="24"/>
        <v>0</v>
      </c>
      <c r="AT50" s="8">
        <f t="shared" si="24"/>
        <v>0</v>
      </c>
      <c r="AU50" s="8">
        <f t="shared" si="24"/>
        <v>0.1103763</v>
      </c>
      <c r="AV50" s="8">
        <f t="shared" si="24"/>
        <v>0</v>
      </c>
      <c r="AW50" s="8">
        <f t="shared" si="24"/>
        <v>4.0611519999999998E-2</v>
      </c>
      <c r="AX50" s="8">
        <f t="shared" si="24"/>
        <v>0</v>
      </c>
      <c r="AY50" s="8">
        <f t="shared" si="24"/>
        <v>0.11797371000000001</v>
      </c>
      <c r="AZ50" s="8">
        <f t="shared" si="24"/>
        <v>0</v>
      </c>
      <c r="BA50" s="8">
        <f t="shared" si="24"/>
        <v>0</v>
      </c>
      <c r="BB50" s="64">
        <f t="shared" si="15"/>
        <v>0.92013007000000013</v>
      </c>
      <c r="BC50" s="64">
        <f t="shared" si="16"/>
        <v>0.80215636000000001</v>
      </c>
      <c r="BD50" s="56">
        <f t="shared" si="17"/>
        <v>0</v>
      </c>
      <c r="BE50" s="64">
        <f t="shared" si="18"/>
        <v>0.11797371000000001</v>
      </c>
    </row>
    <row r="51" spans="1:61" x14ac:dyDescent="0.25">
      <c r="A51" t="s">
        <v>173</v>
      </c>
      <c r="B51" t="s">
        <v>161</v>
      </c>
      <c r="D51" s="8">
        <v>53.87</v>
      </c>
      <c r="E51" s="8">
        <v>12.94</v>
      </c>
      <c r="F51" s="8">
        <v>3.48</v>
      </c>
      <c r="G51" s="8">
        <v>8.2899999999999991</v>
      </c>
      <c r="H51" s="8">
        <v>0.28999999999999998</v>
      </c>
      <c r="I51" s="8">
        <v>0.1</v>
      </c>
      <c r="J51" s="8">
        <v>7.91</v>
      </c>
      <c r="K51" s="8">
        <v>5.34</v>
      </c>
      <c r="L51" s="8"/>
      <c r="M51" s="8">
        <v>0.43</v>
      </c>
      <c r="N51" s="8">
        <v>0.61</v>
      </c>
      <c r="O51" s="8">
        <v>0.47</v>
      </c>
      <c r="P51" s="8"/>
      <c r="Q51" s="8">
        <v>3.01</v>
      </c>
      <c r="R51" s="8">
        <v>0.12</v>
      </c>
      <c r="S51" s="8">
        <v>0.04</v>
      </c>
      <c r="T51" s="8">
        <v>0.14000000000000001</v>
      </c>
      <c r="U51" s="8">
        <v>0</v>
      </c>
      <c r="V51" s="8">
        <v>0.12</v>
      </c>
      <c r="W51" s="8">
        <f t="shared" si="24"/>
        <v>6.4757000000000009E-3</v>
      </c>
      <c r="X51" s="8">
        <f t="shared" si="24"/>
        <v>0.46383479999999999</v>
      </c>
      <c r="Y51" s="8">
        <f t="shared" si="24"/>
        <v>2.7768500000000001E-4</v>
      </c>
      <c r="Z51" s="8">
        <f t="shared" si="24"/>
        <v>8.6936400000000007E-3</v>
      </c>
      <c r="AA51" s="8">
        <f t="shared" si="24"/>
        <v>0</v>
      </c>
      <c r="AB51" s="8">
        <f t="shared" si="24"/>
        <v>0</v>
      </c>
      <c r="AC51" s="8">
        <f t="shared" si="24"/>
        <v>9.992677000000001E-4</v>
      </c>
      <c r="AD51" s="8">
        <f t="shared" si="24"/>
        <v>8.8717200000000013E-3</v>
      </c>
      <c r="AE51" s="8">
        <f t="shared" si="24"/>
        <v>0</v>
      </c>
      <c r="AF51" s="8">
        <f t="shared" si="24"/>
        <v>9.0806100000000005E-4</v>
      </c>
      <c r="AG51" s="8">
        <f t="shared" si="24"/>
        <v>0</v>
      </c>
      <c r="AH51" s="8">
        <f t="shared" si="24"/>
        <v>0.33190240000000004</v>
      </c>
      <c r="AI51" s="8">
        <f t="shared" si="24"/>
        <v>2.7404110000000002E-4</v>
      </c>
      <c r="AJ51" s="8">
        <f t="shared" si="24"/>
        <v>0.12760060000000001</v>
      </c>
      <c r="AK51" s="8">
        <f t="shared" si="24"/>
        <v>0.13413600000000001</v>
      </c>
      <c r="AL51" s="8">
        <f t="shared" si="24"/>
        <v>0</v>
      </c>
      <c r="AM51" s="8">
        <f t="shared" si="24"/>
        <v>0</v>
      </c>
      <c r="AN51" s="8">
        <f t="shared" si="24"/>
        <v>0.13998079999999999</v>
      </c>
      <c r="AO51" s="8">
        <f t="shared" si="24"/>
        <v>1.3804199999999999E-5</v>
      </c>
      <c r="AP51" s="8">
        <f t="shared" si="24"/>
        <v>1.1456847999999999E-2</v>
      </c>
      <c r="AQ51" s="8">
        <f t="shared" si="24"/>
        <v>0</v>
      </c>
      <c r="AR51" s="8">
        <f t="shared" si="24"/>
        <v>5.3217000000000004E-3</v>
      </c>
      <c r="AS51" s="8">
        <f t="shared" si="24"/>
        <v>5.9101240000000001E-3</v>
      </c>
      <c r="AT51" s="8">
        <f t="shared" si="24"/>
        <v>1.23157E-3</v>
      </c>
      <c r="AU51" s="8">
        <f t="shared" si="24"/>
        <v>3.7436909999999997E-2</v>
      </c>
      <c r="AV51" s="8">
        <f t="shared" si="24"/>
        <v>0</v>
      </c>
      <c r="AW51" s="8">
        <f t="shared" si="24"/>
        <v>2.1213280000000001E-2</v>
      </c>
      <c r="AX51" s="8">
        <f t="shared" si="24"/>
        <v>0</v>
      </c>
      <c r="AY51" s="8">
        <f t="shared" si="24"/>
        <v>3.7716029999999998E-2</v>
      </c>
      <c r="AZ51" s="8">
        <f t="shared" si="24"/>
        <v>1.9699510000000002E-3</v>
      </c>
      <c r="BA51" s="8">
        <f t="shared" si="24"/>
        <v>9.5771720000000005E-2</v>
      </c>
      <c r="BB51" s="64">
        <f t="shared" si="15"/>
        <v>0.9835209077999999</v>
      </c>
      <c r="BC51" s="64">
        <f t="shared" si="16"/>
        <v>0.94133004800000009</v>
      </c>
      <c r="BD51" s="56">
        <f t="shared" si="17"/>
        <v>9.992677000000001E-4</v>
      </c>
      <c r="BE51" s="64">
        <f t="shared" si="18"/>
        <v>4.1191592099999993E-2</v>
      </c>
    </row>
    <row r="52" spans="1:61" x14ac:dyDescent="0.25">
      <c r="A52" t="s">
        <v>188</v>
      </c>
      <c r="B52" t="s">
        <v>185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>
        <f>W$36*W15/10000</f>
        <v>0</v>
      </c>
      <c r="X52" s="8">
        <f t="shared" ref="X52:BA52" si="25">X34</f>
        <v>0.43671068056007817</v>
      </c>
      <c r="Y52" s="8">
        <f t="shared" si="25"/>
        <v>0</v>
      </c>
      <c r="Z52" s="8">
        <f t="shared" si="25"/>
        <v>0</v>
      </c>
      <c r="AA52" s="8">
        <f t="shared" si="25"/>
        <v>1.2E-2</v>
      </c>
      <c r="AB52" s="8">
        <f t="shared" si="25"/>
        <v>6.0000000000000001E-3</v>
      </c>
      <c r="AC52" s="8">
        <f t="shared" si="25"/>
        <v>1E-3</v>
      </c>
      <c r="AD52" s="8">
        <f t="shared" si="25"/>
        <v>0</v>
      </c>
      <c r="AE52" s="8">
        <f t="shared" si="25"/>
        <v>1.2E-2</v>
      </c>
      <c r="AF52" s="8">
        <f t="shared" si="25"/>
        <v>0</v>
      </c>
      <c r="AG52" s="8">
        <f t="shared" si="25"/>
        <v>2E-3</v>
      </c>
      <c r="AH52" s="8">
        <f t="shared" si="25"/>
        <v>0.29899999999999999</v>
      </c>
      <c r="AI52" s="8">
        <f t="shared" si="25"/>
        <v>2E-3</v>
      </c>
      <c r="AJ52" s="8">
        <f t="shared" si="25"/>
        <v>0</v>
      </c>
      <c r="AK52" s="8">
        <f t="shared" si="25"/>
        <v>0.13400000000000001</v>
      </c>
      <c r="AL52" s="8">
        <f t="shared" si="25"/>
        <v>0</v>
      </c>
      <c r="AM52" s="8">
        <f t="shared" si="25"/>
        <v>3.5108999999999994E-2</v>
      </c>
      <c r="AN52" s="8">
        <f t="shared" si="25"/>
        <v>0</v>
      </c>
      <c r="AO52" s="8">
        <f t="shared" si="25"/>
        <v>0</v>
      </c>
      <c r="AP52" s="8">
        <f t="shared" si="25"/>
        <v>1.7000000000000001E-2</v>
      </c>
      <c r="AQ52" s="8">
        <f t="shared" si="25"/>
        <v>0</v>
      </c>
      <c r="AR52" s="8">
        <f t="shared" si="25"/>
        <v>0</v>
      </c>
      <c r="AS52" s="8">
        <f t="shared" si="25"/>
        <v>0</v>
      </c>
      <c r="AT52" s="8">
        <f t="shared" si="25"/>
        <v>1.957150144533243E-3</v>
      </c>
      <c r="AU52" s="8">
        <f t="shared" si="25"/>
        <v>0</v>
      </c>
      <c r="AV52" s="8">
        <f t="shared" si="25"/>
        <v>1E-3</v>
      </c>
      <c r="AW52" s="8">
        <f t="shared" si="25"/>
        <v>0</v>
      </c>
      <c r="AX52" s="8">
        <f t="shared" si="25"/>
        <v>0</v>
      </c>
      <c r="AY52" s="8">
        <f t="shared" si="25"/>
        <v>8.5000000000000006E-2</v>
      </c>
      <c r="AZ52" s="8">
        <f t="shared" si="25"/>
        <v>5.0000000000000001E-3</v>
      </c>
      <c r="BA52" s="8">
        <f t="shared" si="25"/>
        <v>0</v>
      </c>
      <c r="BB52" s="64">
        <f t="shared" si="15"/>
        <v>1.0497768307046114</v>
      </c>
      <c r="BC52" s="64">
        <f t="shared" si="16"/>
        <v>0.88671068056007818</v>
      </c>
      <c r="BD52" s="56">
        <f t="shared" si="17"/>
        <v>4.8108999999999999E-2</v>
      </c>
      <c r="BE52" s="64">
        <f t="shared" si="18"/>
        <v>0.10895715014453325</v>
      </c>
    </row>
    <row r="53" spans="1:61" x14ac:dyDescent="0.25"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64"/>
      <c r="BC53" s="64"/>
      <c r="BD53" s="56"/>
      <c r="BE53" s="64"/>
    </row>
    <row r="54" spans="1:61" x14ac:dyDescent="0.25"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64"/>
      <c r="BC54" s="64"/>
      <c r="BD54" s="56"/>
      <c r="BE54" s="64"/>
    </row>
    <row r="55" spans="1:61" s="35" customFormat="1" x14ac:dyDescent="0.25">
      <c r="A55" s="47" t="s">
        <v>174</v>
      </c>
      <c r="B55" s="47"/>
      <c r="D55" s="38">
        <f>((0.3*AVERAGE(D45:D46))+(0.6*AVERAGE(D47:D50))+(0.1*AVERAGE(D51)))</f>
        <v>51.509</v>
      </c>
      <c r="E55" s="38">
        <f t="shared" ref="E55:BA55" si="26">((0.3*AVERAGE(E45:E46))+(0.6*AVERAGE(E47:E50))+(0.1*AVERAGE(E51)))</f>
        <v>12.9595</v>
      </c>
      <c r="F55" s="38">
        <f t="shared" si="26"/>
        <v>6.4244999999999992</v>
      </c>
      <c r="G55" s="38">
        <f t="shared" si="26"/>
        <v>6.5215000000000005</v>
      </c>
      <c r="H55" s="38">
        <f t="shared" si="26"/>
        <v>0.49550000000000005</v>
      </c>
      <c r="I55" s="38">
        <f t="shared" si="26"/>
        <v>7.7500000000000013E-2</v>
      </c>
      <c r="J55" s="38">
        <f t="shared" si="26"/>
        <v>11.216000000000001</v>
      </c>
      <c r="K55" s="38">
        <f t="shared" si="26"/>
        <v>3.4649999999999999</v>
      </c>
      <c r="L55" s="38" t="e">
        <f t="shared" si="26"/>
        <v>#DIV/0!</v>
      </c>
      <c r="M55" s="38">
        <f t="shared" si="26"/>
        <v>0.23500000000000001</v>
      </c>
      <c r="N55" s="38">
        <f t="shared" si="26"/>
        <v>0.46</v>
      </c>
      <c r="O55" s="38">
        <f t="shared" si="26"/>
        <v>0.40399999999999997</v>
      </c>
      <c r="P55" s="38" t="e">
        <f t="shared" si="26"/>
        <v>#DIV/0!</v>
      </c>
      <c r="Q55" s="38">
        <f t="shared" si="26"/>
        <v>3.2004999999999999</v>
      </c>
      <c r="R55" s="38">
        <f t="shared" si="26"/>
        <v>0.13500000000000001</v>
      </c>
      <c r="S55" s="38">
        <f t="shared" si="26"/>
        <v>6.7000000000000004E-2</v>
      </c>
      <c r="T55" s="38">
        <f t="shared" si="26"/>
        <v>0.1265</v>
      </c>
      <c r="U55" s="38">
        <f t="shared" si="26"/>
        <v>2.7E-2</v>
      </c>
      <c r="V55" s="38">
        <f t="shared" si="26"/>
        <v>0.28350000000000003</v>
      </c>
      <c r="W55" s="38">
        <f t="shared" si="26"/>
        <v>4.8511925000000004E-3</v>
      </c>
      <c r="X55" s="38">
        <f>((0.3*AVERAGE(X45:X46))+(0.6*AVERAGE(X47:X50,X52))+(0.1*AVERAGE(X51)))</f>
        <v>0.33703118166720936</v>
      </c>
      <c r="Y55" s="38">
        <f t="shared" si="26"/>
        <v>9.1343750000000008E-5</v>
      </c>
      <c r="Z55" s="38">
        <f t="shared" si="26"/>
        <v>1.8728433E-3</v>
      </c>
      <c r="AA55" s="38">
        <f>((0.3*AVERAGE(AA45:AA46))+(0.6*AVERAGE(AA47:AA50,AA52))+(0.1*AVERAGE(AA51)))</f>
        <v>1.4400000000000001E-3</v>
      </c>
      <c r="AB55" s="38">
        <f>((0.3*AVERAGE(AB45:AB46))+(0.6*AVERAGE(AB47:AB50,AB52))+(0.1*AVERAGE(AB51)))</f>
        <v>7.2000000000000005E-4</v>
      </c>
      <c r="AC55" s="38">
        <f>((0.3*AVERAGE(AC45:AC46))+(0.6*AVERAGE(AC47:AC50,AC52))+(0.1*AVERAGE(AC51)))</f>
        <v>6.6178140999999995E-4</v>
      </c>
      <c r="AD55" s="38">
        <f t="shared" si="26"/>
        <v>1.0182315000000001E-2</v>
      </c>
      <c r="AE55" s="38">
        <f>((0.3*AVERAGE(AE45:AE46))+(0.6*AVERAGE(AE47:AE50,AE52))+(0.1*AVERAGE(AE51)))</f>
        <v>1.4400000000000001E-3</v>
      </c>
      <c r="AF55" s="38">
        <f t="shared" si="26"/>
        <v>3.3032193000000001E-3</v>
      </c>
      <c r="AG55" s="38">
        <f>((0.3*AVERAGE(AG45:AG46))+(0.6*AVERAGE(AG47:AG50,AG52))+(0.1*AVERAGE(AG51)))</f>
        <v>2.4000000000000001E-4</v>
      </c>
      <c r="AH55" s="38">
        <f>((0.3*AVERAGE(AH45:AH46))+(0.6*AVERAGE(AH47:AH50,AH52))+(0.1*AVERAGE(AH51)))</f>
        <v>0.24506060799999999</v>
      </c>
      <c r="AI55" s="38">
        <f>((0.3*AVERAGE(AI45:AI46))+(0.6*AVERAGE(AI47:AI50,AI52))+(0.1*AVERAGE(AI51)))</f>
        <v>4.5581020899999999E-4</v>
      </c>
      <c r="AJ55" s="38">
        <f t="shared" si="26"/>
        <v>6.1618787500000008E-2</v>
      </c>
      <c r="AK55" s="38">
        <f t="shared" si="26"/>
        <v>9.422762400000001E-2</v>
      </c>
      <c r="AL55" s="38">
        <f t="shared" si="26"/>
        <v>0</v>
      </c>
      <c r="AM55" s="38">
        <f>((0.3*AVERAGE(AM45:AM46))+(0.6*AVERAGE(AM47:AM50,AM52))+(0.1*AVERAGE(AM51)))</f>
        <v>4.2130799999999993E-3</v>
      </c>
      <c r="AN55" s="38">
        <f t="shared" si="26"/>
        <v>7.4364799999999995E-2</v>
      </c>
      <c r="AO55" s="38">
        <f t="shared" si="26"/>
        <v>1.8175529999999998E-5</v>
      </c>
      <c r="AP55" s="38">
        <f>((0.3*AVERAGE(AP45:AP46))+(0.6*AVERAGE(AP47:AP50,AP52))+(0.1*AVERAGE(AP51)))</f>
        <v>7.4959180000000007E-3</v>
      </c>
      <c r="AQ55" s="38">
        <f t="shared" si="26"/>
        <v>0</v>
      </c>
      <c r="AR55" s="38">
        <f t="shared" si="26"/>
        <v>4.4524889999999996E-3</v>
      </c>
      <c r="AS55" s="38">
        <f t="shared" si="26"/>
        <v>1.3328306500000001E-3</v>
      </c>
      <c r="AT55" s="38">
        <f>((0.3*AVERAGE(AT45:AT46))+(0.6*AVERAGE(AT47:AT50,AT52))+(0.1*AVERAGE(AT51)))</f>
        <v>9.861157173439892E-4</v>
      </c>
      <c r="AU55" s="38">
        <f t="shared" si="26"/>
        <v>2.54309271E-2</v>
      </c>
      <c r="AV55" s="38">
        <f>((0.3*AVERAGE(AV45:AV46))+(0.6*AVERAGE(AV47:AV50,AV52))+(0.1*AVERAGE(AV51)))</f>
        <v>1.2E-4</v>
      </c>
      <c r="AW55" s="38">
        <f t="shared" si="26"/>
        <v>1.6042117599999999E-2</v>
      </c>
      <c r="AX55" s="38">
        <f t="shared" si="26"/>
        <v>0</v>
      </c>
      <c r="AY55" s="38">
        <f>((0.3*AVERAGE(AY45:AY46))+(0.6*AVERAGE(AY47:AY50,AY52))+(0.1*AVERAGE(AY51)))</f>
        <v>8.7129272100000002E-2</v>
      </c>
      <c r="AZ55" s="38">
        <f>((0.3*AVERAGE(AZ45:AZ46))+(0.6*AVERAGE(AZ47:AZ50,AZ52))+(0.1*AVERAGE(AZ51)))</f>
        <v>2.31340189E-3</v>
      </c>
      <c r="BA55" s="38">
        <f t="shared" si="26"/>
        <v>0.25049235200000003</v>
      </c>
      <c r="BB55" s="122">
        <f t="shared" si="15"/>
        <v>0.78353479299355333</v>
      </c>
      <c r="BC55" s="122">
        <f t="shared" si="16"/>
        <v>0.68381533166720943</v>
      </c>
      <c r="BD55" s="57">
        <f t="shared" si="17"/>
        <v>6.3148614099999998E-3</v>
      </c>
      <c r="BE55" s="122">
        <f t="shared" si="18"/>
        <v>9.2684599916343979E-2</v>
      </c>
    </row>
    <row r="56" spans="1:61" x14ac:dyDescent="0.25">
      <c r="A56" t="s">
        <v>175</v>
      </c>
      <c r="B56" t="s">
        <v>161</v>
      </c>
      <c r="D56" s="8">
        <v>48.25</v>
      </c>
      <c r="E56" s="8">
        <v>19.3</v>
      </c>
      <c r="F56" s="8">
        <v>4.07</v>
      </c>
      <c r="G56" s="8">
        <v>3.08</v>
      </c>
      <c r="H56" s="8">
        <v>1.68</v>
      </c>
      <c r="I56" s="8">
        <v>0.1</v>
      </c>
      <c r="J56" s="8">
        <v>14.37</v>
      </c>
      <c r="K56" s="8">
        <v>3.41</v>
      </c>
      <c r="L56" s="8"/>
      <c r="M56" s="8">
        <v>0.32</v>
      </c>
      <c r="N56" s="8">
        <v>0.21</v>
      </c>
      <c r="O56" s="8">
        <v>0.06</v>
      </c>
      <c r="P56" s="8"/>
      <c r="Q56" s="8">
        <v>1.25</v>
      </c>
      <c r="R56" s="8">
        <v>0.17</v>
      </c>
      <c r="S56" s="8">
        <v>0.11</v>
      </c>
      <c r="T56" s="8">
        <v>0.08</v>
      </c>
      <c r="U56" s="8">
        <v>2.34</v>
      </c>
      <c r="V56" s="8">
        <v>0.16</v>
      </c>
      <c r="W56" s="8">
        <f t="shared" ref="W56:BA56" si="27">W$36*W19/10000</f>
        <v>1.2281500000000001E-3</v>
      </c>
      <c r="X56" s="8">
        <f t="shared" si="27"/>
        <v>0.13821340000000001</v>
      </c>
      <c r="Y56" s="8">
        <f t="shared" si="27"/>
        <v>1.1984299999999999E-3</v>
      </c>
      <c r="Z56" s="8">
        <f t="shared" si="27"/>
        <v>6.5732400000000004E-4</v>
      </c>
      <c r="AA56" s="8">
        <f t="shared" si="27"/>
        <v>0</v>
      </c>
      <c r="AB56" s="8">
        <f t="shared" si="27"/>
        <v>0</v>
      </c>
      <c r="AC56" s="8">
        <f t="shared" si="27"/>
        <v>1.1150577E-3</v>
      </c>
      <c r="AD56" s="8">
        <f t="shared" si="27"/>
        <v>3.0916600000000004E-3</v>
      </c>
      <c r="AE56" s="8">
        <f t="shared" si="27"/>
        <v>0</v>
      </c>
      <c r="AF56" s="8">
        <f t="shared" si="27"/>
        <v>8.9862659999999997E-3</v>
      </c>
      <c r="AG56" s="8">
        <f t="shared" si="27"/>
        <v>0</v>
      </c>
      <c r="AH56" s="8">
        <f t="shared" si="27"/>
        <v>6.9664320000000016E-2</v>
      </c>
      <c r="AI56" s="8">
        <f t="shared" si="27"/>
        <v>5.9584039999999996E-4</v>
      </c>
      <c r="AJ56" s="8">
        <f t="shared" si="27"/>
        <v>0.1061431</v>
      </c>
      <c r="AK56" s="8">
        <f t="shared" si="27"/>
        <v>6.2985600000000017E-2</v>
      </c>
      <c r="AL56" s="8">
        <f t="shared" si="27"/>
        <v>0</v>
      </c>
      <c r="AM56" s="8">
        <f t="shared" si="27"/>
        <v>0</v>
      </c>
      <c r="AN56" s="8">
        <f t="shared" si="27"/>
        <v>3.6526239999999995E-2</v>
      </c>
      <c r="AO56" s="8">
        <f t="shared" si="27"/>
        <v>6.1352000000000004E-3</v>
      </c>
      <c r="AP56" s="8">
        <f t="shared" si="27"/>
        <v>1.1143755999999999E-2</v>
      </c>
      <c r="AQ56" s="8">
        <f t="shared" si="27"/>
        <v>0</v>
      </c>
      <c r="AR56" s="8">
        <f t="shared" si="27"/>
        <v>1.1826E-3</v>
      </c>
      <c r="AS56" s="8">
        <f t="shared" si="27"/>
        <v>4.76229E-4</v>
      </c>
      <c r="AT56" s="8">
        <f t="shared" si="27"/>
        <v>1.8531100000000003E-3</v>
      </c>
      <c r="AU56" s="8">
        <f t="shared" si="27"/>
        <v>4.6653899999999993E-3</v>
      </c>
      <c r="AV56" s="8">
        <f t="shared" si="27"/>
        <v>0</v>
      </c>
      <c r="AW56" s="8">
        <f t="shared" si="27"/>
        <v>2.2120800000000004E-3</v>
      </c>
      <c r="AX56" s="8">
        <f t="shared" si="27"/>
        <v>0</v>
      </c>
      <c r="AY56" s="8">
        <f t="shared" si="27"/>
        <v>5.854239E-2</v>
      </c>
      <c r="AZ56" s="8">
        <f t="shared" si="27"/>
        <v>4.3612209999999993E-3</v>
      </c>
      <c r="BA56" s="8">
        <f t="shared" si="27"/>
        <v>0.58894880000000005</v>
      </c>
      <c r="BB56" s="64">
        <f t="shared" si="15"/>
        <v>0.34847469510000006</v>
      </c>
      <c r="BC56" s="64">
        <f t="shared" si="16"/>
        <v>0.28200707600000002</v>
      </c>
      <c r="BD56" s="56">
        <f t="shared" si="17"/>
        <v>1.1150577E-3</v>
      </c>
      <c r="BE56" s="64">
        <f t="shared" si="18"/>
        <v>6.5352561400000009E-2</v>
      </c>
    </row>
    <row r="57" spans="1:61" x14ac:dyDescent="0.25"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64"/>
      <c r="BC57" s="64"/>
      <c r="BD57" s="56"/>
      <c r="BE57" s="64"/>
    </row>
    <row r="58" spans="1:61" x14ac:dyDescent="0.25"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64"/>
      <c r="BC58" s="64"/>
      <c r="BD58" s="56"/>
      <c r="BE58" s="64"/>
    </row>
    <row r="59" spans="1:61" x14ac:dyDescent="0.25"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64"/>
      <c r="BC59" s="64"/>
      <c r="BD59" s="56"/>
      <c r="BE59" s="64"/>
    </row>
    <row r="60" spans="1:61" s="35" customFormat="1" x14ac:dyDescent="0.25">
      <c r="A60" s="47" t="s">
        <v>176</v>
      </c>
      <c r="B60" s="47"/>
      <c r="D60" s="38">
        <f>AVERAGE(D56:D59)</f>
        <v>48.25</v>
      </c>
      <c r="E60" s="38">
        <f t="shared" ref="E60:V60" si="28">AVERAGE(E56:E59)</f>
        <v>19.3</v>
      </c>
      <c r="F60" s="38">
        <f t="shared" si="28"/>
        <v>4.07</v>
      </c>
      <c r="G60" s="38">
        <f t="shared" si="28"/>
        <v>3.08</v>
      </c>
      <c r="H60" s="38">
        <f t="shared" si="28"/>
        <v>1.68</v>
      </c>
      <c r="I60" s="38">
        <f t="shared" si="28"/>
        <v>0.1</v>
      </c>
      <c r="J60" s="38">
        <f t="shared" si="28"/>
        <v>14.37</v>
      </c>
      <c r="K60" s="38">
        <f t="shared" si="28"/>
        <v>3.41</v>
      </c>
      <c r="L60" s="38" t="e">
        <f t="shared" si="28"/>
        <v>#DIV/0!</v>
      </c>
      <c r="M60" s="38">
        <f t="shared" si="28"/>
        <v>0.32</v>
      </c>
      <c r="N60" s="38">
        <f t="shared" si="28"/>
        <v>0.21</v>
      </c>
      <c r="O60" s="38">
        <f t="shared" si="28"/>
        <v>0.06</v>
      </c>
      <c r="P60" s="38" t="e">
        <f t="shared" si="28"/>
        <v>#DIV/0!</v>
      </c>
      <c r="Q60" s="38">
        <f t="shared" si="28"/>
        <v>1.25</v>
      </c>
      <c r="R60" s="38">
        <f t="shared" si="28"/>
        <v>0.17</v>
      </c>
      <c r="S60" s="38">
        <f t="shared" si="28"/>
        <v>0.11</v>
      </c>
      <c r="T60" s="38">
        <f t="shared" si="28"/>
        <v>0.08</v>
      </c>
      <c r="U60" s="38">
        <f t="shared" si="28"/>
        <v>2.34</v>
      </c>
      <c r="V60" s="38">
        <f t="shared" si="28"/>
        <v>0.16</v>
      </c>
      <c r="W60" s="38">
        <f t="shared" ref="W60:BA60" si="29">W$36*W23/100000</f>
        <v>1.2281500000000002E-4</v>
      </c>
      <c r="X60" s="38">
        <f t="shared" si="29"/>
        <v>1.382134E-2</v>
      </c>
      <c r="Y60" s="38">
        <f t="shared" si="29"/>
        <v>1.19843E-4</v>
      </c>
      <c r="Z60" s="38">
        <f t="shared" si="29"/>
        <v>6.5732400000000001E-5</v>
      </c>
      <c r="AA60" s="38">
        <f t="shared" si="29"/>
        <v>0</v>
      </c>
      <c r="AB60" s="38">
        <f t="shared" si="29"/>
        <v>0</v>
      </c>
      <c r="AC60" s="38">
        <f t="shared" si="29"/>
        <v>1.1150577E-4</v>
      </c>
      <c r="AD60" s="38">
        <f t="shared" si="29"/>
        <v>3.0916600000000004E-4</v>
      </c>
      <c r="AE60" s="38">
        <f t="shared" si="29"/>
        <v>0</v>
      </c>
      <c r="AF60" s="38">
        <f t="shared" si="29"/>
        <v>8.9862660000000001E-4</v>
      </c>
      <c r="AG60" s="38">
        <f t="shared" si="29"/>
        <v>0</v>
      </c>
      <c r="AH60" s="38">
        <f t="shared" si="29"/>
        <v>6.9664320000000007E-3</v>
      </c>
      <c r="AI60" s="38">
        <f t="shared" si="29"/>
        <v>5.958404E-5</v>
      </c>
      <c r="AJ60" s="38">
        <f t="shared" si="29"/>
        <v>1.061431E-2</v>
      </c>
      <c r="AK60" s="38">
        <f t="shared" si="29"/>
        <v>6.2985600000000008E-3</v>
      </c>
      <c r="AL60" s="38" t="e">
        <f t="shared" si="29"/>
        <v>#DIV/0!</v>
      </c>
      <c r="AM60" s="38">
        <f t="shared" si="29"/>
        <v>0</v>
      </c>
      <c r="AN60" s="38">
        <f t="shared" si="29"/>
        <v>3.6526239999999997E-3</v>
      </c>
      <c r="AO60" s="38">
        <f t="shared" si="29"/>
        <v>6.1351999999999999E-4</v>
      </c>
      <c r="AP60" s="38">
        <f t="shared" si="29"/>
        <v>1.1143755999999999E-3</v>
      </c>
      <c r="AQ60" s="38" t="e">
        <f t="shared" si="29"/>
        <v>#DIV/0!</v>
      </c>
      <c r="AR60" s="38">
        <f t="shared" si="29"/>
        <v>1.1826000000000001E-4</v>
      </c>
      <c r="AS60" s="38">
        <f t="shared" si="29"/>
        <v>4.7622900000000001E-5</v>
      </c>
      <c r="AT60" s="38">
        <f t="shared" si="29"/>
        <v>1.8531100000000002E-4</v>
      </c>
      <c r="AU60" s="38">
        <f t="shared" si="29"/>
        <v>4.6653899999999992E-4</v>
      </c>
      <c r="AV60" s="38">
        <f t="shared" si="29"/>
        <v>0</v>
      </c>
      <c r="AW60" s="38">
        <f t="shared" si="29"/>
        <v>2.2120800000000003E-4</v>
      </c>
      <c r="AX60" s="38" t="e">
        <f t="shared" si="29"/>
        <v>#DIV/0!</v>
      </c>
      <c r="AY60" s="38">
        <f t="shared" si="29"/>
        <v>5.8542389999999998E-3</v>
      </c>
      <c r="AZ60" s="38">
        <f t="shared" si="29"/>
        <v>4.3612209999999998E-4</v>
      </c>
      <c r="BA60" s="38">
        <f t="shared" si="29"/>
        <v>5.8894880000000004E-2</v>
      </c>
      <c r="BB60" s="122">
        <f t="shared" si="15"/>
        <v>3.484746951E-2</v>
      </c>
      <c r="BC60" s="122">
        <f t="shared" si="16"/>
        <v>2.82007076E-2</v>
      </c>
      <c r="BD60" s="57">
        <f t="shared" si="17"/>
        <v>1.1150577E-4</v>
      </c>
      <c r="BE60" s="122">
        <f t="shared" si="18"/>
        <v>6.53525614E-3</v>
      </c>
    </row>
    <row r="61" spans="1:61" x14ac:dyDescent="0.25">
      <c r="A61" t="s">
        <v>76</v>
      </c>
      <c r="D61" s="8">
        <v>92.64</v>
      </c>
      <c r="E61" s="8">
        <v>2.645</v>
      </c>
      <c r="F61" s="8">
        <v>0.92142857142857137</v>
      </c>
      <c r="G61" s="8">
        <v>0.92142857142857137</v>
      </c>
      <c r="H61" s="8">
        <v>0.92142857142857137</v>
      </c>
      <c r="I61" s="8">
        <v>0.30769230769230765</v>
      </c>
      <c r="J61" s="8">
        <v>0.63928571428571423</v>
      </c>
      <c r="K61" s="8">
        <v>1.8771428571428572</v>
      </c>
      <c r="L61" s="8" t="e">
        <v>#DIV/0!</v>
      </c>
      <c r="M61" s="8">
        <v>9.4285714285714306E-2</v>
      </c>
      <c r="N61" s="8">
        <v>9.3846153846153843E-2</v>
      </c>
      <c r="O61" s="8">
        <v>3.5714285714285712E-2</v>
      </c>
      <c r="P61" s="8">
        <v>0.31285714285714283</v>
      </c>
      <c r="Q61" s="8">
        <v>0.42490807971862538</v>
      </c>
      <c r="R61" s="8">
        <v>0.42490807971862538</v>
      </c>
      <c r="S61" s="8">
        <v>0.42490807971862538</v>
      </c>
      <c r="T61" s="8">
        <v>0.42490807971862538</v>
      </c>
      <c r="U61" s="8">
        <v>0.42490807971862538</v>
      </c>
      <c r="V61" s="8">
        <v>0.42490807971862538</v>
      </c>
      <c r="W61" s="8">
        <f t="shared" ref="W61:BA61" si="30">W$36*W24/10000</f>
        <v>3.0271505000000001E-2</v>
      </c>
      <c r="X61" s="8">
        <f t="shared" si="30"/>
        <v>9.8305535714285734E-3</v>
      </c>
      <c r="Y61" s="8">
        <f t="shared" si="30"/>
        <v>1.4615000000000001E-3</v>
      </c>
      <c r="Z61" s="8">
        <f t="shared" si="30"/>
        <v>1.316415E-5</v>
      </c>
      <c r="AA61" s="8">
        <f t="shared" si="30"/>
        <v>5.0348716153846137E-4</v>
      </c>
      <c r="AB61" s="8">
        <f t="shared" si="30"/>
        <v>2.6414849999999992E-4</v>
      </c>
      <c r="AC61" s="8">
        <f t="shared" si="30"/>
        <v>1.3164432307692306E-4</v>
      </c>
      <c r="AD61" s="8">
        <f t="shared" si="30"/>
        <v>4.5909599999999993E-4</v>
      </c>
      <c r="AE61" s="8">
        <f t="shared" si="30"/>
        <v>6.3703315384615387E-4</v>
      </c>
      <c r="AF61" s="8">
        <f t="shared" si="30"/>
        <v>3.4471846153846146E-4</v>
      </c>
      <c r="AG61" s="8">
        <f t="shared" si="30"/>
        <v>8.7762923076923076E-5</v>
      </c>
      <c r="AH61" s="8">
        <f t="shared" si="30"/>
        <v>5.282626285714285E-3</v>
      </c>
      <c r="AI61" s="8">
        <f t="shared" si="30"/>
        <v>3.1051576923076916E-5</v>
      </c>
      <c r="AJ61" s="8">
        <f t="shared" si="30"/>
        <v>5.4379435714285709E-3</v>
      </c>
      <c r="AK61" s="8">
        <f t="shared" si="30"/>
        <v>4.5681222857142864E-3</v>
      </c>
      <c r="AL61" s="8">
        <f t="shared" si="30"/>
        <v>4.5810000000000002E-4</v>
      </c>
      <c r="AM61" s="8">
        <f t="shared" si="30"/>
        <v>1.2197226692307692E-3</v>
      </c>
      <c r="AN61" s="8">
        <f t="shared" si="30"/>
        <v>3.2479919999999995E-3</v>
      </c>
      <c r="AO61" s="8" t="e">
        <f t="shared" si="30"/>
        <v>#DIV/0!</v>
      </c>
      <c r="AP61" s="8">
        <f t="shared" si="30"/>
        <v>8.0021319999999999E-4</v>
      </c>
      <c r="AQ61" s="8">
        <f t="shared" si="30"/>
        <v>1.6602461538461538E-4</v>
      </c>
      <c r="AR61" s="8">
        <f t="shared" si="30"/>
        <v>1.2250891285714285E-2</v>
      </c>
      <c r="AS61" s="8">
        <f t="shared" si="30"/>
        <v>1.8786153846153843E-4</v>
      </c>
      <c r="AT61" s="8">
        <f t="shared" si="30"/>
        <v>8.3845923076923079E-5</v>
      </c>
      <c r="AU61" s="8">
        <f t="shared" si="30"/>
        <v>4.8815909999999993E-4</v>
      </c>
      <c r="AV61" s="8">
        <f t="shared" si="30"/>
        <v>3.4790123076923067E-5</v>
      </c>
      <c r="AW61" s="8">
        <f t="shared" si="30"/>
        <v>1.7088925714285716E-4</v>
      </c>
      <c r="AX61" s="8">
        <f t="shared" si="30"/>
        <v>1.539735E-3</v>
      </c>
      <c r="AY61" s="8">
        <f t="shared" si="30"/>
        <v>2.6250647142857142E-3</v>
      </c>
      <c r="AZ61" s="8">
        <f t="shared" si="30"/>
        <v>2.3991533076923077E-4</v>
      </c>
      <c r="BA61" s="8">
        <f t="shared" si="30"/>
        <v>1.5257285999999998E-2</v>
      </c>
      <c r="BB61" s="64">
        <f t="shared" si="15"/>
        <v>2.6339981741758247E-2</v>
      </c>
      <c r="BC61" s="64">
        <f t="shared" si="16"/>
        <v>2.0481515342857144E-2</v>
      </c>
      <c r="BD61" s="56">
        <f t="shared" si="17"/>
        <v>1.9884001461538464E-3</v>
      </c>
      <c r="BE61" s="64">
        <f t="shared" si="18"/>
        <v>3.6059177527472523E-3</v>
      </c>
    </row>
    <row r="62" spans="1:61" x14ac:dyDescent="0.25"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</row>
    <row r="63" spans="1:61" ht="43.5" customHeight="1" x14ac:dyDescent="0.25">
      <c r="A63" s="13" t="s">
        <v>120</v>
      </c>
      <c r="C63" s="58" t="str">
        <f>C26</f>
        <v>Total Tonnage (Mt)</v>
      </c>
      <c r="D63" s="58" t="str">
        <f t="shared" ref="D63:AI63" si="31">D37</f>
        <v>SiO2</v>
      </c>
      <c r="E63" s="58" t="str">
        <f t="shared" si="31"/>
        <v>Al2O3</v>
      </c>
      <c r="F63" s="58" t="str">
        <f t="shared" si="31"/>
        <v>Fe2O3</v>
      </c>
      <c r="G63" s="58" t="str">
        <f t="shared" si="31"/>
        <v>FeO</v>
      </c>
      <c r="H63" s="58" t="str">
        <f t="shared" si="31"/>
        <v>CaO</v>
      </c>
      <c r="I63" s="58" t="str">
        <f t="shared" si="31"/>
        <v>MgO</v>
      </c>
      <c r="J63" s="58" t="str">
        <f t="shared" si="31"/>
        <v>Na2O</v>
      </c>
      <c r="K63" s="58" t="str">
        <f t="shared" si="31"/>
        <v>K2O</v>
      </c>
      <c r="L63" s="58" t="str">
        <f t="shared" si="31"/>
        <v>Cr2O3</v>
      </c>
      <c r="M63" s="58" t="str">
        <f t="shared" si="31"/>
        <v>TiO2</v>
      </c>
      <c r="N63" s="58" t="str">
        <f t="shared" si="31"/>
        <v>MnO</v>
      </c>
      <c r="O63" s="58" t="str">
        <f t="shared" si="31"/>
        <v>P2O5</v>
      </c>
      <c r="P63" s="58" t="str">
        <f t="shared" si="31"/>
        <v>LOI</v>
      </c>
      <c r="Q63" s="58" t="str">
        <f t="shared" si="31"/>
        <v>H2O+ (calc)</v>
      </c>
      <c r="R63" s="58" t="str">
        <f t="shared" si="31"/>
        <v>H2O-</v>
      </c>
      <c r="S63" s="58" t="str">
        <f t="shared" si="31"/>
        <v>CO2</v>
      </c>
      <c r="T63" s="58" t="str">
        <f t="shared" si="31"/>
        <v>S</v>
      </c>
      <c r="U63" s="58" t="str">
        <f t="shared" si="31"/>
        <v>Cl</v>
      </c>
      <c r="V63" s="58" t="str">
        <f t="shared" si="31"/>
        <v>F</v>
      </c>
      <c r="W63" s="58" t="str">
        <f t="shared" si="31"/>
        <v>BaO</v>
      </c>
      <c r="X63" s="58" t="str">
        <f t="shared" si="31"/>
        <v>Ce2O3</v>
      </c>
      <c r="Y63" s="58" t="str">
        <f t="shared" si="31"/>
        <v>Cr2O3</v>
      </c>
      <c r="Z63" s="58" t="str">
        <f t="shared" si="31"/>
        <v>Cs2O3</v>
      </c>
      <c r="AA63" s="58" t="str">
        <f t="shared" si="31"/>
        <v>Dy2O3</v>
      </c>
      <c r="AB63" s="58" t="str">
        <f t="shared" si="31"/>
        <v>Er2O3</v>
      </c>
      <c r="AC63" s="58" t="str">
        <f t="shared" si="31"/>
        <v>Eu2O3</v>
      </c>
      <c r="AD63" s="58" t="str">
        <f t="shared" si="31"/>
        <v>Ga2O3</v>
      </c>
      <c r="AE63" s="58" t="str">
        <f t="shared" si="31"/>
        <v>Gd2O3</v>
      </c>
      <c r="AF63" s="58" t="str">
        <f t="shared" si="31"/>
        <v>HfO2</v>
      </c>
      <c r="AG63" s="58" t="str">
        <f t="shared" si="31"/>
        <v>Ho2O3</v>
      </c>
      <c r="AH63" s="58" t="str">
        <f t="shared" si="31"/>
        <v>La2O3</v>
      </c>
      <c r="AI63" s="58" t="str">
        <f t="shared" si="31"/>
        <v>Lu2O3</v>
      </c>
      <c r="AJ63" s="58" t="str">
        <f t="shared" ref="AJ63:BA63" si="32">AJ37</f>
        <v>Nb2O5</v>
      </c>
      <c r="AK63" s="58" t="str">
        <f t="shared" si="32"/>
        <v>Nd2O3</v>
      </c>
      <c r="AL63" s="58" t="str">
        <f t="shared" si="32"/>
        <v>NiO2</v>
      </c>
      <c r="AM63" s="58" t="str">
        <f t="shared" si="32"/>
        <v>Pr2O3</v>
      </c>
      <c r="AN63" s="58" t="str">
        <f t="shared" si="32"/>
        <v>Rb2O</v>
      </c>
      <c r="AO63" s="58" t="str">
        <f t="shared" si="32"/>
        <v>Sc2O3</v>
      </c>
      <c r="AP63" s="58" t="str">
        <f t="shared" si="32"/>
        <v>Sm2O3</v>
      </c>
      <c r="AQ63" s="58" t="str">
        <f t="shared" si="32"/>
        <v>SnO2</v>
      </c>
      <c r="AR63" s="58" t="str">
        <f t="shared" si="32"/>
        <v>SrO</v>
      </c>
      <c r="AS63" s="58" t="str">
        <f t="shared" si="32"/>
        <v>Ta2O5</v>
      </c>
      <c r="AT63" s="58" t="str">
        <f t="shared" si="32"/>
        <v>Tb2O3</v>
      </c>
      <c r="AU63" s="58" t="str">
        <f t="shared" si="32"/>
        <v>ThO2</v>
      </c>
      <c r="AV63" s="58" t="str">
        <f t="shared" si="32"/>
        <v>Tm2O3</v>
      </c>
      <c r="AW63" s="58" t="str">
        <f t="shared" si="32"/>
        <v>UO2</v>
      </c>
      <c r="AX63" s="58" t="str">
        <f t="shared" si="32"/>
        <v>V2O5</v>
      </c>
      <c r="AY63" s="58" t="str">
        <f t="shared" si="32"/>
        <v>Y2O3</v>
      </c>
      <c r="AZ63" s="58" t="str">
        <f t="shared" si="32"/>
        <v>Yb2O3</v>
      </c>
      <c r="BA63" s="58" t="str">
        <f t="shared" si="32"/>
        <v>ZrO2</v>
      </c>
      <c r="BB63" s="19" t="s">
        <v>189</v>
      </c>
      <c r="BC63" s="58" t="s">
        <v>190</v>
      </c>
      <c r="BD63" s="19" t="s">
        <v>183</v>
      </c>
      <c r="BE63" s="1" t="s">
        <v>353</v>
      </c>
      <c r="BF63" s="1" t="s">
        <v>191</v>
      </c>
      <c r="BG63" s="1" t="s">
        <v>192</v>
      </c>
      <c r="BH63" s="58" t="s">
        <v>193</v>
      </c>
      <c r="BI63" s="58" t="s">
        <v>194</v>
      </c>
    </row>
    <row r="64" spans="1:61" x14ac:dyDescent="0.25">
      <c r="A64" t="s">
        <v>22</v>
      </c>
      <c r="C64" s="59">
        <v>13032.163257716071</v>
      </c>
      <c r="D64" s="8">
        <f>D$43/100*$C64</f>
        <v>6837.6372250789218</v>
      </c>
      <c r="E64" s="8">
        <f t="shared" ref="E64:BA66" si="33">E$43/100*$C64</f>
        <v>1616.8092702420292</v>
      </c>
      <c r="F64" s="8">
        <f t="shared" si="33"/>
        <v>994.40618521676697</v>
      </c>
      <c r="G64" s="8">
        <f t="shared" si="33"/>
        <v>735.74380887761845</v>
      </c>
      <c r="H64" s="8">
        <f t="shared" si="33"/>
        <v>332.81538527555301</v>
      </c>
      <c r="I64" s="8">
        <f t="shared" si="33"/>
        <v>36.946182835625066</v>
      </c>
      <c r="J64" s="8">
        <f t="shared" si="33"/>
        <v>1122.4862857136004</v>
      </c>
      <c r="K64" s="8">
        <f t="shared" si="33"/>
        <v>496.06929440496225</v>
      </c>
      <c r="L64" s="8">
        <f t="shared" si="33"/>
        <v>0</v>
      </c>
      <c r="M64" s="8">
        <f t="shared" si="33"/>
        <v>34.430975326885857</v>
      </c>
      <c r="N64" s="8">
        <f t="shared" si="33"/>
        <v>44.674255647450693</v>
      </c>
      <c r="O64" s="8">
        <f t="shared" si="33"/>
        <v>4.6655144462623532</v>
      </c>
      <c r="P64" s="8">
        <f t="shared" si="33"/>
        <v>0</v>
      </c>
      <c r="Q64" s="8">
        <f t="shared" si="33"/>
        <v>337.83276812977368</v>
      </c>
      <c r="R64" s="8">
        <f t="shared" si="33"/>
        <v>46.342372544438341</v>
      </c>
      <c r="S64" s="8">
        <f t="shared" si="33"/>
        <v>10.647277381554028</v>
      </c>
      <c r="T64" s="8">
        <f t="shared" si="33"/>
        <v>1.1207660401635822</v>
      </c>
      <c r="U64" s="8">
        <f t="shared" si="33"/>
        <v>8.2623915053919905</v>
      </c>
      <c r="V64" s="8">
        <f t="shared" si="33"/>
        <v>147.5892488936345</v>
      </c>
      <c r="W64" s="8">
        <f t="shared" si="33"/>
        <v>2.2992558320094636</v>
      </c>
      <c r="X64" s="8">
        <f t="shared" si="33"/>
        <v>21.104090877409085</v>
      </c>
      <c r="Y64" s="8">
        <f t="shared" si="33"/>
        <v>6.7996028566112768E-2</v>
      </c>
      <c r="Z64" s="8">
        <f t="shared" si="33"/>
        <v>7.1874470725290657E-2</v>
      </c>
      <c r="AA64" s="8">
        <f t="shared" si="33"/>
        <v>0.1114249958534724</v>
      </c>
      <c r="AB64" s="8">
        <f t="shared" si="33"/>
        <v>9.3831575455555705E-2</v>
      </c>
      <c r="AC64" s="8">
        <f t="shared" si="33"/>
        <v>0.11381391244740842</v>
      </c>
      <c r="AD64" s="8">
        <f t="shared" si="33"/>
        <v>0.63484629876103527</v>
      </c>
      <c r="AE64" s="8">
        <f t="shared" si="33"/>
        <v>9.969604892152796E-2</v>
      </c>
      <c r="AF64" s="8">
        <f t="shared" si="33"/>
        <v>4.0211007151672984</v>
      </c>
      <c r="AG64" s="8">
        <f t="shared" si="33"/>
        <v>2.3457893863888926E-2</v>
      </c>
      <c r="AH64" s="8">
        <f t="shared" si="33"/>
        <v>11.22723950668499</v>
      </c>
      <c r="AI64" s="8">
        <f t="shared" si="33"/>
        <v>0.13455369258189265</v>
      </c>
      <c r="AJ64" s="8">
        <f t="shared" si="33"/>
        <v>17.097791199664947</v>
      </c>
      <c r="AK64" s="8">
        <f t="shared" si="33"/>
        <v>8.1898291501741696</v>
      </c>
      <c r="AL64" s="8">
        <f t="shared" si="33"/>
        <v>0</v>
      </c>
      <c r="AM64" s="8">
        <f t="shared" si="33"/>
        <v>0.13726386594454607</v>
      </c>
      <c r="AN64" s="8">
        <f t="shared" si="33"/>
        <v>6.7218008940913636</v>
      </c>
      <c r="AO64" s="8">
        <f t="shared" si="33"/>
        <v>7.2259266196935956E-2</v>
      </c>
      <c r="AP64" s="8">
        <f t="shared" si="33"/>
        <v>1.5976504316064608</v>
      </c>
      <c r="AQ64" s="8">
        <f t="shared" si="33"/>
        <v>0</v>
      </c>
      <c r="AR64" s="8">
        <f t="shared" si="33"/>
        <v>1.9312572028151369</v>
      </c>
      <c r="AS64" s="8">
        <f t="shared" si="33"/>
        <v>0.73369535481203607</v>
      </c>
      <c r="AT64" s="8">
        <f t="shared" si="33"/>
        <v>0.29316284890284777</v>
      </c>
      <c r="AU64" s="8">
        <f t="shared" si="33"/>
        <v>0.16398238359762166</v>
      </c>
      <c r="AV64" s="8">
        <f t="shared" si="33"/>
        <v>1.1728946931944463E-2</v>
      </c>
      <c r="AW64" s="8">
        <f t="shared" si="33"/>
        <v>0.29854175507497555</v>
      </c>
      <c r="AX64" s="8">
        <f t="shared" si="33"/>
        <v>0</v>
      </c>
      <c r="AY64" s="8">
        <f t="shared" si="33"/>
        <v>11.611384295450977</v>
      </c>
      <c r="AZ64" s="8">
        <f t="shared" si="33"/>
        <v>0.9485319892277132</v>
      </c>
      <c r="BA64" s="8">
        <f t="shared" si="33"/>
        <v>207.64088585515296</v>
      </c>
      <c r="BB64" s="8">
        <f>SUM(M64,X64,AH64,AJ64,AK64,AP64,AU64, AW64,BA64,AY64,AZ64,AV64,AT64,AM64,AI64,AG64,AE64,AC64,AB64,AA64)</f>
        <v>315.32983655183295</v>
      </c>
      <c r="BC64" s="8">
        <f>SUM(X64,AH64,AJ64,AK64,AP64,AU64, AW64,BA64,AY64,AZ64,AV64,AT64,AM64,AI64,AG64,AE64,AC64,AB64,AA64)</f>
        <v>280.8988612249471</v>
      </c>
      <c r="BD64" s="8">
        <f>SUM(AH64,X64,AC64,AB64,AA64,AE64,AG64,AI64,AK64,AM64,AP64,AT64,AV64,AZ64,AY64)</f>
        <v>55.697660031456472</v>
      </c>
      <c r="BE64" s="8">
        <f>SUM(X64,AK64,AH64,AP64)</f>
        <v>42.118809965874703</v>
      </c>
      <c r="BF64" s="8">
        <f>AC64+AM64+AE64</f>
        <v>0.35077382731348244</v>
      </c>
      <c r="BG64" s="8">
        <f>SUM(AG64,AI64,AT64,AV64,AY64,AZ64,AB64,AA64)</f>
        <v>13.228076238268292</v>
      </c>
      <c r="BH64" s="60">
        <f>BE64/BD64</f>
        <v>0.75620429910497466</v>
      </c>
      <c r="BI64" s="60">
        <f>AY64/BG64</f>
        <v>0.87778329110772058</v>
      </c>
    </row>
    <row r="65" spans="1:61" x14ac:dyDescent="0.25">
      <c r="A65" s="12" t="s">
        <v>195</v>
      </c>
      <c r="B65" s="12"/>
      <c r="C65" s="10">
        <f>C28</f>
        <v>36436.140063872212</v>
      </c>
      <c r="D65" s="8">
        <f>D$43/100*$C65</f>
        <v>19117.095351872089</v>
      </c>
      <c r="E65" s="8">
        <f t="shared" si="33"/>
        <v>4520.3768447441789</v>
      </c>
      <c r="F65" s="8">
        <f t="shared" si="33"/>
        <v>2780.2232314337052</v>
      </c>
      <c r="G65" s="8">
        <f t="shared" si="33"/>
        <v>2057.0387234459695</v>
      </c>
      <c r="H65" s="8">
        <f t="shared" si="33"/>
        <v>930.50614495116861</v>
      </c>
      <c r="I65" s="8">
        <f t="shared" si="33"/>
        <v>103.29645708107773</v>
      </c>
      <c r="J65" s="8">
        <f t="shared" si="33"/>
        <v>3138.3176159814407</v>
      </c>
      <c r="K65" s="8">
        <f t="shared" si="33"/>
        <v>1386.9416715312957</v>
      </c>
      <c r="L65" s="8">
        <f t="shared" si="33"/>
        <v>0</v>
      </c>
      <c r="M65" s="8">
        <f t="shared" si="33"/>
        <v>96.264282048750374</v>
      </c>
      <c r="N65" s="8">
        <f t="shared" si="33"/>
        <v>124.90308813895395</v>
      </c>
      <c r="O65" s="8">
        <f t="shared" si="33"/>
        <v>13.044138142866251</v>
      </c>
      <c r="P65" s="8">
        <f t="shared" si="33"/>
        <v>0</v>
      </c>
      <c r="Q65" s="8">
        <f t="shared" si="33"/>
        <v>944.53405887575923</v>
      </c>
      <c r="R65" s="8">
        <f t="shared" si="33"/>
        <v>129.56691406712957</v>
      </c>
      <c r="S65" s="8">
        <f t="shared" si="33"/>
        <v>29.768326432183592</v>
      </c>
      <c r="T65" s="8">
        <f t="shared" si="33"/>
        <v>3.1335080454930102</v>
      </c>
      <c r="U65" s="8">
        <f t="shared" si="33"/>
        <v>23.100512800494986</v>
      </c>
      <c r="V65" s="8">
        <f t="shared" si="33"/>
        <v>412.63928622335277</v>
      </c>
      <c r="W65" s="8">
        <f t="shared" si="33"/>
        <v>6.428403779255131</v>
      </c>
      <c r="X65" s="8">
        <f t="shared" si="33"/>
        <v>59.00414197732561</v>
      </c>
      <c r="Y65" s="8">
        <f t="shared" si="33"/>
        <v>0.19010756477095678</v>
      </c>
      <c r="Z65" s="8">
        <f t="shared" si="33"/>
        <v>0.20095115680912148</v>
      </c>
      <c r="AA65" s="8">
        <f t="shared" si="33"/>
        <v>0.31152899754610741</v>
      </c>
      <c r="AB65" s="8">
        <f t="shared" si="33"/>
        <v>0.26234020845987993</v>
      </c>
      <c r="AC65" s="8">
        <f t="shared" si="33"/>
        <v>0.31820808051155636</v>
      </c>
      <c r="AD65" s="8">
        <f t="shared" si="33"/>
        <v>1.7749431313325787</v>
      </c>
      <c r="AE65" s="8">
        <f t="shared" si="33"/>
        <v>0.27873647148862246</v>
      </c>
      <c r="AF65" s="8">
        <f t="shared" si="33"/>
        <v>11.242445783667181</v>
      </c>
      <c r="AG65" s="8">
        <f t="shared" si="33"/>
        <v>6.5585052114969983E-2</v>
      </c>
      <c r="AH65" s="8">
        <f t="shared" si="33"/>
        <v>31.389820945805582</v>
      </c>
      <c r="AI65" s="8">
        <f t="shared" si="33"/>
        <v>0.37619365964605356</v>
      </c>
      <c r="AJ65" s="8">
        <f t="shared" si="33"/>
        <v>47.80307786314615</v>
      </c>
      <c r="AK65" s="8">
        <f t="shared" si="33"/>
        <v>22.897638413043186</v>
      </c>
      <c r="AL65" s="8">
        <f t="shared" si="33"/>
        <v>0</v>
      </c>
      <c r="AM65" s="8">
        <f t="shared" si="33"/>
        <v>0.38377093245074684</v>
      </c>
      <c r="AN65" s="8">
        <f t="shared" si="33"/>
        <v>18.793232866658915</v>
      </c>
      <c r="AO65" s="8">
        <f t="shared" si="33"/>
        <v>0.20202699214233144</v>
      </c>
      <c r="AP65" s="8">
        <f t="shared" si="33"/>
        <v>4.4668113610879345</v>
      </c>
      <c r="AQ65" s="8">
        <f t="shared" si="33"/>
        <v>0</v>
      </c>
      <c r="AR65" s="8">
        <f t="shared" si="33"/>
        <v>5.3995301125061665</v>
      </c>
      <c r="AS65" s="8">
        <f t="shared" si="33"/>
        <v>2.0513115269880999</v>
      </c>
      <c r="AT65" s="8">
        <f t="shared" si="33"/>
        <v>0.81964309477350528</v>
      </c>
      <c r="AU65" s="8">
        <f t="shared" si="33"/>
        <v>0.45847224122464547</v>
      </c>
      <c r="AV65" s="8">
        <f t="shared" si="33"/>
        <v>3.2792526057484991E-2</v>
      </c>
      <c r="AW65" s="8">
        <f t="shared" si="33"/>
        <v>0.83468177828309331</v>
      </c>
      <c r="AX65" s="8">
        <f t="shared" si="33"/>
        <v>0</v>
      </c>
      <c r="AY65" s="8">
        <f t="shared" si="33"/>
        <v>32.463837058978264</v>
      </c>
      <c r="AZ65" s="8">
        <f t="shared" si="33"/>
        <v>2.6519652747675284</v>
      </c>
      <c r="BA65" s="8">
        <f t="shared" si="33"/>
        <v>580.53542227729554</v>
      </c>
      <c r="BB65" s="8">
        <f t="shared" ref="BB65:BB68" si="34">SUM(M65,X65,AH65,AJ65,AK65,AP65,AU65, AW65,BA65,AY65,AZ65,AV65,AT65,AM65,AI65,AG65,AE65,AC65,AB65,AA65)</f>
        <v>881.61895026275693</v>
      </c>
      <c r="BC65" s="8">
        <f t="shared" ref="BC65:BC68" si="35">SUM(X65,AH65,AJ65,AK65,AP65,AU65, AW65,BA65,AY65,AZ65,AV65,AT65,AM65,AI65,AG65,AE65,AC65,AB65,AA65)</f>
        <v>785.35466821400667</v>
      </c>
      <c r="BD65" s="8">
        <f t="shared" ref="BD65:BD68" si="36">SUM(AH65,X65,AC65,AB65,AA65,AE65,AG65,AI65,AK65,AM65,AP65,AT65,AV65,AZ65,AY65)</f>
        <v>155.72301405405705</v>
      </c>
      <c r="BE65" s="8">
        <f t="shared" ref="BE65:BE68" si="37">SUM(X65,AK65,AH65,AP65)</f>
        <v>117.75841269726232</v>
      </c>
      <c r="BF65" s="8">
        <f t="shared" ref="BF65:BF68" si="38">AC65+AM65+AE65</f>
        <v>0.9807154844509256</v>
      </c>
      <c r="BG65" s="8">
        <f t="shared" ref="BG65:BG68" si="39">SUM(AG65,AI65,AT65,AV65,AY65,AZ65,AB65,AA65)</f>
        <v>36.983885872343791</v>
      </c>
      <c r="BH65" s="60">
        <f t="shared" ref="BH65:BH68" si="40">BE65/BD65</f>
        <v>0.75620429910497455</v>
      </c>
      <c r="BI65" s="60">
        <f>AY65/BG65</f>
        <v>0.87778329110772058</v>
      </c>
    </row>
    <row r="66" spans="1:61" x14ac:dyDescent="0.25">
      <c r="A66" s="12" t="s">
        <v>179</v>
      </c>
      <c r="B66" s="12"/>
      <c r="C66" s="10">
        <f>C29</f>
        <v>14532.09107201016</v>
      </c>
      <c r="D66" s="8">
        <f>D$43/100*$C66</f>
        <v>7624.6103511158581</v>
      </c>
      <c r="E66" s="8">
        <f t="shared" si="33"/>
        <v>1802.8948146667967</v>
      </c>
      <c r="F66" s="8">
        <f t="shared" si="33"/>
        <v>1108.8566771586632</v>
      </c>
      <c r="G66" s="8">
        <f t="shared" si="33"/>
        <v>820.42373356140558</v>
      </c>
      <c r="H66" s="8">
        <f t="shared" si="33"/>
        <v>371.1205417969955</v>
      </c>
      <c r="I66" s="8">
        <f t="shared" si="33"/>
        <v>41.198478189148808</v>
      </c>
      <c r="J66" s="8">
        <f t="shared" si="33"/>
        <v>1251.678068214379</v>
      </c>
      <c r="K66" s="8">
        <f t="shared" si="33"/>
        <v>553.16404665606672</v>
      </c>
      <c r="L66" s="8">
        <f t="shared" si="33"/>
        <v>0</v>
      </c>
      <c r="M66" s="8">
        <f t="shared" si="33"/>
        <v>38.39378461225084</v>
      </c>
      <c r="N66" s="8">
        <f t="shared" si="33"/>
        <v>49.816008194850831</v>
      </c>
      <c r="O66" s="8">
        <f t="shared" si="33"/>
        <v>5.2024886037796367</v>
      </c>
      <c r="P66" s="8">
        <f t="shared" si="33"/>
        <v>0</v>
      </c>
      <c r="Q66" s="8">
        <f t="shared" si="33"/>
        <v>376.71539685971936</v>
      </c>
      <c r="R66" s="8">
        <f t="shared" si="33"/>
        <v>51.676115852068122</v>
      </c>
      <c r="S66" s="8">
        <f t="shared" si="33"/>
        <v>11.8727184058323</v>
      </c>
      <c r="T66" s="8">
        <f t="shared" si="33"/>
        <v>1.2497598321928738</v>
      </c>
      <c r="U66" s="8">
        <f t="shared" si="33"/>
        <v>9.2133457396544429</v>
      </c>
      <c r="V66" s="8">
        <f t="shared" si="33"/>
        <v>164.57593139051505</v>
      </c>
      <c r="W66" s="8">
        <f t="shared" si="33"/>
        <v>2.5638870913337342</v>
      </c>
      <c r="X66" s="8">
        <f t="shared" si="33"/>
        <v>23.533051616806976</v>
      </c>
      <c r="Y66" s="8">
        <f t="shared" si="33"/>
        <v>7.5821984433221967E-2</v>
      </c>
      <c r="Z66" s="8">
        <f t="shared" si="33"/>
        <v>8.0146813209543977E-2</v>
      </c>
      <c r="AA66" s="8">
        <f t="shared" si="33"/>
        <v>0.12424937866568686</v>
      </c>
      <c r="AB66" s="8">
        <f t="shared" si="33"/>
        <v>0.10463105571847314</v>
      </c>
      <c r="AC66" s="8">
        <f t="shared" si="33"/>
        <v>0.12691324596231238</v>
      </c>
      <c r="AD66" s="8">
        <f t="shared" si="33"/>
        <v>0.70791349432041717</v>
      </c>
      <c r="AE66" s="8">
        <f t="shared" si="33"/>
        <v>0.11117049670087774</v>
      </c>
      <c r="AF66" s="8">
        <f t="shared" si="33"/>
        <v>4.4839065201196142</v>
      </c>
      <c r="AG66" s="8">
        <f t="shared" si="33"/>
        <v>2.6157763929618286E-2</v>
      </c>
      <c r="AH66" s="8">
        <f t="shared" si="33"/>
        <v>12.519430870528412</v>
      </c>
      <c r="AI66" s="8">
        <f t="shared" si="33"/>
        <v>0.15004005674327339</v>
      </c>
      <c r="AJ66" s="8">
        <f t="shared" si="33"/>
        <v>19.065649649273151</v>
      </c>
      <c r="AK66" s="8">
        <f t="shared" si="33"/>
        <v>9.1324318703625895</v>
      </c>
      <c r="AL66" s="8">
        <f t="shared" si="33"/>
        <v>0</v>
      </c>
      <c r="AM66" s="8">
        <f t="shared" si="33"/>
        <v>0.15306215563416142</v>
      </c>
      <c r="AN66" s="8">
        <f t="shared" si="33"/>
        <v>7.495441917750659</v>
      </c>
      <c r="AO66" s="8">
        <f t="shared" si="33"/>
        <v>8.057589644979081E-2</v>
      </c>
      <c r="AP66" s="8">
        <f t="shared" si="33"/>
        <v>1.7815309027528494</v>
      </c>
      <c r="AQ66" s="8">
        <f t="shared" si="33"/>
        <v>0</v>
      </c>
      <c r="AR66" s="8">
        <f t="shared" si="33"/>
        <v>2.1535339144994476</v>
      </c>
      <c r="AS66" s="8">
        <f t="shared" si="33"/>
        <v>0.81813951409229724</v>
      </c>
      <c r="AT66" s="8">
        <f t="shared" si="33"/>
        <v>0.32690422418271359</v>
      </c>
      <c r="AU66" s="8">
        <f t="shared" si="33"/>
        <v>0.18285582259223271</v>
      </c>
      <c r="AV66" s="8">
        <f t="shared" si="33"/>
        <v>1.3078881964809143E-2</v>
      </c>
      <c r="AW66" s="8">
        <f t="shared" si="33"/>
        <v>0.33290221183951169</v>
      </c>
      <c r="AX66" s="8">
        <f t="shared" si="33"/>
        <v>0</v>
      </c>
      <c r="AY66" s="8">
        <f t="shared" si="33"/>
        <v>12.947788538000093</v>
      </c>
      <c r="AZ66" s="8">
        <f t="shared" si="33"/>
        <v>1.0577026223187298</v>
      </c>
      <c r="BA66" s="8">
        <f t="shared" si="33"/>
        <v>231.5391699634653</v>
      </c>
      <c r="BB66" s="8">
        <f t="shared" si="34"/>
        <v>351.6225059396927</v>
      </c>
      <c r="BC66" s="8">
        <f t="shared" si="35"/>
        <v>313.22872132744186</v>
      </c>
      <c r="BD66" s="8">
        <f t="shared" si="36"/>
        <v>62.108143680271567</v>
      </c>
      <c r="BE66" s="8">
        <f t="shared" si="37"/>
        <v>46.966445260450826</v>
      </c>
      <c r="BF66" s="8">
        <f t="shared" si="38"/>
        <v>0.39114589829735158</v>
      </c>
      <c r="BG66" s="8">
        <f t="shared" si="39"/>
        <v>14.750552521523396</v>
      </c>
      <c r="BH66" s="60">
        <f t="shared" si="40"/>
        <v>0.75620429910497478</v>
      </c>
      <c r="BI66" s="60">
        <f t="shared" ref="BI66:BI68" si="41">AY66/BG66</f>
        <v>0.87778329110772058</v>
      </c>
    </row>
    <row r="67" spans="1:61" x14ac:dyDescent="0.25">
      <c r="A67" s="12" t="s">
        <v>180</v>
      </c>
      <c r="B67" s="12"/>
      <c r="C67" s="10">
        <f>C30</f>
        <v>170516.00653837557</v>
      </c>
      <c r="D67" s="8">
        <f>D$55/100*$C67</f>
        <v>87831.08980785188</v>
      </c>
      <c r="E67" s="8">
        <f t="shared" ref="E67:BA67" si="42">E$55/100*$C67</f>
        <v>22098.021867340784</v>
      </c>
      <c r="F67" s="8">
        <f t="shared" si="42"/>
        <v>10954.800840057938</v>
      </c>
      <c r="G67" s="8">
        <f t="shared" si="42"/>
        <v>11120.201366400164</v>
      </c>
      <c r="H67" s="8">
        <f t="shared" si="42"/>
        <v>844.90681239765104</v>
      </c>
      <c r="I67" s="8">
        <f t="shared" si="42"/>
        <v>132.14990506724109</v>
      </c>
      <c r="J67" s="8">
        <f t="shared" si="42"/>
        <v>19125.075293344205</v>
      </c>
      <c r="K67" s="8">
        <f t="shared" si="42"/>
        <v>5908.3796265547135</v>
      </c>
      <c r="L67" s="8" t="e">
        <f t="shared" si="42"/>
        <v>#DIV/0!</v>
      </c>
      <c r="M67" s="8">
        <f t="shared" si="42"/>
        <v>400.71261536518261</v>
      </c>
      <c r="N67" s="8">
        <f t="shared" si="42"/>
        <v>784.37363007652766</v>
      </c>
      <c r="O67" s="8">
        <f t="shared" si="42"/>
        <v>688.88466641503715</v>
      </c>
      <c r="P67" s="8" t="e">
        <f t="shared" si="42"/>
        <v>#DIV/0!</v>
      </c>
      <c r="Q67" s="8">
        <f t="shared" si="42"/>
        <v>5457.3647892607096</v>
      </c>
      <c r="R67" s="8">
        <f t="shared" si="42"/>
        <v>230.19660882680702</v>
      </c>
      <c r="S67" s="8">
        <f t="shared" si="42"/>
        <v>114.24572438071164</v>
      </c>
      <c r="T67" s="8">
        <f t="shared" si="42"/>
        <v>215.7027482710451</v>
      </c>
      <c r="U67" s="8">
        <f t="shared" si="42"/>
        <v>46.039321765361407</v>
      </c>
      <c r="V67" s="8">
        <f t="shared" si="42"/>
        <v>483.41287853629478</v>
      </c>
      <c r="W67" s="8">
        <f t="shared" si="42"/>
        <v>8.272059720489187</v>
      </c>
      <c r="X67" s="8">
        <f t="shared" si="42"/>
        <v>574.69211176802321</v>
      </c>
      <c r="Y67" s="8">
        <f t="shared" si="42"/>
        <v>0.15575571472239746</v>
      </c>
      <c r="Z67" s="8">
        <f t="shared" si="42"/>
        <v>3.1934976038815286</v>
      </c>
      <c r="AA67" s="8">
        <f t="shared" si="42"/>
        <v>2.4554304941526084</v>
      </c>
      <c r="AB67" s="8">
        <f t="shared" si="42"/>
        <v>1.2277152470763042</v>
      </c>
      <c r="AC67" s="8">
        <f t="shared" si="42"/>
        <v>1.1284432323453539</v>
      </c>
      <c r="AD67" s="8">
        <f t="shared" si="42"/>
        <v>17.362476911157998</v>
      </c>
      <c r="AE67" s="8">
        <f t="shared" si="42"/>
        <v>2.4554304941526084</v>
      </c>
      <c r="AF67" s="8">
        <f t="shared" si="42"/>
        <v>5.6325176375648836</v>
      </c>
      <c r="AG67" s="8">
        <f t="shared" si="42"/>
        <v>0.40923841569210134</v>
      </c>
      <c r="AH67" s="8">
        <f t="shared" si="42"/>
        <v>417.86756236026292</v>
      </c>
      <c r="AI67" s="8">
        <f t="shared" si="42"/>
        <v>0.77722936578102342</v>
      </c>
      <c r="AJ67" s="8">
        <f t="shared" si="42"/>
        <v>105.06989572236778</v>
      </c>
      <c r="AK67" s="8">
        <f t="shared" si="42"/>
        <v>160.67318150079595</v>
      </c>
      <c r="AL67" s="8">
        <f t="shared" si="42"/>
        <v>0</v>
      </c>
      <c r="AM67" s="8">
        <f t="shared" si="42"/>
        <v>7.1839757682669925</v>
      </c>
      <c r="AN67" s="8">
        <f t="shared" si="42"/>
        <v>126.80388723024991</v>
      </c>
      <c r="AO67" s="8">
        <f t="shared" si="42"/>
        <v>3.0992187923184408E-2</v>
      </c>
      <c r="AP67" s="8">
        <f t="shared" si="42"/>
        <v>12.781740026991272</v>
      </c>
      <c r="AQ67" s="8">
        <f t="shared" si="42"/>
        <v>0</v>
      </c>
      <c r="AR67" s="8">
        <f t="shared" si="42"/>
        <v>7.5922064343604525</v>
      </c>
      <c r="AS67" s="8">
        <f t="shared" si="42"/>
        <v>2.2726895982994741</v>
      </c>
      <c r="AT67" s="8">
        <f t="shared" si="42"/>
        <v>1.6814851410622258</v>
      </c>
      <c r="AU67" s="8">
        <f t="shared" si="42"/>
        <v>43.363801316605525</v>
      </c>
      <c r="AV67" s="8">
        <f t="shared" si="42"/>
        <v>0.20461920784605067</v>
      </c>
      <c r="AW67" s="8">
        <f t="shared" si="42"/>
        <v>27.3543782957099</v>
      </c>
      <c r="AX67" s="8">
        <f t="shared" si="42"/>
        <v>0</v>
      </c>
      <c r="AY67" s="8">
        <f t="shared" si="42"/>
        <v>148.56935531087504</v>
      </c>
      <c r="AZ67" s="8">
        <f t="shared" si="42"/>
        <v>3.9447205180113039</v>
      </c>
      <c r="BA67" s="8">
        <f t="shared" si="42"/>
        <v>427.12955531445078</v>
      </c>
      <c r="BB67" s="8">
        <f t="shared" si="34"/>
        <v>2339.6824848656511</v>
      </c>
      <c r="BC67" s="8">
        <f t="shared" si="35"/>
        <v>1938.9698695004683</v>
      </c>
      <c r="BD67" s="8">
        <f t="shared" si="36"/>
        <v>1336.052238851335</v>
      </c>
      <c r="BE67" s="8">
        <f t="shared" si="37"/>
        <v>1166.0145956560734</v>
      </c>
      <c r="BF67" s="8">
        <f t="shared" si="38"/>
        <v>10.767849494764954</v>
      </c>
      <c r="BG67" s="8">
        <f t="shared" si="39"/>
        <v>159.26979370049665</v>
      </c>
      <c r="BH67" s="60">
        <f t="shared" si="40"/>
        <v>0.87273129129932026</v>
      </c>
      <c r="BI67" s="60">
        <f t="shared" si="41"/>
        <v>0.93281564481873103</v>
      </c>
    </row>
    <row r="68" spans="1:61" x14ac:dyDescent="0.25">
      <c r="A68" s="12" t="s">
        <v>196</v>
      </c>
      <c r="B68" s="12"/>
      <c r="C68" s="10">
        <f>C31</f>
        <v>82080.74032619092</v>
      </c>
      <c r="D68" s="8">
        <f>D$60/100*$C68</f>
        <v>39603.957207387117</v>
      </c>
      <c r="E68" s="8">
        <f t="shared" ref="E68:BA68" si="43">E$60/100*$C68</f>
        <v>15841.582882954848</v>
      </c>
      <c r="F68" s="8">
        <f t="shared" si="43"/>
        <v>3340.6861312759706</v>
      </c>
      <c r="G68" s="8">
        <f t="shared" si="43"/>
        <v>2528.0868020466805</v>
      </c>
      <c r="H68" s="8">
        <f t="shared" si="43"/>
        <v>1378.9564374800075</v>
      </c>
      <c r="I68" s="8">
        <f t="shared" si="43"/>
        <v>82.08074032619092</v>
      </c>
      <c r="J68" s="8">
        <f t="shared" si="43"/>
        <v>11795.002384873635</v>
      </c>
      <c r="K68" s="8">
        <f t="shared" si="43"/>
        <v>2798.9532451231103</v>
      </c>
      <c r="L68" s="8" t="e">
        <f t="shared" si="43"/>
        <v>#DIV/0!</v>
      </c>
      <c r="M68" s="8">
        <f t="shared" si="43"/>
        <v>262.65836904381098</v>
      </c>
      <c r="N68" s="8">
        <f t="shared" si="43"/>
        <v>172.36955468500094</v>
      </c>
      <c r="O68" s="8">
        <f t="shared" si="43"/>
        <v>49.248444195714548</v>
      </c>
      <c r="P68" s="8" t="e">
        <f t="shared" si="43"/>
        <v>#DIV/0!</v>
      </c>
      <c r="Q68" s="8">
        <f t="shared" si="43"/>
        <v>1026.0092540773865</v>
      </c>
      <c r="R68" s="8">
        <f t="shared" si="43"/>
        <v>139.53725855452458</v>
      </c>
      <c r="S68" s="8">
        <f t="shared" si="43"/>
        <v>90.288814358810015</v>
      </c>
      <c r="T68" s="8">
        <f t="shared" si="43"/>
        <v>65.664592260952745</v>
      </c>
      <c r="U68" s="8">
        <f t="shared" si="43"/>
        <v>1920.6893236328674</v>
      </c>
      <c r="V68" s="8">
        <f t="shared" si="43"/>
        <v>131.32918452190549</v>
      </c>
      <c r="W68" s="8">
        <f t="shared" si="43"/>
        <v>0.1008074612316114</v>
      </c>
      <c r="X68" s="8">
        <f t="shared" si="43"/>
        <v>11.344658194999955</v>
      </c>
      <c r="Y68" s="8">
        <f t="shared" si="43"/>
        <v>9.8368021629116981E-2</v>
      </c>
      <c r="Z68" s="8">
        <f t="shared" si="43"/>
        <v>5.3953640554173114E-2</v>
      </c>
      <c r="AA68" s="8">
        <f t="shared" si="43"/>
        <v>0</v>
      </c>
      <c r="AB68" s="8">
        <f t="shared" si="43"/>
        <v>0</v>
      </c>
      <c r="AC68" s="8">
        <f t="shared" si="43"/>
        <v>9.1524761522419701E-2</v>
      </c>
      <c r="AD68" s="8">
        <f t="shared" si="43"/>
        <v>0.25376574163687149</v>
      </c>
      <c r="AE68" s="8">
        <f t="shared" si="43"/>
        <v>0</v>
      </c>
      <c r="AF68" s="8">
        <f t="shared" si="43"/>
        <v>0.7375993660480783</v>
      </c>
      <c r="AG68" s="8">
        <f t="shared" si="43"/>
        <v>0</v>
      </c>
      <c r="AH68" s="8">
        <f t="shared" si="43"/>
        <v>5.7180989599206695</v>
      </c>
      <c r="AI68" s="8">
        <f t="shared" si="43"/>
        <v>4.8907021148253731E-2</v>
      </c>
      <c r="AJ68" s="8">
        <f t="shared" si="43"/>
        <v>8.7123042285169152</v>
      </c>
      <c r="AK68" s="8">
        <f t="shared" si="43"/>
        <v>5.1699046778893312</v>
      </c>
      <c r="AL68" s="8" t="e">
        <f t="shared" si="43"/>
        <v>#DIV/0!</v>
      </c>
      <c r="AM68" s="8">
        <f t="shared" si="43"/>
        <v>0</v>
      </c>
      <c r="AN68" s="8">
        <f t="shared" si="43"/>
        <v>2.9981008205321276</v>
      </c>
      <c r="AO68" s="8">
        <f t="shared" si="43"/>
        <v>0.50358175804924654</v>
      </c>
      <c r="AP68" s="8">
        <f t="shared" si="43"/>
        <v>0.91468774249443197</v>
      </c>
      <c r="AQ68" s="8" t="e">
        <f t="shared" si="43"/>
        <v>#DIV/0!</v>
      </c>
      <c r="AR68" s="8">
        <f t="shared" si="43"/>
        <v>9.7068683509753395E-2</v>
      </c>
      <c r="AS68" s="8">
        <f t="shared" si="43"/>
        <v>3.9089228884801576E-2</v>
      </c>
      <c r="AT68" s="8">
        <f t="shared" si="43"/>
        <v>0.15210464070586768</v>
      </c>
      <c r="AU68" s="8">
        <f t="shared" si="43"/>
        <v>0.38293866511040781</v>
      </c>
      <c r="AV68" s="8">
        <f t="shared" si="43"/>
        <v>0</v>
      </c>
      <c r="AW68" s="8">
        <f t="shared" si="43"/>
        <v>0.18156916406076043</v>
      </c>
      <c r="AX68" s="8" t="e">
        <f t="shared" si="43"/>
        <v>#DIV/0!</v>
      </c>
      <c r="AY68" s="8">
        <f t="shared" si="43"/>
        <v>4.8052027116645961</v>
      </c>
      <c r="AZ68" s="8">
        <f t="shared" si="43"/>
        <v>0.35797224840613068</v>
      </c>
      <c r="BA68" s="8">
        <f t="shared" si="43"/>
        <v>48.341353518221752</v>
      </c>
      <c r="BB68" s="8">
        <f t="shared" si="34"/>
        <v>348.87959557847256</v>
      </c>
      <c r="BC68" s="8">
        <f t="shared" si="35"/>
        <v>86.221226534661497</v>
      </c>
      <c r="BD68" s="8">
        <f t="shared" si="36"/>
        <v>28.603060958751655</v>
      </c>
      <c r="BE68" s="8">
        <f t="shared" si="37"/>
        <v>23.147349575304389</v>
      </c>
      <c r="BF68" s="8">
        <f t="shared" si="38"/>
        <v>9.1524761522419701E-2</v>
      </c>
      <c r="BG68" s="8">
        <f t="shared" si="39"/>
        <v>5.3641866219248477</v>
      </c>
      <c r="BH68" s="60">
        <f t="shared" si="40"/>
        <v>0.80926127482247712</v>
      </c>
      <c r="BI68" s="60">
        <f t="shared" si="41"/>
        <v>0.89579335141407335</v>
      </c>
    </row>
    <row r="69" spans="1:61" x14ac:dyDescent="0.25">
      <c r="BB69" s="13" t="s">
        <v>116</v>
      </c>
      <c r="BC69" s="13"/>
      <c r="BD69" s="13" t="s">
        <v>117</v>
      </c>
    </row>
    <row r="70" spans="1:61" x14ac:dyDescent="0.25">
      <c r="A70" s="1" t="s">
        <v>197</v>
      </c>
      <c r="C70" s="8">
        <f>SUM(C64:C68)</f>
        <v>316597.14125816489</v>
      </c>
      <c r="D70" s="8">
        <f t="shared" ref="D70:BA70" si="44">SUM(D64:D68)</f>
        <v>161014.38994330587</v>
      </c>
      <c r="E70" s="8">
        <f t="shared" si="44"/>
        <v>45879.685679948634</v>
      </c>
      <c r="F70" s="8">
        <f t="shared" si="44"/>
        <v>19178.973065143044</v>
      </c>
      <c r="G70" s="8">
        <f t="shared" si="44"/>
        <v>17261.494434331838</v>
      </c>
      <c r="H70" s="8">
        <f t="shared" si="44"/>
        <v>3858.3053219013755</v>
      </c>
      <c r="I70" s="8">
        <f t="shared" si="44"/>
        <v>395.67176349928366</v>
      </c>
      <c r="J70" s="8">
        <f t="shared" si="44"/>
        <v>36432.559648127259</v>
      </c>
      <c r="K70" s="8">
        <f t="shared" si="44"/>
        <v>11143.507884270148</v>
      </c>
      <c r="L70" s="8" t="e">
        <f t="shared" si="44"/>
        <v>#DIV/0!</v>
      </c>
      <c r="M70" s="8">
        <f t="shared" si="44"/>
        <v>832.46002639688072</v>
      </c>
      <c r="N70" s="8">
        <f t="shared" si="44"/>
        <v>1176.1365367427841</v>
      </c>
      <c r="O70" s="8">
        <f t="shared" si="44"/>
        <v>761.04525180365999</v>
      </c>
      <c r="P70" s="8" t="e">
        <f t="shared" si="44"/>
        <v>#DIV/0!</v>
      </c>
      <c r="Q70" s="8">
        <f t="shared" si="44"/>
        <v>8142.4562672033489</v>
      </c>
      <c r="R70" s="8">
        <f t="shared" si="44"/>
        <v>597.31926984496761</v>
      </c>
      <c r="S70" s="8">
        <f t="shared" si="44"/>
        <v>256.8228609590916</v>
      </c>
      <c r="T70" s="8">
        <f t="shared" si="44"/>
        <v>286.87137444984728</v>
      </c>
      <c r="U70" s="8">
        <f t="shared" si="44"/>
        <v>2007.3048954437702</v>
      </c>
      <c r="V70" s="8">
        <f t="shared" si="44"/>
        <v>1339.5465295657027</v>
      </c>
      <c r="W70" s="8">
        <f t="shared" si="44"/>
        <v>19.664413884319128</v>
      </c>
      <c r="X70" s="8">
        <f t="shared" si="44"/>
        <v>689.67805443456484</v>
      </c>
      <c r="Y70" s="8">
        <f t="shared" si="44"/>
        <v>0.58804931412180594</v>
      </c>
      <c r="Z70" s="8">
        <f t="shared" si="44"/>
        <v>3.6004236851796581</v>
      </c>
      <c r="AA70" s="8">
        <f t="shared" si="44"/>
        <v>3.0026338662178751</v>
      </c>
      <c r="AB70" s="8">
        <f t="shared" si="44"/>
        <v>1.688518086710213</v>
      </c>
      <c r="AC70" s="8">
        <f t="shared" si="44"/>
        <v>1.7789032327890508</v>
      </c>
      <c r="AD70" s="8">
        <f t="shared" si="44"/>
        <v>20.733945577208903</v>
      </c>
      <c r="AE70" s="8">
        <f t="shared" si="44"/>
        <v>2.9450335112636363</v>
      </c>
      <c r="AF70" s="8">
        <f t="shared" si="44"/>
        <v>26.117570022567055</v>
      </c>
      <c r="AG70" s="8">
        <f t="shared" si="44"/>
        <v>0.52443912560057848</v>
      </c>
      <c r="AH70" s="8">
        <f t="shared" si="44"/>
        <v>478.72215264320255</v>
      </c>
      <c r="AI70" s="8">
        <f t="shared" si="44"/>
        <v>1.4869237959004966</v>
      </c>
      <c r="AJ70" s="8">
        <f t="shared" si="44"/>
        <v>197.74871866296894</v>
      </c>
      <c r="AK70" s="8">
        <f t="shared" si="44"/>
        <v>206.06298561226521</v>
      </c>
      <c r="AL70" s="8" t="e">
        <f t="shared" si="44"/>
        <v>#DIV/0!</v>
      </c>
      <c r="AM70" s="8">
        <f t="shared" si="44"/>
        <v>7.8580727222964466</v>
      </c>
      <c r="AN70" s="8">
        <f t="shared" si="44"/>
        <v>162.812463729283</v>
      </c>
      <c r="AO70" s="8">
        <f t="shared" si="44"/>
        <v>0.88943610076148916</v>
      </c>
      <c r="AP70" s="8">
        <f t="shared" si="44"/>
        <v>21.542420464932949</v>
      </c>
      <c r="AQ70" s="8" t="e">
        <f t="shared" si="44"/>
        <v>#DIV/0!</v>
      </c>
      <c r="AR70" s="8">
        <f t="shared" si="44"/>
        <v>17.173596347690957</v>
      </c>
      <c r="AS70" s="8">
        <f t="shared" si="44"/>
        <v>5.9149252230767093</v>
      </c>
      <c r="AT70" s="8">
        <f t="shared" si="44"/>
        <v>3.2732999496271598</v>
      </c>
      <c r="AU70" s="8">
        <f t="shared" si="44"/>
        <v>44.552050429130432</v>
      </c>
      <c r="AV70" s="8">
        <f t="shared" si="44"/>
        <v>0.26221956280028924</v>
      </c>
      <c r="AW70" s="8">
        <f t="shared" si="44"/>
        <v>29.002073204968241</v>
      </c>
      <c r="AX70" s="8" t="e">
        <f t="shared" si="44"/>
        <v>#DIV/0!</v>
      </c>
      <c r="AY70" s="8">
        <f t="shared" si="44"/>
        <v>210.39756791496899</v>
      </c>
      <c r="AZ70" s="8">
        <f t="shared" si="44"/>
        <v>8.9608926527314061</v>
      </c>
      <c r="BA70" s="8">
        <f t="shared" si="44"/>
        <v>1495.1863869285862</v>
      </c>
      <c r="BB70" s="10">
        <f>SUMIF(D70:BA70, "&lt;&gt;#DIV/0!")</f>
        <v>314226.71892362321</v>
      </c>
      <c r="BC70" s="10"/>
      <c r="BD70">
        <f>ABS((BB70/C70*100)-100)</f>
        <v>0.74871880558414716</v>
      </c>
    </row>
    <row r="72" spans="1:61" x14ac:dyDescent="0.25">
      <c r="A72" t="s">
        <v>371</v>
      </c>
      <c r="B72" s="8"/>
    </row>
    <row r="73" spans="1:61" x14ac:dyDescent="0.25">
      <c r="A73" t="s">
        <v>344</v>
      </c>
    </row>
    <row r="74" spans="1:61" x14ac:dyDescent="0.25">
      <c r="A74" s="39" t="s">
        <v>198</v>
      </c>
      <c r="C74" s="8">
        <f>SUM(BB64:BB68)</f>
        <v>4237.1333731984059</v>
      </c>
    </row>
    <row r="75" spans="1:61" x14ac:dyDescent="0.25">
      <c r="A75" s="39" t="s">
        <v>199</v>
      </c>
      <c r="C75" s="8">
        <f>SUM(BC64:BC68)</f>
        <v>3404.6733468015254</v>
      </c>
    </row>
    <row r="76" spans="1:61" x14ac:dyDescent="0.25">
      <c r="A76" s="39" t="s">
        <v>369</v>
      </c>
      <c r="C76" s="8">
        <f>SUM(BD64:BD68)</f>
        <v>1638.1841175758718</v>
      </c>
    </row>
    <row r="77" spans="1:61" x14ac:dyDescent="0.25">
      <c r="A77" s="39" t="s">
        <v>200</v>
      </c>
      <c r="C77" s="8">
        <f>SUM(X70,AH70,AK70,AP70)</f>
        <v>1396.0056131549657</v>
      </c>
    </row>
    <row r="78" spans="1:61" x14ac:dyDescent="0.25">
      <c r="A78" s="89" t="s">
        <v>201</v>
      </c>
      <c r="C78" s="8">
        <f>BB65</f>
        <v>881.61895026275693</v>
      </c>
    </row>
    <row r="79" spans="1:61" x14ac:dyDescent="0.25">
      <c r="A79" s="89" t="s">
        <v>202</v>
      </c>
      <c r="C79" s="8">
        <f>BC65</f>
        <v>785.35466821400667</v>
      </c>
    </row>
    <row r="80" spans="1:61" x14ac:dyDescent="0.25">
      <c r="A80" s="89" t="s">
        <v>370</v>
      </c>
      <c r="C80" s="8">
        <f>SUM(BD65)</f>
        <v>155.72301405405705</v>
      </c>
    </row>
    <row r="81" spans="1:61" x14ac:dyDescent="0.25">
      <c r="A81" s="89" t="s">
        <v>372</v>
      </c>
      <c r="C81" s="8">
        <v>117.75841269726232</v>
      </c>
    </row>
    <row r="83" spans="1:61" x14ac:dyDescent="0.25">
      <c r="A83" s="61" t="s">
        <v>203</v>
      </c>
    </row>
    <row r="84" spans="1:61" x14ac:dyDescent="0.25">
      <c r="A84" s="62" t="s">
        <v>204</v>
      </c>
    </row>
    <row r="85" spans="1:61" x14ac:dyDescent="0.25">
      <c r="A85" s="23" t="s">
        <v>205</v>
      </c>
    </row>
    <row r="87" spans="1:61" hidden="1" x14ac:dyDescent="0.25">
      <c r="A87" s="63" t="s">
        <v>206</v>
      </c>
    </row>
    <row r="88" spans="1:61" ht="45" hidden="1" x14ac:dyDescent="0.25">
      <c r="A88" s="13" t="str">
        <f t="shared" ref="A88:A93" si="45">A63</f>
        <v>Intrusion (Mt's of oxide)</v>
      </c>
      <c r="B88" s="13"/>
      <c r="C88" s="13" t="str">
        <f t="shared" ref="C88:BI88" si="46">C63</f>
        <v>Total Tonnage (Mt)</v>
      </c>
      <c r="D88" s="13" t="str">
        <f t="shared" si="46"/>
        <v>SiO2</v>
      </c>
      <c r="E88" s="13" t="str">
        <f t="shared" si="46"/>
        <v>Al2O3</v>
      </c>
      <c r="F88" s="13" t="str">
        <f t="shared" si="46"/>
        <v>Fe2O3</v>
      </c>
      <c r="G88" s="13" t="str">
        <f t="shared" si="46"/>
        <v>FeO</v>
      </c>
      <c r="H88" s="13" t="str">
        <f t="shared" si="46"/>
        <v>CaO</v>
      </c>
      <c r="I88" s="13" t="str">
        <f t="shared" si="46"/>
        <v>MgO</v>
      </c>
      <c r="J88" s="13" t="str">
        <f t="shared" si="46"/>
        <v>Na2O</v>
      </c>
      <c r="K88" s="13" t="str">
        <f t="shared" si="46"/>
        <v>K2O</v>
      </c>
      <c r="L88" s="13" t="str">
        <f t="shared" si="46"/>
        <v>Cr2O3</v>
      </c>
      <c r="M88" s="13" t="str">
        <f t="shared" si="46"/>
        <v>TiO2</v>
      </c>
      <c r="N88" s="13" t="str">
        <f t="shared" si="46"/>
        <v>MnO</v>
      </c>
      <c r="O88" s="13" t="str">
        <f t="shared" si="46"/>
        <v>P2O5</v>
      </c>
      <c r="P88" s="13" t="str">
        <f t="shared" si="46"/>
        <v>LOI</v>
      </c>
      <c r="Q88" s="13" t="str">
        <f t="shared" si="46"/>
        <v>H2O+ (calc)</v>
      </c>
      <c r="R88" s="13" t="str">
        <f t="shared" si="46"/>
        <v>H2O-</v>
      </c>
      <c r="S88" s="13" t="str">
        <f t="shared" si="46"/>
        <v>CO2</v>
      </c>
      <c r="T88" s="13" t="str">
        <f t="shared" si="46"/>
        <v>S</v>
      </c>
      <c r="U88" s="13" t="str">
        <f t="shared" si="46"/>
        <v>Cl</v>
      </c>
      <c r="V88" s="13" t="str">
        <f t="shared" si="46"/>
        <v>F</v>
      </c>
      <c r="W88" s="13" t="str">
        <f t="shared" si="46"/>
        <v>BaO</v>
      </c>
      <c r="X88" s="13" t="str">
        <f t="shared" si="46"/>
        <v>Ce2O3</v>
      </c>
      <c r="Y88" s="13" t="str">
        <f t="shared" si="46"/>
        <v>Cr2O3</v>
      </c>
      <c r="Z88" s="13" t="str">
        <f t="shared" si="46"/>
        <v>Cs2O3</v>
      </c>
      <c r="AA88" s="13" t="str">
        <f t="shared" si="46"/>
        <v>Dy2O3</v>
      </c>
      <c r="AB88" s="13" t="str">
        <f t="shared" si="46"/>
        <v>Er2O3</v>
      </c>
      <c r="AC88" s="13" t="str">
        <f t="shared" si="46"/>
        <v>Eu2O3</v>
      </c>
      <c r="AD88" s="13" t="str">
        <f t="shared" si="46"/>
        <v>Ga2O3</v>
      </c>
      <c r="AE88" s="13" t="str">
        <f t="shared" si="46"/>
        <v>Gd2O3</v>
      </c>
      <c r="AF88" s="13" t="str">
        <f t="shared" si="46"/>
        <v>HfO2</v>
      </c>
      <c r="AG88" s="13" t="str">
        <f t="shared" si="46"/>
        <v>Ho2O3</v>
      </c>
      <c r="AH88" s="13" t="str">
        <f t="shared" si="46"/>
        <v>La2O3</v>
      </c>
      <c r="AI88" s="13" t="str">
        <f t="shared" si="46"/>
        <v>Lu2O3</v>
      </c>
      <c r="AJ88" s="13" t="str">
        <f t="shared" si="46"/>
        <v>Nb2O5</v>
      </c>
      <c r="AK88" s="13" t="str">
        <f t="shared" si="46"/>
        <v>Nd2O3</v>
      </c>
      <c r="AL88" s="13" t="str">
        <f t="shared" si="46"/>
        <v>NiO2</v>
      </c>
      <c r="AM88" s="13" t="str">
        <f t="shared" si="46"/>
        <v>Pr2O3</v>
      </c>
      <c r="AN88" s="13" t="str">
        <f t="shared" si="46"/>
        <v>Rb2O</v>
      </c>
      <c r="AO88" s="13" t="str">
        <f t="shared" si="46"/>
        <v>Sc2O3</v>
      </c>
      <c r="AP88" s="13" t="str">
        <f t="shared" si="46"/>
        <v>Sm2O3</v>
      </c>
      <c r="AQ88" s="13" t="str">
        <f t="shared" si="46"/>
        <v>SnO2</v>
      </c>
      <c r="AR88" s="13" t="str">
        <f t="shared" si="46"/>
        <v>SrO</v>
      </c>
      <c r="AS88" s="13" t="str">
        <f t="shared" si="46"/>
        <v>Ta2O5</v>
      </c>
      <c r="AT88" s="13" t="str">
        <f t="shared" si="46"/>
        <v>Tb2O3</v>
      </c>
      <c r="AU88" s="13" t="str">
        <f t="shared" si="46"/>
        <v>ThO2</v>
      </c>
      <c r="AV88" s="13" t="str">
        <f t="shared" si="46"/>
        <v>Tm2O3</v>
      </c>
      <c r="AW88" s="13" t="str">
        <f t="shared" si="46"/>
        <v>UO2</v>
      </c>
      <c r="AX88" s="13" t="str">
        <f t="shared" si="46"/>
        <v>V2O5</v>
      </c>
      <c r="AY88" s="13" t="str">
        <f t="shared" si="46"/>
        <v>Y2O3</v>
      </c>
      <c r="AZ88" s="13" t="str">
        <f t="shared" si="46"/>
        <v>Yb2O3</v>
      </c>
      <c r="BA88" s="13" t="str">
        <f t="shared" si="46"/>
        <v>ZrO2</v>
      </c>
      <c r="BB88" s="13" t="str">
        <f t="shared" si="46"/>
        <v>SUM CHFSEO</v>
      </c>
      <c r="BC88" s="1" t="str">
        <f t="shared" si="46"/>
        <v>SUM CHSFEO-Ti</v>
      </c>
      <c r="BD88" s="13" t="str">
        <f t="shared" si="46"/>
        <v>SUM REO</v>
      </c>
      <c r="BE88" s="1" t="str">
        <f t="shared" si="46"/>
        <v>SUM LREO (La,Ce,Nd,Sm)</v>
      </c>
      <c r="BF88" s="13" t="str">
        <f t="shared" si="46"/>
        <v>Pr-Eu-Gd</v>
      </c>
      <c r="BG88" s="13" t="str">
        <f t="shared" si="46"/>
        <v>SUM HREO</v>
      </c>
      <c r="BH88" s="13" t="str">
        <f t="shared" si="46"/>
        <v>LREO/TREO</v>
      </c>
      <c r="BI88" s="13" t="str">
        <f t="shared" si="46"/>
        <v>Y% of HREO</v>
      </c>
    </row>
    <row r="89" spans="1:61" hidden="1" x14ac:dyDescent="0.25">
      <c r="A89" t="str">
        <f t="shared" si="45"/>
        <v>Black Madonna</v>
      </c>
      <c r="C89" s="10">
        <f>C64+(1/100*C64)</f>
        <v>13162.484890293232</v>
      </c>
      <c r="D89" s="8">
        <f>D$43/100*$C89</f>
        <v>6906.013597329711</v>
      </c>
      <c r="E89" s="8">
        <f t="shared" ref="E89:BA91" si="47">E$43/100*$C89</f>
        <v>1632.9773629444494</v>
      </c>
      <c r="F89" s="8">
        <f t="shared" si="47"/>
        <v>1004.3502470689347</v>
      </c>
      <c r="G89" s="8">
        <f t="shared" si="47"/>
        <v>743.10124696639468</v>
      </c>
      <c r="H89" s="8">
        <f t="shared" si="47"/>
        <v>336.14353912830859</v>
      </c>
      <c r="I89" s="8">
        <f t="shared" si="47"/>
        <v>37.315644663981317</v>
      </c>
      <c r="J89" s="8">
        <f t="shared" si="47"/>
        <v>1133.7111485707364</v>
      </c>
      <c r="K89" s="8">
        <f t="shared" si="47"/>
        <v>501.02998734901189</v>
      </c>
      <c r="L89" s="8">
        <f t="shared" si="47"/>
        <v>0</v>
      </c>
      <c r="M89" s="8">
        <f t="shared" si="47"/>
        <v>34.775285080154717</v>
      </c>
      <c r="N89" s="8">
        <f t="shared" si="47"/>
        <v>45.120998203925197</v>
      </c>
      <c r="O89" s="8">
        <f t="shared" si="47"/>
        <v>4.7121695907249768</v>
      </c>
      <c r="P89" s="8">
        <f t="shared" si="47"/>
        <v>0</v>
      </c>
      <c r="Q89" s="8">
        <f t="shared" si="47"/>
        <v>341.2110958110714</v>
      </c>
      <c r="R89" s="8">
        <f t="shared" si="47"/>
        <v>46.805796269882727</v>
      </c>
      <c r="S89" s="8">
        <f t="shared" si="47"/>
        <v>10.75375015536957</v>
      </c>
      <c r="T89" s="8">
        <f t="shared" si="47"/>
        <v>1.131973700565218</v>
      </c>
      <c r="U89" s="8">
        <f t="shared" si="47"/>
        <v>8.345015420445911</v>
      </c>
      <c r="V89" s="8">
        <f t="shared" si="47"/>
        <v>149.06514138257086</v>
      </c>
      <c r="W89" s="8">
        <f t="shared" si="47"/>
        <v>2.3222483903295581</v>
      </c>
      <c r="X89" s="8">
        <f t="shared" si="47"/>
        <v>21.315131786183176</v>
      </c>
      <c r="Y89" s="8">
        <f t="shared" si="47"/>
        <v>6.8675988851773909E-2</v>
      </c>
      <c r="Z89" s="8">
        <f t="shared" si="47"/>
        <v>7.2593215432543573E-2</v>
      </c>
      <c r="AA89" s="8">
        <f t="shared" si="47"/>
        <v>0.11253924581200712</v>
      </c>
      <c r="AB89" s="8">
        <f t="shared" si="47"/>
        <v>9.4769891210111271E-2</v>
      </c>
      <c r="AC89" s="8">
        <f t="shared" si="47"/>
        <v>0.1149520515718825</v>
      </c>
      <c r="AD89" s="8">
        <f t="shared" si="47"/>
        <v>0.64119476174864565</v>
      </c>
      <c r="AE89" s="8">
        <f t="shared" si="47"/>
        <v>0.10069300941074324</v>
      </c>
      <c r="AF89" s="8">
        <f t="shared" si="47"/>
        <v>4.0613117223189716</v>
      </c>
      <c r="AG89" s="8">
        <f t="shared" si="47"/>
        <v>2.3692472802527818E-2</v>
      </c>
      <c r="AH89" s="8">
        <f t="shared" si="47"/>
        <v>11.339511901751839</v>
      </c>
      <c r="AI89" s="8">
        <f t="shared" si="47"/>
        <v>0.13589922950771158</v>
      </c>
      <c r="AJ89" s="8">
        <f t="shared" si="47"/>
        <v>17.268769111661598</v>
      </c>
      <c r="AK89" s="8">
        <f t="shared" si="47"/>
        <v>8.2717274416759103</v>
      </c>
      <c r="AL89" s="8">
        <f t="shared" si="47"/>
        <v>0</v>
      </c>
      <c r="AM89" s="8">
        <f t="shared" si="47"/>
        <v>0.13863650460399152</v>
      </c>
      <c r="AN89" s="8">
        <f t="shared" si="47"/>
        <v>6.7890189030322778</v>
      </c>
      <c r="AO89" s="8">
        <f t="shared" si="47"/>
        <v>7.2981858858905319E-2</v>
      </c>
      <c r="AP89" s="8">
        <f t="shared" si="47"/>
        <v>1.6136269359225255</v>
      </c>
      <c r="AQ89" s="8">
        <f t="shared" si="47"/>
        <v>0</v>
      </c>
      <c r="AR89" s="8">
        <f t="shared" si="47"/>
        <v>1.9505697748432882</v>
      </c>
      <c r="AS89" s="8">
        <f t="shared" si="47"/>
        <v>0.74103230836015643</v>
      </c>
      <c r="AT89" s="8">
        <f t="shared" si="47"/>
        <v>0.29609447739187628</v>
      </c>
      <c r="AU89" s="8">
        <f t="shared" si="47"/>
        <v>0.1656222074335979</v>
      </c>
      <c r="AV89" s="8">
        <f t="shared" si="47"/>
        <v>1.1846236401263909E-2</v>
      </c>
      <c r="AW89" s="8">
        <f t="shared" si="47"/>
        <v>0.30152717262572531</v>
      </c>
      <c r="AX89" s="8">
        <f t="shared" si="47"/>
        <v>0</v>
      </c>
      <c r="AY89" s="8">
        <f t="shared" si="47"/>
        <v>11.727498138405485</v>
      </c>
      <c r="AZ89" s="8">
        <f t="shared" si="47"/>
        <v>0.95801730911999039</v>
      </c>
      <c r="BA89" s="8">
        <f t="shared" si="47"/>
        <v>209.71729471370449</v>
      </c>
      <c r="BB89" s="8">
        <f>SUM(M89,X89,AH89,AJ89,AK89,AP89,AU89, AW89,BA89,AY89,AZ89,AV89,AT89,AM89,AI89,AG89,AE89,AC89,AB89,AA89)</f>
        <v>318.48313491735115</v>
      </c>
      <c r="BC89" s="8">
        <f>SUM(X89,AH89,AJ89,AK89,AP89,AU89, AW89,BA89,AY89,AZ89,AV89,AT89,AM89,AI89,AG89,AE89,AC89,AB89,AA89)</f>
        <v>283.70784983719642</v>
      </c>
      <c r="BD89" s="8">
        <f>SUM(AH89,X89,AC89,AB89,AA89,AE89,AG89,AI89,AK89,AM89,AP89,AT89,AV89,AZ89,AY89)</f>
        <v>56.254636631771042</v>
      </c>
      <c r="BE89" s="8">
        <f>SUM(X89,AK89,AH89,AP89)</f>
        <v>42.539998065533453</v>
      </c>
      <c r="BF89" s="8">
        <f>AC89+AM89+AE89</f>
        <v>0.35428156558661728</v>
      </c>
      <c r="BG89" s="8">
        <f>SUM(AG89,AI89,AT89,AV89,AY89,AZ89,AB89,AA89)</f>
        <v>13.360357000650973</v>
      </c>
      <c r="BH89" s="60">
        <f>BE89/BD89</f>
        <v>0.75620429910497466</v>
      </c>
      <c r="BI89" s="60">
        <f>AY89/BG89</f>
        <v>0.87778329110772058</v>
      </c>
    </row>
    <row r="90" spans="1:61" hidden="1" x14ac:dyDescent="0.25">
      <c r="A90" t="str">
        <f t="shared" si="45"/>
        <v>Weighted Kakortokite series</v>
      </c>
      <c r="C90" s="10">
        <f>C65+(1/100*C65)</f>
        <v>36800.501464510933</v>
      </c>
      <c r="D90" s="8">
        <f>D$43/100*$C90</f>
        <v>19308.266305390807</v>
      </c>
      <c r="E90" s="8">
        <f t="shared" si="47"/>
        <v>4565.5806131916206</v>
      </c>
      <c r="F90" s="8">
        <f t="shared" si="47"/>
        <v>2808.0254637480421</v>
      </c>
      <c r="G90" s="8">
        <f t="shared" si="47"/>
        <v>2077.6091106804292</v>
      </c>
      <c r="H90" s="8">
        <f t="shared" si="47"/>
        <v>939.81120640068025</v>
      </c>
      <c r="I90" s="8">
        <f t="shared" si="47"/>
        <v>104.32942165188851</v>
      </c>
      <c r="J90" s="8">
        <f t="shared" si="47"/>
        <v>3169.7007921412551</v>
      </c>
      <c r="K90" s="8">
        <f t="shared" si="47"/>
        <v>1400.8110882466087</v>
      </c>
      <c r="L90" s="8">
        <f t="shared" si="47"/>
        <v>0</v>
      </c>
      <c r="M90" s="8">
        <f t="shared" si="47"/>
        <v>97.226924869237877</v>
      </c>
      <c r="N90" s="8">
        <f t="shared" si="47"/>
        <v>126.15211902034348</v>
      </c>
      <c r="O90" s="8">
        <f t="shared" si="47"/>
        <v>13.174579524294913</v>
      </c>
      <c r="P90" s="8">
        <f t="shared" si="47"/>
        <v>0</v>
      </c>
      <c r="Q90" s="8">
        <f t="shared" si="47"/>
        <v>953.97939946451686</v>
      </c>
      <c r="R90" s="8">
        <f t="shared" si="47"/>
        <v>130.86258320780087</v>
      </c>
      <c r="S90" s="8">
        <f t="shared" si="47"/>
        <v>30.066009696505429</v>
      </c>
      <c r="T90" s="8">
        <f t="shared" si="47"/>
        <v>3.1648431259479404</v>
      </c>
      <c r="U90" s="8">
        <f t="shared" si="47"/>
        <v>23.331517928499935</v>
      </c>
      <c r="V90" s="8">
        <f t="shared" si="47"/>
        <v>416.76567908558633</v>
      </c>
      <c r="W90" s="8">
        <f t="shared" si="47"/>
        <v>6.4926878170476821</v>
      </c>
      <c r="X90" s="8">
        <f t="shared" si="47"/>
        <v>59.594183397098867</v>
      </c>
      <c r="Y90" s="8">
        <f t="shared" si="47"/>
        <v>0.19200864041866633</v>
      </c>
      <c r="Z90" s="8">
        <f t="shared" si="47"/>
        <v>0.20296066837721269</v>
      </c>
      <c r="AA90" s="8">
        <f t="shared" si="47"/>
        <v>0.31464428752156848</v>
      </c>
      <c r="AB90" s="8">
        <f t="shared" si="47"/>
        <v>0.2649636105444787</v>
      </c>
      <c r="AC90" s="8">
        <f t="shared" si="47"/>
        <v>0.32139016131667192</v>
      </c>
      <c r="AD90" s="8">
        <f t="shared" si="47"/>
        <v>1.7926925626459045</v>
      </c>
      <c r="AE90" s="8">
        <f t="shared" si="47"/>
        <v>0.28152383620350868</v>
      </c>
      <c r="AF90" s="8">
        <f t="shared" si="47"/>
        <v>11.354870241503853</v>
      </c>
      <c r="AG90" s="8">
        <f t="shared" si="47"/>
        <v>6.6240902636119675E-2</v>
      </c>
      <c r="AH90" s="8">
        <f t="shared" si="47"/>
        <v>31.703719155263638</v>
      </c>
      <c r="AI90" s="8">
        <f t="shared" si="47"/>
        <v>0.37995559624251407</v>
      </c>
      <c r="AJ90" s="8">
        <f t="shared" si="47"/>
        <v>48.281108641777614</v>
      </c>
      <c r="AK90" s="8">
        <f t="shared" si="47"/>
        <v>23.12661479717362</v>
      </c>
      <c r="AL90" s="8">
        <f t="shared" si="47"/>
        <v>0</v>
      </c>
      <c r="AM90" s="8">
        <f t="shared" si="47"/>
        <v>0.38760864177525428</v>
      </c>
      <c r="AN90" s="8">
        <f t="shared" si="47"/>
        <v>18.981165195325506</v>
      </c>
      <c r="AO90" s="8">
        <f t="shared" si="47"/>
        <v>0.20404726206375476</v>
      </c>
      <c r="AP90" s="8">
        <f t="shared" si="47"/>
        <v>4.5114794746988141</v>
      </c>
      <c r="AQ90" s="8">
        <f t="shared" si="47"/>
        <v>0</v>
      </c>
      <c r="AR90" s="8">
        <f t="shared" si="47"/>
        <v>5.4535254136312288</v>
      </c>
      <c r="AS90" s="8">
        <f t="shared" si="47"/>
        <v>2.0718246422579809</v>
      </c>
      <c r="AT90" s="8">
        <f t="shared" si="47"/>
        <v>0.82783952572124042</v>
      </c>
      <c r="AU90" s="8">
        <f t="shared" si="47"/>
        <v>0.46305696363689192</v>
      </c>
      <c r="AV90" s="8">
        <f t="shared" si="47"/>
        <v>3.3120451318059838E-2</v>
      </c>
      <c r="AW90" s="8">
        <f t="shared" si="47"/>
        <v>0.84302859606592428</v>
      </c>
      <c r="AX90" s="8">
        <f t="shared" si="47"/>
        <v>0</v>
      </c>
      <c r="AY90" s="8">
        <f t="shared" si="47"/>
        <v>32.788475429568052</v>
      </c>
      <c r="AZ90" s="8">
        <f t="shared" si="47"/>
        <v>2.6784849275152034</v>
      </c>
      <c r="BA90" s="8">
        <f t="shared" si="47"/>
        <v>586.3407765000685</v>
      </c>
      <c r="BB90" s="8">
        <f t="shared" ref="BB90:BB93" si="48">SUM(M90,X90,AH90,AJ90,AK90,AP90,AU90, AW90,BA90,AY90,AZ90,AV90,AT90,AM90,AI90,AG90,AE90,AC90,AB90,AA90)</f>
        <v>890.43513976538452</v>
      </c>
      <c r="BC90" s="8">
        <f t="shared" ref="BC90:BC93" si="49">SUM(X90,AH90,AJ90,AK90,AP90,AU90, AW90,BA90,AY90,AZ90,AV90,AT90,AM90,AI90,AG90,AE90,AC90,AB90,AA90)</f>
        <v>793.20821489614661</v>
      </c>
      <c r="BD90" s="8">
        <f t="shared" ref="BD90:BD93" si="50">SUM(AH90,X90,AC90,AB90,AA90,AE90,AG90,AI90,AK90,AM90,AP90,AT90,AV90,AZ90,AY90)</f>
        <v>157.28024419459763</v>
      </c>
      <c r="BE90" s="8">
        <f t="shared" ref="BE90:BE93" si="51">SUM(X90,AK90,AH90,AP90)</f>
        <v>118.93599682423495</v>
      </c>
      <c r="BF90" s="8">
        <f t="shared" ref="BF90:BF93" si="52">AC90+AM90+AE90</f>
        <v>0.99052263929543494</v>
      </c>
      <c r="BG90" s="8">
        <f t="shared" ref="BG90:BG93" si="53">SUM(AG90,AI90,AT90,AV90,AY90,AZ90,AB90,AA90)</f>
        <v>37.353724731067231</v>
      </c>
      <c r="BH90" s="60">
        <f t="shared" ref="BH90:BH93" si="54">BE90/BD90</f>
        <v>0.75620429910497455</v>
      </c>
      <c r="BI90" s="60">
        <f>AY90/BG90</f>
        <v>0.87778329110772069</v>
      </c>
    </row>
    <row r="91" spans="1:61" hidden="1" x14ac:dyDescent="0.25">
      <c r="A91" t="str">
        <f t="shared" si="45"/>
        <v>Transitional Kakortokite-Lujavrite</v>
      </c>
      <c r="C91" s="10">
        <f>C66+(1/100*C66)</f>
        <v>14677.411982730262</v>
      </c>
      <c r="D91" s="8">
        <f>D$43/100*$C91</f>
        <v>7700.8564546270172</v>
      </c>
      <c r="E91" s="8">
        <f t="shared" si="47"/>
        <v>1820.9237628134647</v>
      </c>
      <c r="F91" s="8">
        <f t="shared" si="47"/>
        <v>1119.9452439302499</v>
      </c>
      <c r="G91" s="8">
        <f t="shared" si="47"/>
        <v>828.62797089701962</v>
      </c>
      <c r="H91" s="8">
        <f t="shared" si="47"/>
        <v>374.83174721496545</v>
      </c>
      <c r="I91" s="8">
        <f t="shared" si="47"/>
        <v>41.610462971040299</v>
      </c>
      <c r="J91" s="8">
        <f t="shared" si="47"/>
        <v>1264.1948488965227</v>
      </c>
      <c r="K91" s="8">
        <f t="shared" si="47"/>
        <v>558.69568712262742</v>
      </c>
      <c r="L91" s="8">
        <f t="shared" si="47"/>
        <v>0</v>
      </c>
      <c r="M91" s="8">
        <f t="shared" si="47"/>
        <v>38.777722458373347</v>
      </c>
      <c r="N91" s="8">
        <f t="shared" si="47"/>
        <v>50.314168276799336</v>
      </c>
      <c r="O91" s="8">
        <f t="shared" si="47"/>
        <v>5.254513489817433</v>
      </c>
      <c r="P91" s="8">
        <f t="shared" si="47"/>
        <v>0</v>
      </c>
      <c r="Q91" s="8">
        <f t="shared" si="47"/>
        <v>380.48255082831656</v>
      </c>
      <c r="R91" s="8">
        <f t="shared" si="47"/>
        <v>52.192877010588809</v>
      </c>
      <c r="S91" s="8">
        <f t="shared" si="47"/>
        <v>11.991445589890622</v>
      </c>
      <c r="T91" s="8">
        <f t="shared" si="47"/>
        <v>1.2622574305148027</v>
      </c>
      <c r="U91" s="8">
        <f t="shared" si="47"/>
        <v>9.3054791970509871</v>
      </c>
      <c r="V91" s="8">
        <f t="shared" si="47"/>
        <v>166.22169070442021</v>
      </c>
      <c r="W91" s="8">
        <f t="shared" si="47"/>
        <v>2.5895259622470714</v>
      </c>
      <c r="X91" s="8">
        <f t="shared" si="47"/>
        <v>23.768382132975045</v>
      </c>
      <c r="Y91" s="8">
        <f t="shared" si="47"/>
        <v>7.6580204277554187E-2</v>
      </c>
      <c r="Z91" s="8">
        <f t="shared" si="47"/>
        <v>8.0948281341639422E-2</v>
      </c>
      <c r="AA91" s="8">
        <f t="shared" si="47"/>
        <v>0.12549187245234372</v>
      </c>
      <c r="AB91" s="8">
        <f t="shared" si="47"/>
        <v>0.10567736627565788</v>
      </c>
      <c r="AC91" s="8">
        <f t="shared" si="47"/>
        <v>0.1281823784219355</v>
      </c>
      <c r="AD91" s="8">
        <f t="shared" si="47"/>
        <v>0.71499262926362139</v>
      </c>
      <c r="AE91" s="8">
        <f t="shared" si="47"/>
        <v>0.11228220166788652</v>
      </c>
      <c r="AF91" s="8">
        <f t="shared" si="47"/>
        <v>4.5287455853208103</v>
      </c>
      <c r="AG91" s="8">
        <f t="shared" si="47"/>
        <v>2.641934156891447E-2</v>
      </c>
      <c r="AH91" s="8">
        <f t="shared" si="47"/>
        <v>12.644625179233696</v>
      </c>
      <c r="AI91" s="8">
        <f t="shared" si="47"/>
        <v>0.15154045731070614</v>
      </c>
      <c r="AJ91" s="8">
        <f t="shared" si="47"/>
        <v>19.256306145765883</v>
      </c>
      <c r="AK91" s="8">
        <f t="shared" si="47"/>
        <v>9.223756189066215</v>
      </c>
      <c r="AL91" s="8">
        <f t="shared" si="47"/>
        <v>0</v>
      </c>
      <c r="AM91" s="8">
        <f t="shared" si="47"/>
        <v>0.15459277719050302</v>
      </c>
      <c r="AN91" s="8">
        <f t="shared" si="47"/>
        <v>7.5703963369281659</v>
      </c>
      <c r="AO91" s="8">
        <f t="shared" si="47"/>
        <v>8.1381655414288726E-2</v>
      </c>
      <c r="AP91" s="8">
        <f t="shared" si="47"/>
        <v>1.799346211780378</v>
      </c>
      <c r="AQ91" s="8">
        <f t="shared" si="47"/>
        <v>0</v>
      </c>
      <c r="AR91" s="8">
        <f t="shared" si="47"/>
        <v>2.1750692536444425</v>
      </c>
      <c r="AS91" s="8">
        <f t="shared" si="47"/>
        <v>0.82632090923322021</v>
      </c>
      <c r="AT91" s="8">
        <f t="shared" si="47"/>
        <v>0.33017326642454076</v>
      </c>
      <c r="AU91" s="8">
        <f t="shared" si="47"/>
        <v>0.18468438081815503</v>
      </c>
      <c r="AV91" s="8">
        <f t="shared" si="47"/>
        <v>1.3209670784457235E-2</v>
      </c>
      <c r="AW91" s="8">
        <f t="shared" si="47"/>
        <v>0.33623123395790677</v>
      </c>
      <c r="AX91" s="8">
        <f t="shared" si="47"/>
        <v>0</v>
      </c>
      <c r="AY91" s="8">
        <f t="shared" si="47"/>
        <v>13.077266423380095</v>
      </c>
      <c r="AZ91" s="8">
        <f t="shared" si="47"/>
        <v>1.068279648541917</v>
      </c>
      <c r="BA91" s="8">
        <f t="shared" si="47"/>
        <v>233.85456166309996</v>
      </c>
      <c r="BB91" s="8">
        <f t="shared" si="48"/>
        <v>355.13873099908949</v>
      </c>
      <c r="BC91" s="8">
        <f t="shared" si="49"/>
        <v>316.36100854071617</v>
      </c>
      <c r="BD91" s="8">
        <f t="shared" si="50"/>
        <v>62.729225117074286</v>
      </c>
      <c r="BE91" s="8">
        <f t="shared" si="51"/>
        <v>47.43610971305533</v>
      </c>
      <c r="BF91" s="8">
        <f t="shared" si="52"/>
        <v>0.39505735728032498</v>
      </c>
      <c r="BG91" s="8">
        <f t="shared" si="53"/>
        <v>14.898058046738633</v>
      </c>
      <c r="BH91" s="60">
        <f t="shared" si="54"/>
        <v>0.75620429910497466</v>
      </c>
      <c r="BI91" s="60">
        <f t="shared" ref="BI91:BI93" si="55">AY91/BG91</f>
        <v>0.87778329110772046</v>
      </c>
    </row>
    <row r="92" spans="1:61" hidden="1" x14ac:dyDescent="0.25">
      <c r="A92" t="str">
        <f t="shared" si="45"/>
        <v>Weighted Lujavrite series</v>
      </c>
      <c r="C92" s="10">
        <f>C67+(1/100*C67)</f>
        <v>172221.16660375934</v>
      </c>
      <c r="D92" s="8">
        <f>D$55/100*$C92</f>
        <v>88709.400705930413</v>
      </c>
      <c r="E92" s="8">
        <f t="shared" ref="E92:BA92" si="56">E$55/100*$C92</f>
        <v>22319.002086014196</v>
      </c>
      <c r="F92" s="8">
        <f t="shared" si="56"/>
        <v>11064.348848458518</v>
      </c>
      <c r="G92" s="8">
        <f t="shared" si="56"/>
        <v>11231.403380064166</v>
      </c>
      <c r="H92" s="8">
        <f t="shared" si="56"/>
        <v>853.35588052162757</v>
      </c>
      <c r="I92" s="8">
        <f t="shared" si="56"/>
        <v>133.47140411791349</v>
      </c>
      <c r="J92" s="8">
        <f t="shared" si="56"/>
        <v>19316.326046277649</v>
      </c>
      <c r="K92" s="8">
        <f t="shared" si="56"/>
        <v>5967.4634228202613</v>
      </c>
      <c r="L92" s="8" t="e">
        <f t="shared" si="56"/>
        <v>#DIV/0!</v>
      </c>
      <c r="M92" s="8">
        <f t="shared" si="56"/>
        <v>404.71974151883444</v>
      </c>
      <c r="N92" s="8">
        <f t="shared" si="56"/>
        <v>792.21736637729293</v>
      </c>
      <c r="O92" s="8">
        <f t="shared" si="56"/>
        <v>695.77351307918764</v>
      </c>
      <c r="P92" s="8" t="e">
        <f t="shared" si="56"/>
        <v>#DIV/0!</v>
      </c>
      <c r="Q92" s="8">
        <f t="shared" si="56"/>
        <v>5511.9384371533179</v>
      </c>
      <c r="R92" s="8">
        <f t="shared" si="56"/>
        <v>232.49857491507512</v>
      </c>
      <c r="S92" s="8">
        <f t="shared" si="56"/>
        <v>115.38818162451877</v>
      </c>
      <c r="T92" s="8">
        <f t="shared" si="56"/>
        <v>217.85977575375557</v>
      </c>
      <c r="U92" s="8">
        <f t="shared" si="56"/>
        <v>46.499714983015025</v>
      </c>
      <c r="V92" s="8">
        <f t="shared" si="56"/>
        <v>488.24700732165775</v>
      </c>
      <c r="W92" s="8">
        <f t="shared" si="56"/>
        <v>8.3547803176940789</v>
      </c>
      <c r="X92" s="8">
        <f t="shared" si="56"/>
        <v>580.43903288570345</v>
      </c>
      <c r="Y92" s="8">
        <f t="shared" si="56"/>
        <v>0.15731327186962143</v>
      </c>
      <c r="Z92" s="8">
        <f t="shared" si="56"/>
        <v>3.2254325799203443</v>
      </c>
      <c r="AA92" s="8">
        <f t="shared" si="56"/>
        <v>2.4799847990941348</v>
      </c>
      <c r="AB92" s="8">
        <f t="shared" si="56"/>
        <v>1.2399923995470674</v>
      </c>
      <c r="AC92" s="8">
        <f t="shared" si="56"/>
        <v>1.1397276646688075</v>
      </c>
      <c r="AD92" s="8">
        <f t="shared" si="56"/>
        <v>17.536101680269581</v>
      </c>
      <c r="AE92" s="8">
        <f t="shared" si="56"/>
        <v>2.4799847990941348</v>
      </c>
      <c r="AF92" s="8">
        <f t="shared" si="56"/>
        <v>5.6888428139405329</v>
      </c>
      <c r="AG92" s="8">
        <f t="shared" si="56"/>
        <v>0.41333079984902238</v>
      </c>
      <c r="AH92" s="8">
        <f t="shared" si="56"/>
        <v>422.04623798386558</v>
      </c>
      <c r="AI92" s="8">
        <f t="shared" si="56"/>
        <v>0.78500165943883371</v>
      </c>
      <c r="AJ92" s="8">
        <f t="shared" si="56"/>
        <v>106.12059467959145</v>
      </c>
      <c r="AK92" s="8">
        <f t="shared" si="56"/>
        <v>162.27991331580392</v>
      </c>
      <c r="AL92" s="8">
        <f t="shared" si="56"/>
        <v>0</v>
      </c>
      <c r="AM92" s="8">
        <f t="shared" si="56"/>
        <v>7.2558155259496626</v>
      </c>
      <c r="AN92" s="8">
        <f t="shared" si="56"/>
        <v>128.07192610255242</v>
      </c>
      <c r="AO92" s="8">
        <f t="shared" si="56"/>
        <v>3.1302109802416253E-2</v>
      </c>
      <c r="AP92" s="8">
        <f t="shared" si="56"/>
        <v>12.909557427261188</v>
      </c>
      <c r="AQ92" s="8">
        <f t="shared" si="56"/>
        <v>0</v>
      </c>
      <c r="AR92" s="8">
        <f t="shared" si="56"/>
        <v>7.6681284987040579</v>
      </c>
      <c r="AS92" s="8">
        <f t="shared" si="56"/>
        <v>2.2954164942824686</v>
      </c>
      <c r="AT92" s="8">
        <f t="shared" si="56"/>
        <v>1.6982999924728481</v>
      </c>
      <c r="AU92" s="8">
        <f t="shared" si="56"/>
        <v>43.797439329771578</v>
      </c>
      <c r="AV92" s="8">
        <f t="shared" si="56"/>
        <v>0.20666539992451119</v>
      </c>
      <c r="AW92" s="8">
        <f t="shared" si="56"/>
        <v>27.627922078666998</v>
      </c>
      <c r="AX92" s="8">
        <f t="shared" si="56"/>
        <v>0</v>
      </c>
      <c r="AY92" s="8">
        <f t="shared" si="56"/>
        <v>150.05504886398381</v>
      </c>
      <c r="AZ92" s="8">
        <f t="shared" si="56"/>
        <v>3.9841677231914172</v>
      </c>
      <c r="BA92" s="8">
        <f t="shared" si="56"/>
        <v>431.4008508675953</v>
      </c>
      <c r="BB92" s="8">
        <f t="shared" si="48"/>
        <v>2363.0793097143087</v>
      </c>
      <c r="BC92" s="8">
        <f t="shared" si="49"/>
        <v>1958.3595681954737</v>
      </c>
      <c r="BD92" s="8">
        <f t="shared" si="50"/>
        <v>1349.4127612398484</v>
      </c>
      <c r="BE92" s="8">
        <f t="shared" si="51"/>
        <v>1177.6747416126343</v>
      </c>
      <c r="BF92" s="8">
        <f t="shared" si="52"/>
        <v>10.875527989712605</v>
      </c>
      <c r="BG92" s="8">
        <f t="shared" si="53"/>
        <v>160.86249163750165</v>
      </c>
      <c r="BH92" s="60">
        <f t="shared" si="54"/>
        <v>0.87273129129932037</v>
      </c>
      <c r="BI92" s="60">
        <f t="shared" si="55"/>
        <v>0.93281564481873092</v>
      </c>
    </row>
    <row r="93" spans="1:61" hidden="1" x14ac:dyDescent="0.25">
      <c r="A93" t="str">
        <f t="shared" si="45"/>
        <v>Naujaite series</v>
      </c>
      <c r="C93" s="10">
        <f>C68+(1/100*C68)</f>
        <v>82901.547729452825</v>
      </c>
      <c r="D93" s="8">
        <f>D$60/100*$C93</f>
        <v>39999.996779460984</v>
      </c>
      <c r="E93" s="8">
        <f t="shared" ref="E93:BA93" si="57">E$60/100*$C93</f>
        <v>15999.998711784396</v>
      </c>
      <c r="F93" s="8">
        <f t="shared" si="57"/>
        <v>3374.0929925887299</v>
      </c>
      <c r="G93" s="8">
        <f t="shared" si="57"/>
        <v>2553.3676700671472</v>
      </c>
      <c r="H93" s="8">
        <f t="shared" si="57"/>
        <v>1392.7460018548074</v>
      </c>
      <c r="I93" s="8">
        <f t="shared" si="57"/>
        <v>82.90154772945283</v>
      </c>
      <c r="J93" s="8">
        <f t="shared" si="57"/>
        <v>11912.952408722371</v>
      </c>
      <c r="K93" s="8">
        <f t="shared" si="57"/>
        <v>2826.9427775743411</v>
      </c>
      <c r="L93" s="8" t="e">
        <f t="shared" si="57"/>
        <v>#DIV/0!</v>
      </c>
      <c r="M93" s="8">
        <f t="shared" si="57"/>
        <v>265.28495273424903</v>
      </c>
      <c r="N93" s="8">
        <f t="shared" si="57"/>
        <v>174.09325023185093</v>
      </c>
      <c r="O93" s="8">
        <f t="shared" si="57"/>
        <v>49.740928637671693</v>
      </c>
      <c r="P93" s="8" t="e">
        <f t="shared" si="57"/>
        <v>#DIV/0!</v>
      </c>
      <c r="Q93" s="8">
        <f t="shared" si="57"/>
        <v>1036.2693466181604</v>
      </c>
      <c r="R93" s="8">
        <f t="shared" si="57"/>
        <v>140.93263114006982</v>
      </c>
      <c r="S93" s="8">
        <f t="shared" si="57"/>
        <v>91.191702502398115</v>
      </c>
      <c r="T93" s="8">
        <f t="shared" si="57"/>
        <v>66.321238183562258</v>
      </c>
      <c r="U93" s="8">
        <f t="shared" si="57"/>
        <v>1939.8962168691958</v>
      </c>
      <c r="V93" s="8">
        <f t="shared" si="57"/>
        <v>132.64247636712452</v>
      </c>
      <c r="W93" s="8">
        <f t="shared" si="57"/>
        <v>0.10181553584392751</v>
      </c>
      <c r="X93" s="8">
        <f t="shared" si="57"/>
        <v>11.458104776949954</v>
      </c>
      <c r="Y93" s="8">
        <f t="shared" si="57"/>
        <v>9.9351701845408147E-2</v>
      </c>
      <c r="Z93" s="8">
        <f t="shared" si="57"/>
        <v>5.4493176959714847E-2</v>
      </c>
      <c r="AA93" s="8">
        <f t="shared" si="57"/>
        <v>0</v>
      </c>
      <c r="AB93" s="8">
        <f t="shared" si="57"/>
        <v>0</v>
      </c>
      <c r="AC93" s="8">
        <f t="shared" si="57"/>
        <v>9.2440009137643886E-2</v>
      </c>
      <c r="AD93" s="8">
        <f t="shared" si="57"/>
        <v>0.25630339905324018</v>
      </c>
      <c r="AE93" s="8">
        <f t="shared" si="57"/>
        <v>0</v>
      </c>
      <c r="AF93" s="8">
        <f t="shared" si="57"/>
        <v>0.7449753597085591</v>
      </c>
      <c r="AG93" s="8">
        <f t="shared" si="57"/>
        <v>0</v>
      </c>
      <c r="AH93" s="8">
        <f t="shared" si="57"/>
        <v>5.7752799495198763</v>
      </c>
      <c r="AI93" s="8">
        <f t="shared" si="57"/>
        <v>4.9396091359736265E-2</v>
      </c>
      <c r="AJ93" s="8">
        <f t="shared" si="57"/>
        <v>8.7994272708020844</v>
      </c>
      <c r="AK93" s="8">
        <f t="shared" si="57"/>
        <v>5.221603724668225</v>
      </c>
      <c r="AL93" s="8" t="e">
        <f t="shared" si="57"/>
        <v>#DIV/0!</v>
      </c>
      <c r="AM93" s="8">
        <f t="shared" si="57"/>
        <v>0</v>
      </c>
      <c r="AN93" s="8">
        <f t="shared" si="57"/>
        <v>3.0280818287374487</v>
      </c>
      <c r="AO93" s="8">
        <f t="shared" si="57"/>
        <v>0.50861757562973897</v>
      </c>
      <c r="AP93" s="8">
        <f t="shared" si="57"/>
        <v>0.92383461991937621</v>
      </c>
      <c r="AQ93" s="8" t="e">
        <f t="shared" si="57"/>
        <v>#DIV/0!</v>
      </c>
      <c r="AR93" s="8">
        <f t="shared" si="57"/>
        <v>9.8039370344850926E-2</v>
      </c>
      <c r="AS93" s="8">
        <f t="shared" si="57"/>
        <v>3.9480121173649588E-2</v>
      </c>
      <c r="AT93" s="8">
        <f t="shared" si="57"/>
        <v>0.15362568711292635</v>
      </c>
      <c r="AU93" s="8">
        <f t="shared" si="57"/>
        <v>0.38676805176151186</v>
      </c>
      <c r="AV93" s="8">
        <f t="shared" si="57"/>
        <v>0</v>
      </c>
      <c r="AW93" s="8">
        <f t="shared" si="57"/>
        <v>0.18338485570136803</v>
      </c>
      <c r="AX93" s="8" t="e">
        <f t="shared" si="57"/>
        <v>#DIV/0!</v>
      </c>
      <c r="AY93" s="8">
        <f t="shared" si="57"/>
        <v>4.8532547387812413</v>
      </c>
      <c r="AZ93" s="8">
        <f t="shared" si="57"/>
        <v>0.36155197089019198</v>
      </c>
      <c r="BA93" s="8">
        <f t="shared" si="57"/>
        <v>48.824767053403967</v>
      </c>
      <c r="BB93" s="8">
        <f t="shared" si="48"/>
        <v>352.36839153425711</v>
      </c>
      <c r="BC93" s="8">
        <f t="shared" si="49"/>
        <v>87.083438800008111</v>
      </c>
      <c r="BD93" s="8">
        <f t="shared" si="50"/>
        <v>28.889091568339168</v>
      </c>
      <c r="BE93" s="8">
        <f t="shared" si="51"/>
        <v>23.378823071057433</v>
      </c>
      <c r="BF93" s="8">
        <f t="shared" si="52"/>
        <v>9.2440009137643886E-2</v>
      </c>
      <c r="BG93" s="8">
        <f t="shared" si="53"/>
        <v>5.4178284881440959</v>
      </c>
      <c r="BH93" s="60">
        <f t="shared" si="54"/>
        <v>0.80926127482247723</v>
      </c>
      <c r="BI93" s="60">
        <f t="shared" si="55"/>
        <v>0.89579335141407324</v>
      </c>
    </row>
    <row r="94" spans="1:61" hidden="1" x14ac:dyDescent="0.25">
      <c r="BB94" s="13" t="s">
        <v>116</v>
      </c>
      <c r="BD94" s="13" t="s">
        <v>117</v>
      </c>
    </row>
    <row r="95" spans="1:61" hidden="1" x14ac:dyDescent="0.25">
      <c r="A95" t="str">
        <f>A70</f>
        <v>Total</v>
      </c>
      <c r="C95" s="8">
        <f>SUM(C89:C93)</f>
        <v>319763.11267074657</v>
      </c>
      <c r="D95" s="8">
        <f t="shared" ref="D95:BB95" si="58">SUM(D89:D93)</f>
        <v>162624.53384273895</v>
      </c>
      <c r="E95" s="8">
        <f t="shared" si="58"/>
        <v>46338.482536748124</v>
      </c>
      <c r="F95" s="8">
        <f t="shared" si="58"/>
        <v>19370.762795794475</v>
      </c>
      <c r="G95" s="8">
        <f t="shared" si="58"/>
        <v>17434.109378675155</v>
      </c>
      <c r="H95" s="8">
        <f t="shared" si="58"/>
        <v>3896.8883751203894</v>
      </c>
      <c r="I95" s="8">
        <f t="shared" si="58"/>
        <v>399.62848113427646</v>
      </c>
      <c r="J95" s="8">
        <f t="shared" si="58"/>
        <v>36796.885244608537</v>
      </c>
      <c r="K95" s="8">
        <f t="shared" si="58"/>
        <v>11254.94296311285</v>
      </c>
      <c r="L95" s="8" t="e">
        <f t="shared" si="58"/>
        <v>#DIV/0!</v>
      </c>
      <c r="M95" s="8">
        <f t="shared" si="58"/>
        <v>840.78462666084943</v>
      </c>
      <c r="N95" s="8">
        <f t="shared" si="58"/>
        <v>1187.8979021102118</v>
      </c>
      <c r="O95" s="8">
        <f t="shared" si="58"/>
        <v>768.6557043216967</v>
      </c>
      <c r="P95" s="8" t="e">
        <f t="shared" si="58"/>
        <v>#DIV/0!</v>
      </c>
      <c r="Q95" s="8">
        <f t="shared" si="58"/>
        <v>8223.8808298753829</v>
      </c>
      <c r="R95" s="8">
        <f t="shared" si="58"/>
        <v>603.29246254341729</v>
      </c>
      <c r="S95" s="8">
        <f t="shared" si="58"/>
        <v>259.3910895686825</v>
      </c>
      <c r="T95" s="8">
        <f t="shared" si="58"/>
        <v>289.74008819434579</v>
      </c>
      <c r="U95" s="8">
        <f t="shared" si="58"/>
        <v>2027.3779443982075</v>
      </c>
      <c r="V95" s="8">
        <f t="shared" si="58"/>
        <v>1352.9419948613597</v>
      </c>
      <c r="W95" s="8">
        <f t="shared" si="58"/>
        <v>19.861058023162315</v>
      </c>
      <c r="X95" s="8">
        <f t="shared" si="58"/>
        <v>696.57483497891053</v>
      </c>
      <c r="Y95" s="8">
        <f t="shared" si="58"/>
        <v>0.59392980726302391</v>
      </c>
      <c r="Z95" s="8">
        <f t="shared" si="58"/>
        <v>3.6364279220314546</v>
      </c>
      <c r="AA95" s="8">
        <f t="shared" si="58"/>
        <v>3.0326602048800542</v>
      </c>
      <c r="AB95" s="8">
        <f t="shared" si="58"/>
        <v>1.7054032675773152</v>
      </c>
      <c r="AC95" s="8">
        <f t="shared" si="58"/>
        <v>1.7966922651169412</v>
      </c>
      <c r="AD95" s="8">
        <f t="shared" si="58"/>
        <v>20.941285032980993</v>
      </c>
      <c r="AE95" s="8">
        <f t="shared" si="58"/>
        <v>2.9744838463762733</v>
      </c>
      <c r="AF95" s="8">
        <f t="shared" si="58"/>
        <v>26.378745722792726</v>
      </c>
      <c r="AG95" s="8">
        <f t="shared" si="58"/>
        <v>0.52968351685658432</v>
      </c>
      <c r="AH95" s="8">
        <f t="shared" si="58"/>
        <v>483.50937416963461</v>
      </c>
      <c r="AI95" s="8">
        <f t="shared" si="58"/>
        <v>1.5017930338595018</v>
      </c>
      <c r="AJ95" s="8">
        <f t="shared" si="58"/>
        <v>199.72620584959861</v>
      </c>
      <c r="AK95" s="8">
        <f t="shared" si="58"/>
        <v>208.1236154683879</v>
      </c>
      <c r="AL95" s="8" t="e">
        <f t="shared" si="58"/>
        <v>#DIV/0!</v>
      </c>
      <c r="AM95" s="8">
        <f t="shared" si="58"/>
        <v>7.9366534495194117</v>
      </c>
      <c r="AN95" s="8">
        <f t="shared" si="58"/>
        <v>164.44058836657581</v>
      </c>
      <c r="AO95" s="8">
        <f t="shared" si="58"/>
        <v>0.89833046176910403</v>
      </c>
      <c r="AP95" s="8">
        <f t="shared" si="58"/>
        <v>21.75784466958228</v>
      </c>
      <c r="AQ95" s="8" t="e">
        <f t="shared" si="58"/>
        <v>#DIV/0!</v>
      </c>
      <c r="AR95" s="8">
        <f t="shared" si="58"/>
        <v>17.345332311167866</v>
      </c>
      <c r="AS95" s="8">
        <f t="shared" si="58"/>
        <v>5.9740744753074759</v>
      </c>
      <c r="AT95" s="8">
        <f t="shared" si="58"/>
        <v>3.3060329491234319</v>
      </c>
      <c r="AU95" s="8">
        <f t="shared" si="58"/>
        <v>44.997570933421734</v>
      </c>
      <c r="AV95" s="8">
        <f t="shared" si="58"/>
        <v>0.26484175842829216</v>
      </c>
      <c r="AW95" s="8">
        <f t="shared" si="58"/>
        <v>29.292093937017924</v>
      </c>
      <c r="AX95" s="8" t="e">
        <f t="shared" si="58"/>
        <v>#DIV/0!</v>
      </c>
      <c r="AY95" s="8">
        <f t="shared" si="58"/>
        <v>212.50154359411869</v>
      </c>
      <c r="AZ95" s="8">
        <f t="shared" si="58"/>
        <v>9.0505015792587198</v>
      </c>
      <c r="BA95" s="8">
        <f t="shared" si="58"/>
        <v>1510.1382507978722</v>
      </c>
      <c r="BB95" s="8">
        <f t="shared" si="58"/>
        <v>4279.504706930391</v>
      </c>
      <c r="BD95">
        <f>ABS((BB95/C95*100)-100)</f>
        <v>98.661664045240613</v>
      </c>
    </row>
    <row r="96" spans="1:61" hidden="1" x14ac:dyDescent="0.25"/>
    <row r="97" spans="1:3" hidden="1" x14ac:dyDescent="0.25">
      <c r="A97" t="str">
        <f>A72</f>
        <v xml:space="preserve">ƩCHFSEO, chosen HFSE oxides = (Zr, Nb, Ti, Y, U, Th, REE) </v>
      </c>
    </row>
    <row r="98" spans="1:3" hidden="1" x14ac:dyDescent="0.25">
      <c r="A98" t="s">
        <v>344</v>
      </c>
    </row>
    <row r="99" spans="1:3" hidden="1" x14ac:dyDescent="0.25">
      <c r="A99" s="39" t="str">
        <f>A74</f>
        <v>ƩCHFSEO in the whole agpaite package (Mt)</v>
      </c>
      <c r="C99" s="8">
        <f>SUM(BB89:BB93)</f>
        <v>4279.504706930391</v>
      </c>
    </row>
    <row r="100" spans="1:3" hidden="1" x14ac:dyDescent="0.25">
      <c r="A100" s="39" t="str">
        <f>A75</f>
        <v>ƩCHFSEO (excl. Ti) in the whole agpaite package (Mt)</v>
      </c>
      <c r="C100" s="8">
        <f>SUM(BC89:BC93)</f>
        <v>3438.7200802695411</v>
      </c>
    </row>
    <row r="101" spans="1:3" hidden="1" x14ac:dyDescent="0.25">
      <c r="A101" s="39" t="str">
        <f>A76</f>
        <v>TREO in the whole agpaite package (Mt)</v>
      </c>
      <c r="C101" s="8">
        <f>SUM(BD89:BD93)</f>
        <v>1654.5659587516304</v>
      </c>
    </row>
    <row r="102" spans="1:3" hidden="1" x14ac:dyDescent="0.25">
      <c r="A102" s="89" t="str">
        <f>A78</f>
        <v>ƩCHFSEO in kakortokite (Mt)</v>
      </c>
      <c r="C102" s="8">
        <f>BB90</f>
        <v>890.43513976538452</v>
      </c>
    </row>
    <row r="103" spans="1:3" hidden="1" x14ac:dyDescent="0.25">
      <c r="A103" s="89" t="str">
        <f>A79</f>
        <v>ƩCHFSEO (excl. Ti) in kakortokite (Mt)</v>
      </c>
      <c r="C103" s="8">
        <f>BC90</f>
        <v>793.20821489614661</v>
      </c>
    </row>
    <row r="104" spans="1:3" hidden="1" x14ac:dyDescent="0.25">
      <c r="A104" s="89" t="str">
        <f>A80</f>
        <v>TREO in kakortokite (Mt)</v>
      </c>
      <c r="C104" s="8">
        <f>BD90</f>
        <v>157.28024419459763</v>
      </c>
    </row>
  </sheetData>
  <conditionalFormatting sqref="D9:AY14 BA9:BA14 D15:BA17 D37:Q37 D19:BA23 D1:BA8 D38:V38 D45:V54 D40:V42 D43:BA44 W37:BE37">
    <cfRule type="containsText" dxfId="4" priority="5" operator="containsText" text="&lt;">
      <formula>NOT(ISERROR(SEARCH("&lt;",D1)))</formula>
    </cfRule>
  </conditionalFormatting>
  <conditionalFormatting sqref="W26:BA26">
    <cfRule type="containsText" dxfId="3" priority="4" operator="containsText" text="&lt;">
      <formula>NOT(ISERROR(SEARCH("&lt;",W26)))</formula>
    </cfRule>
  </conditionalFormatting>
  <conditionalFormatting sqref="D39:V39 W45:BA54 D55:BA60">
    <cfRule type="containsText" dxfId="2" priority="3" operator="containsText" text="&lt;">
      <formula>NOT(ISERROR(SEARCH("&lt;",D39)))</formula>
    </cfRule>
  </conditionalFormatting>
  <conditionalFormatting sqref="D18:BA18">
    <cfRule type="containsText" dxfId="1" priority="2" operator="containsText" text="&lt;">
      <formula>NOT(ISERROR(SEARCH("&lt;",D18)))</formula>
    </cfRule>
  </conditionalFormatting>
  <conditionalFormatting sqref="W38:BA42">
    <cfRule type="containsText" dxfId="0" priority="1" operator="containsText" text="&lt;">
      <formula>NOT(ISERROR(SEARCH("&lt;",W38)))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F772E-7767-416E-B904-0E5F7653A8D2}">
  <dimension ref="A1:BJ92"/>
  <sheetViews>
    <sheetView topLeftCell="A11" workbookViewId="0"/>
  </sheetViews>
  <sheetFormatPr defaultRowHeight="15" x14ac:dyDescent="0.25"/>
  <cols>
    <col min="2" max="2" width="42.7109375" style="13" customWidth="1"/>
    <col min="3" max="3" width="18.140625" style="232" bestFit="1" customWidth="1"/>
    <col min="4" max="4" width="12.7109375" style="233" customWidth="1"/>
    <col min="5" max="5" width="15" style="8" bestFit="1" customWidth="1"/>
    <col min="6" max="6" width="13.42578125" style="8" bestFit="1" customWidth="1"/>
    <col min="7" max="7" width="13.7109375" style="8" bestFit="1" customWidth="1"/>
    <col min="8" max="8" width="13.7109375" style="8" customWidth="1"/>
    <col min="9" max="9" width="13.140625" style="8" bestFit="1" customWidth="1"/>
    <col min="10" max="10" width="11.7109375" style="8" bestFit="1" customWidth="1"/>
    <col min="11" max="11" width="11.7109375" style="8" customWidth="1"/>
    <col min="12" max="12" width="13.85546875" style="8" bestFit="1" customWidth="1"/>
    <col min="13" max="13" width="12.28515625" style="8" bestFit="1" customWidth="1"/>
    <col min="14" max="14" width="8.5703125" style="8" bestFit="1" customWidth="1"/>
    <col min="15" max="15" width="12.28515625" style="8" bestFit="1" customWidth="1"/>
    <col min="16" max="17" width="11.7109375" style="8" bestFit="1" customWidth="1"/>
    <col min="18" max="18" width="12" style="8" bestFit="1" customWidth="1"/>
    <col min="19" max="19" width="11.7109375" style="8" bestFit="1" customWidth="1"/>
    <col min="20" max="24" width="11.7109375" style="8" customWidth="1"/>
    <col min="25" max="25" width="9.140625" style="8" bestFit="1" customWidth="1"/>
    <col min="26" max="27" width="11.7109375" style="8" bestFit="1" customWidth="1"/>
    <col min="28" max="28" width="9.140625" style="8" bestFit="1" customWidth="1"/>
    <col min="29" max="32" width="11.7109375" style="8" bestFit="1" customWidth="1"/>
    <col min="33" max="33" width="10.7109375" style="8" bestFit="1" customWidth="1"/>
    <col min="34" max="35" width="11.7109375" style="8" bestFit="1" customWidth="1"/>
    <col min="36" max="36" width="10.7109375" style="8" bestFit="1" customWidth="1"/>
    <col min="37" max="41" width="11.7109375" style="8" bestFit="1" customWidth="1"/>
    <col min="42" max="42" width="10.7109375" style="8" bestFit="1" customWidth="1"/>
    <col min="43" max="49" width="11.7109375" style="8" bestFit="1" customWidth="1"/>
    <col min="50" max="50" width="10.7109375" style="8" bestFit="1" customWidth="1"/>
    <col min="51" max="54" width="11.7109375" style="8" bestFit="1" customWidth="1"/>
    <col min="55" max="55" width="11.7109375" bestFit="1" customWidth="1"/>
    <col min="56" max="56" width="11.7109375" customWidth="1"/>
  </cols>
  <sheetData>
    <row r="1" spans="1:55" ht="30" x14ac:dyDescent="0.25">
      <c r="C1" s="68" t="s">
        <v>20</v>
      </c>
      <c r="D1" s="67" t="s">
        <v>121</v>
      </c>
      <c r="E1" s="13" t="s">
        <v>31</v>
      </c>
      <c r="F1" s="13" t="s">
        <v>32</v>
      </c>
      <c r="G1" s="13" t="s">
        <v>33</v>
      </c>
      <c r="H1" s="13" t="s">
        <v>152</v>
      </c>
      <c r="I1" s="13" t="s">
        <v>34</v>
      </c>
      <c r="J1" s="13" t="s">
        <v>35</v>
      </c>
      <c r="K1" s="13" t="s">
        <v>36</v>
      </c>
      <c r="L1" s="13" t="s">
        <v>37</v>
      </c>
      <c r="M1" s="13" t="s">
        <v>38</v>
      </c>
      <c r="N1" s="13" t="s">
        <v>39</v>
      </c>
      <c r="O1" s="13" t="s">
        <v>40</v>
      </c>
      <c r="P1" s="13" t="s">
        <v>41</v>
      </c>
      <c r="Q1" s="13" t="s">
        <v>42</v>
      </c>
      <c r="R1" s="13" t="s">
        <v>43</v>
      </c>
      <c r="S1" s="13" t="s">
        <v>153</v>
      </c>
      <c r="T1" s="13" t="s">
        <v>154</v>
      </c>
      <c r="U1" s="13" t="s">
        <v>155</v>
      </c>
      <c r="V1" s="13" t="s">
        <v>156</v>
      </c>
      <c r="W1" s="13" t="s">
        <v>157</v>
      </c>
      <c r="X1" s="13" t="s">
        <v>84</v>
      </c>
      <c r="Y1" s="13" t="s">
        <v>85</v>
      </c>
      <c r="Z1" s="13" t="s">
        <v>38</v>
      </c>
      <c r="AA1" s="13" t="s">
        <v>86</v>
      </c>
      <c r="AB1" s="13" t="s">
        <v>87</v>
      </c>
      <c r="AC1" s="13" t="s">
        <v>88</v>
      </c>
      <c r="AD1" s="13" t="s">
        <v>89</v>
      </c>
      <c r="AE1" s="13" t="s">
        <v>90</v>
      </c>
      <c r="AF1" s="13" t="s">
        <v>91</v>
      </c>
      <c r="AG1" s="13" t="s">
        <v>92</v>
      </c>
      <c r="AH1" s="13" t="s">
        <v>93</v>
      </c>
      <c r="AI1" s="13" t="s">
        <v>94</v>
      </c>
      <c r="AJ1" s="13" t="s">
        <v>95</v>
      </c>
      <c r="AK1" s="13" t="s">
        <v>96</v>
      </c>
      <c r="AL1" s="13" t="s">
        <v>97</v>
      </c>
      <c r="AM1" s="13" t="s">
        <v>98</v>
      </c>
      <c r="AN1" s="13" t="s">
        <v>99</v>
      </c>
      <c r="AO1" s="13" t="s">
        <v>100</v>
      </c>
      <c r="AP1" s="13" t="s">
        <v>101</v>
      </c>
      <c r="AQ1" s="13" t="s">
        <v>102</v>
      </c>
      <c r="AR1" s="13" t="s">
        <v>103</v>
      </c>
      <c r="AS1" s="13" t="s">
        <v>104</v>
      </c>
      <c r="AT1" s="13" t="s">
        <v>105</v>
      </c>
      <c r="AU1" s="13" t="s">
        <v>106</v>
      </c>
      <c r="AV1" s="13" t="s">
        <v>107</v>
      </c>
      <c r="AW1" s="13" t="s">
        <v>108</v>
      </c>
      <c r="AX1" s="13" t="s">
        <v>109</v>
      </c>
      <c r="AY1" s="13" t="s">
        <v>110</v>
      </c>
      <c r="AZ1" s="13" t="s">
        <v>111</v>
      </c>
      <c r="BA1" s="13" t="s">
        <v>112</v>
      </c>
      <c r="BB1" s="13" t="s">
        <v>113</v>
      </c>
      <c r="BC1" s="13"/>
    </row>
    <row r="2" spans="1:55" ht="19.5" customHeight="1" x14ac:dyDescent="0.25">
      <c r="A2" s="251" t="s">
        <v>521</v>
      </c>
      <c r="B2" s="13" t="str">
        <f>'DR2.2 Illerfissalik'!B39</f>
        <v>I4 intrusion ellipsoid 1</v>
      </c>
      <c r="C2" s="232">
        <f>'DR2.2 Illerfissalik'!C54</f>
        <v>570942.83868728473</v>
      </c>
      <c r="D2" s="233">
        <f t="shared" ref="D2:D34" si="0">C2/1000</f>
        <v>570.94283868728473</v>
      </c>
      <c r="E2" s="232">
        <f>'DR2.2 Illerfissalik'!E54</f>
        <v>334223.59395821777</v>
      </c>
      <c r="F2" s="232">
        <f>'DR2.2 Illerfissalik'!F54</f>
        <v>92042.329405709053</v>
      </c>
      <c r="G2" s="232">
        <f>'DR2.2 Illerfissalik'!G54</f>
        <v>40898.538677965829</v>
      </c>
      <c r="H2" s="232"/>
      <c r="I2" s="232">
        <f>'DR2.2 Illerfissalik'!H54</f>
        <v>26409.278193946291</v>
      </c>
      <c r="J2" s="232">
        <f>'DR2.2 Illerfissalik'!I54</f>
        <v>7879.0111738845299</v>
      </c>
      <c r="K2" s="232">
        <f>'DR2.2 Illerfissalik'!J54</f>
        <v>40302.220602003559</v>
      </c>
      <c r="L2" s="232">
        <f>'DR2.2 Illerfissalik'!K54</f>
        <v>16341.652805093843</v>
      </c>
      <c r="M2" s="232" t="e">
        <f>'DR2.2 Illerfissalik'!L54</f>
        <v>#DIV/0!</v>
      </c>
      <c r="N2" s="232">
        <f>'DR2.2 Illerfissalik'!M54</f>
        <v>4326.4779553858689</v>
      </c>
      <c r="O2" s="232">
        <f>'DR2.2 Illerfissalik'!N54</f>
        <v>1471.7637619494451</v>
      </c>
      <c r="P2" s="232">
        <f>'DR2.2 Illerfissalik'!O54</f>
        <v>2010.9875540429921</v>
      </c>
      <c r="Q2" s="232">
        <f>'DR2.2 Illerfissalik'!P54</f>
        <v>2835.6827654801805</v>
      </c>
      <c r="R2" s="232">
        <f>'DR2.2 Illerfissalik'!Q54</f>
        <v>7265.1651051973213</v>
      </c>
      <c r="X2" s="232">
        <f>'DR2.2 Illerfissalik'!S54</f>
        <v>484.42533916108232</v>
      </c>
      <c r="Y2" s="232">
        <f>'DR2.2 Illerfissalik'!T54</f>
        <v>124.53710223658622</v>
      </c>
      <c r="Z2" s="232" t="e">
        <f>'DR2.2 Illerfissalik'!U54</f>
        <v>#DIV/0!</v>
      </c>
      <c r="AA2" s="232" t="e">
        <f>'DR2.2 Illerfissalik'!V54</f>
        <v>#DIV/0!</v>
      </c>
      <c r="AB2" s="232" t="e">
        <f>'DR2.2 Illerfissalik'!W54</f>
        <v>#DIV/0!</v>
      </c>
      <c r="AC2" s="232" t="e">
        <f>'DR2.2 Illerfissalik'!X54</f>
        <v>#DIV/0!</v>
      </c>
      <c r="AD2" s="232" t="e">
        <f>'DR2.2 Illerfissalik'!Y54</f>
        <v>#DIV/0!</v>
      </c>
      <c r="AE2" s="232" t="e">
        <f>'DR2.2 Illerfissalik'!Z54</f>
        <v>#DIV/0!</v>
      </c>
      <c r="AF2" s="232" t="e">
        <f>'DR2.2 Illerfissalik'!AA54</f>
        <v>#DIV/0!</v>
      </c>
      <c r="AG2" s="232" t="e">
        <f>'DR2.2 Illerfissalik'!AB54</f>
        <v>#DIV/0!</v>
      </c>
      <c r="AH2" s="232" t="e">
        <f>'DR2.2 Illerfissalik'!AC54</f>
        <v>#DIV/0!</v>
      </c>
      <c r="AI2" s="232">
        <f>'DR2.2 Illerfissalik'!AD54</f>
        <v>52.731138695480247</v>
      </c>
      <c r="AJ2" s="232" t="e">
        <f>'DR2.2 Illerfissalik'!AE54</f>
        <v>#DIV/0!</v>
      </c>
      <c r="AK2" s="232">
        <f>'DR2.2 Illerfissalik'!AF54</f>
        <v>46.671795302299259</v>
      </c>
      <c r="AL2" s="232">
        <f>'DR2.2 Illerfissalik'!AG54</f>
        <v>58.253777423248152</v>
      </c>
      <c r="AM2" s="232">
        <f>'DR2.2 Illerfissalik'!AH54</f>
        <v>4.9888033673097132</v>
      </c>
      <c r="AN2" s="232" t="e">
        <f>'DR2.2 Illerfissalik'!AI54</f>
        <v>#DIV/0!</v>
      </c>
      <c r="AO2" s="232" t="e">
        <f>'DR2.2 Illerfissalik'!AJ54</f>
        <v>#DIV/0!</v>
      </c>
      <c r="AP2" s="232">
        <f>'DR2.2 Illerfissalik'!AK54</f>
        <v>11.165329606226607</v>
      </c>
      <c r="AQ2" s="232">
        <f>'DR2.2 Illerfissalik'!AL54</f>
        <v>5.8923813101018006</v>
      </c>
      <c r="AR2" s="232" t="e">
        <f>'DR2.2 Illerfissalik'!AM54</f>
        <v>#DIV/0!</v>
      </c>
      <c r="AS2" s="232">
        <f>'DR2.2 Illerfissalik'!AN54</f>
        <v>482.54079007057129</v>
      </c>
      <c r="AT2" s="232" t="e">
        <f>'DR2.2 Illerfissalik'!AO54</f>
        <v>#DIV/0!</v>
      </c>
      <c r="AU2" s="232" t="e">
        <f>'DR2.2 Illerfissalik'!AP54</f>
        <v>#DIV/0!</v>
      </c>
      <c r="AV2" s="232">
        <f>'DR2.2 Illerfissalik'!AQ54</f>
        <v>14.325352627936864</v>
      </c>
      <c r="AW2" s="232" t="e">
        <f>'DR2.2 Illerfissalik'!AR54</f>
        <v>#DIV/0!</v>
      </c>
      <c r="AX2" s="232">
        <f>'DR2.2 Illerfissalik'!AS54</f>
        <v>2.3964069579653664</v>
      </c>
      <c r="AY2" s="232" t="e">
        <f>'DR2.2 Illerfissalik'!AT54</f>
        <v>#DIV/0!</v>
      </c>
      <c r="AZ2" s="232">
        <f>'DR2.2 Illerfissalik'!AU54</f>
        <v>39.055504744398547</v>
      </c>
      <c r="BA2" s="232" t="e">
        <f>'DR2.2 Illerfissalik'!AV54</f>
        <v>#DIV/0!</v>
      </c>
      <c r="BB2" s="232">
        <f>'DR2.2 Illerfissalik'!AW54</f>
        <v>248.48160355228055</v>
      </c>
      <c r="BC2" s="65"/>
    </row>
    <row r="3" spans="1:55" ht="19.5" customHeight="1" x14ac:dyDescent="0.25">
      <c r="A3" s="251"/>
      <c r="B3" s="13" t="str">
        <f>'DR2.2 Illerfissalik'!B22</f>
        <v>Fenite carapace (200 m), ellipsoid 1</v>
      </c>
      <c r="C3" s="232">
        <f>'DR2.2 Illerfissalik'!C22</f>
        <v>80480.849360765424</v>
      </c>
      <c r="D3" s="232">
        <f>'DR2.2 Illerfissalik'!D22</f>
        <v>80.480849360765419</v>
      </c>
      <c r="E3" s="232">
        <f>'DR2.2 Illerfissalik'!E22</f>
        <v>74557.45884781309</v>
      </c>
      <c r="F3" s="232">
        <f>'DR2.2 Illerfissalik'!F22</f>
        <v>2128.7184655922456</v>
      </c>
      <c r="G3" s="232">
        <f>'DR2.2 Illerfissalik'!G22</f>
        <v>741.57354053848132</v>
      </c>
      <c r="H3" s="232"/>
      <c r="I3" s="232">
        <f>'DR2.2 Illerfissalik'!H22</f>
        <v>352.96601076792842</v>
      </c>
      <c r="J3" s="232">
        <f>'DR2.2 Illerfissalik'!I22</f>
        <v>247.63338264850896</v>
      </c>
      <c r="K3" s="232">
        <f>'DR2.2 Illerfissalik'!J22</f>
        <v>514.50257269917893</v>
      </c>
      <c r="L3" s="232">
        <f>'DR2.2 Illerfissalik'!K22</f>
        <v>1510.7405151435109</v>
      </c>
      <c r="M3" s="232" t="e">
        <f>'DR2.2 Illerfissalik'!L22</f>
        <v>#DIV/0!</v>
      </c>
      <c r="N3" s="232">
        <f>'DR2.2 Illerfissalik'!M22</f>
        <v>75.881943683007421</v>
      </c>
      <c r="O3" s="232">
        <f>'DR2.2 Illerfissalik'!N22</f>
        <v>75.528181707795241</v>
      </c>
      <c r="P3" s="232">
        <f>'DR2.2 Illerfissalik'!O22</f>
        <v>28.743160485987651</v>
      </c>
      <c r="Q3" s="232">
        <f>'DR2.2 Illerfissalik'!P22</f>
        <v>251.79008585725182</v>
      </c>
      <c r="R3" s="232">
        <f>'DR2.2 Illerfissalik'!Q22</f>
        <v>341.96963156006791</v>
      </c>
      <c r="X3" s="232">
        <f>'DR2.2 Illerfissalik'!S22</f>
        <v>24.362764338286574</v>
      </c>
      <c r="Y3" s="232">
        <f>'DR2.2 Illerfissalik'!T22</f>
        <v>7.9117130111507752</v>
      </c>
      <c r="Z3" s="232">
        <f>'DR2.2 Illerfissalik'!U22</f>
        <v>1.1762276134075869</v>
      </c>
      <c r="AA3" s="232">
        <f>'DR2.2 Illerfissalik'!V22</f>
        <v>1.0594619731125202E-2</v>
      </c>
      <c r="AB3" s="232">
        <f>'DR2.2 Illerfissalik'!W22</f>
        <v>0.40521074402856277</v>
      </c>
      <c r="AC3" s="232">
        <f>'DR2.2 Illerfissalik'!X22</f>
        <v>0.21258895637372138</v>
      </c>
      <c r="AD3" s="232">
        <f>'DR2.2 Illerfissalik'!Y22</f>
        <v>0.10594846934753779</v>
      </c>
      <c r="AE3" s="232">
        <f>'DR2.2 Illerfissalik'!Z22</f>
        <v>0.3694843601812996</v>
      </c>
      <c r="AF3" s="232">
        <f>'DR2.2 Illerfissalik'!AA22</f>
        <v>0.51268969292505617</v>
      </c>
      <c r="AG3" s="232">
        <f>'DR2.2 Illerfissalik'!AB22</f>
        <v>0.27743234574951725</v>
      </c>
      <c r="AH3" s="232">
        <f>'DR2.2 Illerfissalik'!AC22</f>
        <v>7.0632345916142897E-2</v>
      </c>
      <c r="AI3" s="232">
        <f>'DR2.2 Illerfissalik'!AD22</f>
        <v>4.2515025032979112</v>
      </c>
      <c r="AJ3" s="232">
        <f>'DR2.2 Illerfissalik'!AE22</f>
        <v>2.4990572847603733E-2</v>
      </c>
      <c r="AK3" s="232">
        <f>'DR2.2 Illerfissalik'!AF22</f>
        <v>4.3765031740448554</v>
      </c>
      <c r="AL3" s="232">
        <f>'DR2.2 Illerfissalik'!AG22</f>
        <v>3.6764636153812695</v>
      </c>
      <c r="AM3" s="232">
        <f>'DR2.2 Illerfissalik'!AH22</f>
        <v>0.3686827709216664</v>
      </c>
      <c r="AN3" s="232">
        <f>'DR2.2 Illerfissalik'!AI22</f>
        <v>0.98164316404272245</v>
      </c>
      <c r="AO3" s="232">
        <f>'DR2.2 Illerfissalik'!AJ22</f>
        <v>2.6140115487697115</v>
      </c>
      <c r="AP3" s="232" t="e">
        <f>'DR2.2 Illerfissalik'!AK22</f>
        <v>#DIV/0!</v>
      </c>
      <c r="AQ3" s="232">
        <f>'DR2.2 Illerfissalik'!AL22</f>
        <v>0.64401838005696055</v>
      </c>
      <c r="AR3" s="232">
        <f>'DR2.2 Illerfissalik'!AM22</f>
        <v>0.13361802060948247</v>
      </c>
      <c r="AS3" s="232">
        <f>'DR2.2 Illerfissalik'!AN22</f>
        <v>9.8596213610068535</v>
      </c>
      <c r="AT3" s="232">
        <f>'DR2.2 Illerfissalik'!AO22</f>
        <v>0.15119256177604715</v>
      </c>
      <c r="AU3" s="232">
        <f>'DR2.2 Illerfissalik'!AP22</f>
        <v>6.7479911046681718E-2</v>
      </c>
      <c r="AV3" s="232">
        <f>'DR2.2 Illerfissalik'!AQ22</f>
        <v>0.39287458991186819</v>
      </c>
      <c r="AW3" s="232">
        <f>'DR2.2 Illerfissalik'!AR22</f>
        <v>2.7999386545963345E-2</v>
      </c>
      <c r="AX3" s="232">
        <f>'DR2.2 Illerfissalik'!AS22</f>
        <v>0.13753312561487394</v>
      </c>
      <c r="AY3" s="232">
        <f>'DR2.2 Illerfissalik'!AT22</f>
        <v>1.2391918059049813</v>
      </c>
      <c r="AZ3" s="232">
        <f>'DR2.2 Illerfissalik'!AU22</f>
        <v>2.1126743783268931</v>
      </c>
      <c r="BA3" s="232">
        <f>'DR2.2 Illerfissalik'!AV22</f>
        <v>0.19308589594976669</v>
      </c>
      <c r="BB3" s="232">
        <f>'DR2.2 Illerfissalik'!AW22</f>
        <v>12.279193362201152</v>
      </c>
      <c r="BC3" s="65"/>
    </row>
    <row r="4" spans="1:55" ht="15" customHeight="1" x14ac:dyDescent="0.25">
      <c r="A4" s="251"/>
      <c r="B4" s="13" t="str">
        <f>'DR2.2 Illerfissalik'!B23</f>
        <v>Fenite carapace (400 m), ellipsoid 1</v>
      </c>
      <c r="C4" s="232">
        <f>'DR2.2 Illerfissalik'!C23</f>
        <v>144800.22299209086</v>
      </c>
      <c r="D4" s="232">
        <f>'DR2.2 Illerfissalik'!D23</f>
        <v>144.80022299209085</v>
      </c>
      <c r="E4" s="232">
        <f>'DR2.2 Illerfissalik'!E23</f>
        <v>134142.92657987296</v>
      </c>
      <c r="F4" s="232">
        <f>'DR2.2 Illerfissalik'!F23</f>
        <v>3829.9658981408033</v>
      </c>
      <c r="G4" s="232">
        <f>'DR2.2 Illerfissalik'!G23</f>
        <v>1334.2306261414085</v>
      </c>
      <c r="H4" s="232"/>
      <c r="I4" s="232">
        <f>'DR2.2 Illerfissalik'!H23</f>
        <v>635.05240655102716</v>
      </c>
      <c r="J4" s="232">
        <f>'DR2.2 Illerfissalik'!I23</f>
        <v>445.5391476679718</v>
      </c>
      <c r="K4" s="232">
        <f>'DR2.2 Illerfissalik'!J23</f>
        <v>925.68713984229498</v>
      </c>
      <c r="L4" s="232">
        <f>'DR2.2 Illerfissalik'!K23</f>
        <v>2718.1070430229624</v>
      </c>
      <c r="M4" s="232" t="e">
        <f>'DR2.2 Illerfissalik'!L23</f>
        <v>#DIV/0!</v>
      </c>
      <c r="N4" s="232">
        <f>'DR2.2 Illerfissalik'!M23</f>
        <v>136.52592453539998</v>
      </c>
      <c r="O4" s="232">
        <f>'DR2.2 Illerfissalik'!N23</f>
        <v>135.88944003873141</v>
      </c>
      <c r="P4" s="232">
        <f>'DR2.2 Illerfissalik'!O23</f>
        <v>51.714365354318161</v>
      </c>
      <c r="Q4" s="232">
        <f>'DR2.2 Illerfissalik'!P23</f>
        <v>453.01784050382707</v>
      </c>
      <c r="R4" s="232">
        <f>'DR2.2 Illerfissalik'!Q23</f>
        <v>615.26784694398066</v>
      </c>
      <c r="X4" s="232">
        <f>'DR2.2 Illerfissalik'!S23</f>
        <v>43.833206743061936</v>
      </c>
      <c r="Y4" s="232">
        <f>'DR2.2 Illerfissalik'!T23</f>
        <v>14.234663492785526</v>
      </c>
      <c r="Z4" s="232">
        <f>'DR2.2 Illerfissalik'!U23</f>
        <v>2.1162552590294079</v>
      </c>
      <c r="AA4" s="232">
        <f>'DR2.2 Illerfissalik'!V23</f>
        <v>1.9061718555013329E-2</v>
      </c>
      <c r="AB4" s="232">
        <f>'DR2.2 Illerfissalik'!W23</f>
        <v>0.7290505326442408</v>
      </c>
      <c r="AC4" s="232">
        <f>'DR2.2 Illerfissalik'!X23</f>
        <v>0.38248761703026296</v>
      </c>
      <c r="AD4" s="232">
        <f>'DR2.2 Illerfissalik'!Y23</f>
        <v>0.19062127337181312</v>
      </c>
      <c r="AE4" s="232">
        <f>'DR2.2 Illerfissalik'!Z23</f>
        <v>0.66477203174776933</v>
      </c>
      <c r="AF4" s="232">
        <f>'DR2.2 Illerfissalik'!AA23</f>
        <v>0.92242542730277999</v>
      </c>
      <c r="AG4" s="232">
        <f>'DR2.2 Illerfissalik'!AB23</f>
        <v>0.49915310100259719</v>
      </c>
      <c r="AH4" s="232">
        <f>'DR2.2 Illerfissalik'!AC23</f>
        <v>0.12708090831976179</v>
      </c>
      <c r="AI4" s="232">
        <f>'DR2.2 Illerfissalik'!AD23</f>
        <v>7.6492546415530915</v>
      </c>
      <c r="AJ4" s="232">
        <f>'DR2.2 Illerfissalik'!AE23</f>
        <v>4.4962752627176E-2</v>
      </c>
      <c r="AK4" s="232">
        <f>'DR2.2 Illerfissalik'!AF23</f>
        <v>7.8741544176126403</v>
      </c>
      <c r="AL4" s="232">
        <f>'DR2.2 Illerfissalik'!AG23</f>
        <v>6.6146512562656854</v>
      </c>
      <c r="AM4" s="232">
        <f>'DR2.2 Illerfissalik'!AH23</f>
        <v>0.66332982152676823</v>
      </c>
      <c r="AN4" s="232">
        <f>'DR2.2 Illerfissalik'!AI23</f>
        <v>1.7661611449312367</v>
      </c>
      <c r="AO4" s="232">
        <f>'DR2.2 Illerfissalik'!AJ23</f>
        <v>4.7030996587652707</v>
      </c>
      <c r="AP4" s="232" t="e">
        <f>'DR2.2 Illerfissalik'!AK23</f>
        <v>#DIV/0!</v>
      </c>
      <c r="AQ4" s="232">
        <f>'DR2.2 Illerfissalik'!AL23</f>
        <v>1.1587104980121461</v>
      </c>
      <c r="AR4" s="232">
        <f>'DR2.2 Illerfissalik'!AM23</f>
        <v>0.24040401329868424</v>
      </c>
      <c r="AS4" s="232">
        <f>'DR2.2 Illerfissalik'!AN23</f>
        <v>17.739317900232912</v>
      </c>
      <c r="AT4" s="232">
        <f>'DR2.2 Illerfissalik'!AO23</f>
        <v>0.27202392660868019</v>
      </c>
      <c r="AU4" s="232">
        <f>'DR2.2 Illerfissalik'!AP23</f>
        <v>0.12140908358516159</v>
      </c>
      <c r="AV4" s="232">
        <f>'DR2.2 Illerfissalik'!AQ23</f>
        <v>0.70685546535618371</v>
      </c>
      <c r="AW4" s="232">
        <f>'DR2.2 Illerfissalik'!AR23</f>
        <v>5.0376175794607465E-2</v>
      </c>
      <c r="AX4" s="232">
        <f>'DR2.2 Illerfissalik'!AS23</f>
        <v>0.24744802541238473</v>
      </c>
      <c r="AY4" s="232">
        <f>'DR2.2 Illerfissalik'!AT23</f>
        <v>2.2295397134872701</v>
      </c>
      <c r="AZ4" s="232">
        <f>'DR2.2 Illerfissalik'!AU23</f>
        <v>3.8010995599724069</v>
      </c>
      <c r="BA4" s="232">
        <f>'DR2.2 Illerfissalik'!AV23</f>
        <v>0.3473979339460585</v>
      </c>
      <c r="BB4" s="232">
        <f>'DR2.2 Illerfissalik'!AW23</f>
        <v>22.092584150541057</v>
      </c>
      <c r="BC4" s="65"/>
    </row>
    <row r="5" spans="1:55" hidden="1" x14ac:dyDescent="0.25">
      <c r="A5" s="251"/>
      <c r="B5" s="13" t="s">
        <v>233</v>
      </c>
      <c r="C5" s="232">
        <f>'DR2.2 Illerfissalik'!C24</f>
        <v>283059.59510153672</v>
      </c>
      <c r="D5" s="232">
        <f>'DR2.2 Illerfissalik'!D24</f>
        <v>283.05959510153673</v>
      </c>
      <c r="E5" s="232">
        <f>'DR2.2 Illerfissalik'!E24</f>
        <v>262226.40890206362</v>
      </c>
      <c r="F5" s="232">
        <f>'DR2.2 Illerfissalik'!F24</f>
        <v>7486.9262904356465</v>
      </c>
      <c r="G5" s="232">
        <f>'DR2.2 Illerfissalik'!G24</f>
        <v>2608.1919834355881</v>
      </c>
      <c r="H5" s="232"/>
      <c r="I5" s="232">
        <f>'DR2.2 Illerfissalik'!H24</f>
        <v>1241.4185099453111</v>
      </c>
      <c r="J5" s="232">
        <f>'DR2.2 Illerfissalik'!I24</f>
        <v>870.9526003124206</v>
      </c>
      <c r="K5" s="232">
        <f>'DR2.2 Illerfissalik'!J24</f>
        <v>1809.5595543991094</v>
      </c>
      <c r="L5" s="232">
        <f>'DR2.2 Illerfissalik'!K24</f>
        <v>5313.4329709059894</v>
      </c>
      <c r="M5" s="232" t="e">
        <f>'DR2.2 Illerfissalik'!L24</f>
        <v>#DIV/0!</v>
      </c>
      <c r="N5" s="232">
        <f>'DR2.2 Illerfissalik'!M24</f>
        <v>266.88476109573469</v>
      </c>
      <c r="O5" s="232">
        <f>'DR2.2 Illerfissalik'!N24</f>
        <v>265.64054309528831</v>
      </c>
      <c r="P5" s="232">
        <f>'DR2.2 Illerfissalik'!O24</f>
        <v>101.09271253626311</v>
      </c>
      <c r="Q5" s="232">
        <f>'DR2.2 Illerfissalik'!P24</f>
        <v>885.57216181766489</v>
      </c>
      <c r="R5" s="232">
        <f>'DR2.2 Illerfissalik'!Q24</f>
        <v>1202.7430900052557</v>
      </c>
      <c r="X5" s="232">
        <f>'DR2.2 Illerfissalik'!S24</f>
        <v>85.686399484141447</v>
      </c>
      <c r="Y5" s="232">
        <f>'DR2.2 Illerfissalik'!T24</f>
        <v>27.826325135525376</v>
      </c>
      <c r="Z5" s="232">
        <f>'DR2.2 Illerfissalik'!U24</f>
        <v>4.1369159824089596</v>
      </c>
      <c r="AA5" s="232">
        <f>'DR2.2 Illerfissalik'!V24</f>
        <v>3.7262389688558946E-2</v>
      </c>
      <c r="AB5" s="232">
        <f>'DR2.2 Illerfissalik'!W24</f>
        <v>1.4251687208389889</v>
      </c>
      <c r="AC5" s="232">
        <f>'DR2.2 Illerfissalik'!X24</f>
        <v>0.74769767456678238</v>
      </c>
      <c r="AD5" s="232">
        <f>'DR2.2 Illerfissalik'!Y24</f>
        <v>0.37263188787569729</v>
      </c>
      <c r="AE5" s="232">
        <f>'DR2.2 Illerfissalik'!Z24</f>
        <v>1.299515278727351</v>
      </c>
      <c r="AF5" s="232">
        <f>'DR2.2 Illerfissalik'!AA24</f>
        <v>1.8031834659394725</v>
      </c>
      <c r="AG5" s="232">
        <f>'DR2.2 Illerfissalik'!AB24</f>
        <v>0.97575868147101563</v>
      </c>
      <c r="AH5" s="232">
        <f>'DR2.2 Illerfissalik'!AC24</f>
        <v>0.24842137471081158</v>
      </c>
      <c r="AI5" s="232">
        <f>'DR2.2 Illerfissalik'!AD24</f>
        <v>14.952980575070203</v>
      </c>
      <c r="AJ5" s="232">
        <f>'DR2.2 Illerfissalik'!AE24</f>
        <v>8.7894467911103738E-2</v>
      </c>
      <c r="AK5" s="232">
        <f>'DR2.2 Illerfissalik'!AF24</f>
        <v>15.392621055135759</v>
      </c>
      <c r="AL5" s="232">
        <f>'DR2.2 Illerfissalik'!AG24</f>
        <v>12.930508445685925</v>
      </c>
      <c r="AM5" s="232">
        <f>'DR2.2 Illerfissalik'!AH24</f>
        <v>1.2966960051601397</v>
      </c>
      <c r="AN5" s="232">
        <f>'DR2.2 Illerfissalik'!AI24</f>
        <v>3.4525420488862713</v>
      </c>
      <c r="AO5" s="232">
        <f>'DR2.2 Illerfissalik'!AJ24</f>
        <v>9.1937530041303024</v>
      </c>
      <c r="AP5" s="232" t="e">
        <f>'DR2.2 Illerfissalik'!AK24</f>
        <v>#DIV/0!</v>
      </c>
      <c r="AQ5" s="232">
        <f>'DR2.2 Illerfissalik'!AL24</f>
        <v>2.26508024386905</v>
      </c>
      <c r="AR5" s="232">
        <f>'DR2.2 Illerfissalik'!AM24</f>
        <v>0.4699486040765759</v>
      </c>
      <c r="AS5" s="232">
        <f>'DR2.2 Illerfissalik'!AN24</f>
        <v>34.677323269672307</v>
      </c>
      <c r="AT5" s="232">
        <f>'DR2.2 Illerfissalik'!AO24</f>
        <v>0.53176011012074831</v>
      </c>
      <c r="AU5" s="232">
        <f>'DR2.2 Illerfissalik'!AP24</f>
        <v>0.2373339303706844</v>
      </c>
      <c r="AV5" s="232">
        <f>'DR2.2 Illerfissalik'!AQ24</f>
        <v>1.3817811719113056</v>
      </c>
      <c r="AW5" s="232">
        <f>'DR2.2 Illerfissalik'!AR24</f>
        <v>9.8476781516864731E-2</v>
      </c>
      <c r="AX5" s="232">
        <f>'DR2.2 Illerfissalik'!AS24</f>
        <v>0.48371843934059539</v>
      </c>
      <c r="AY5" s="232">
        <f>'DR2.2 Illerfissalik'!AT24</f>
        <v>4.3583676566366458</v>
      </c>
      <c r="AZ5" s="232">
        <f>'DR2.2 Illerfissalik'!AU24</f>
        <v>7.4304975514104541</v>
      </c>
      <c r="BA5" s="232">
        <f>'DR2.2 Illerfissalik'!AV24</f>
        <v>0.67910336386189707</v>
      </c>
      <c r="BB5" s="232">
        <f>'DR2.2 Illerfissalik'!AW24</f>
        <v>43.187211975083443</v>
      </c>
      <c r="BC5" s="65"/>
    </row>
    <row r="6" spans="1:55" ht="15" hidden="1" customHeight="1" x14ac:dyDescent="0.25">
      <c r="A6" s="251"/>
      <c r="B6" s="13" t="s">
        <v>232</v>
      </c>
      <c r="C6" s="232">
        <f>'DR2.2 Illerfissalik'!C25</f>
        <v>60360.63702057401</v>
      </c>
      <c r="D6" s="232">
        <f>'DR2.2 Illerfissalik'!D25</f>
        <v>60.360637020574011</v>
      </c>
      <c r="E6" s="232">
        <f>'DR2.2 Illerfissalik'!E25</f>
        <v>55918.094135859763</v>
      </c>
      <c r="F6" s="232">
        <f>'DR2.2 Illerfissalik'!F25</f>
        <v>1596.5388491941826</v>
      </c>
      <c r="G6" s="232">
        <f>'DR2.2 Illerfissalik'!G25</f>
        <v>556.18015540386045</v>
      </c>
      <c r="H6" s="232"/>
      <c r="I6" s="232">
        <f>'DR2.2 Illerfissalik'!H25</f>
        <v>264.72450807594606</v>
      </c>
      <c r="J6" s="232">
        <f>'DR2.2 Illerfissalik'!I25</f>
        <v>185.72503698638155</v>
      </c>
      <c r="K6" s="232">
        <f>'DR2.2 Illerfissalik'!J25</f>
        <v>385.8769295243838</v>
      </c>
      <c r="L6" s="232">
        <f>'DR2.2 Illerfissalik'!K25</f>
        <v>1133.0553863576322</v>
      </c>
      <c r="M6" s="232" t="e">
        <f>'DR2.2 Illerfissalik'!L25</f>
        <v>#DIV/0!</v>
      </c>
      <c r="N6" s="232">
        <f>'DR2.2 Illerfissalik'!M25</f>
        <v>56.911457762255509</v>
      </c>
      <c r="O6" s="232">
        <f>'DR2.2 Illerfissalik'!N25</f>
        <v>56.646136280846378</v>
      </c>
      <c r="P6" s="232">
        <f>'DR2.2 Illerfissalik'!O25</f>
        <v>21.557370364490719</v>
      </c>
      <c r="Q6" s="232">
        <f>'DR2.2 Illerfissalik'!P25</f>
        <v>188.84256439293867</v>
      </c>
      <c r="R6" s="232">
        <f>'DR2.2 Illerfissalik'!Q25</f>
        <v>256.47722367005071</v>
      </c>
      <c r="X6" s="232">
        <f>'DR2.2 Illerfissalik'!S25</f>
        <v>18.272073253714915</v>
      </c>
      <c r="Y6" s="232">
        <f>'DR2.2 Illerfissalik'!T25</f>
        <v>5.9337847583630756</v>
      </c>
      <c r="Z6" s="232">
        <f>'DR2.2 Illerfissalik'!U25</f>
        <v>0.88217071005568926</v>
      </c>
      <c r="AA6" s="232">
        <f>'DR2.2 Illerfissalik'!V25</f>
        <v>7.9459647983438925E-3</v>
      </c>
      <c r="AB6" s="232">
        <f>'DR2.2 Illerfissalik'!W25</f>
        <v>0.30390805802142179</v>
      </c>
      <c r="AC6" s="232">
        <f>'DR2.2 Illerfissalik'!X25</f>
        <v>0.15944171728029088</v>
      </c>
      <c r="AD6" s="232">
        <f>'DR2.2 Illerfissalik'!Y25</f>
        <v>7.9461352010653269E-2</v>
      </c>
      <c r="AE6" s="232">
        <f>'DR2.2 Illerfissalik'!Z25</f>
        <v>0.27711327013597442</v>
      </c>
      <c r="AF6" s="232">
        <f>'DR2.2 Illerfissalik'!AA25</f>
        <v>0.38451726969379174</v>
      </c>
      <c r="AG6" s="232">
        <f>'DR2.2 Illerfissalik'!AB25</f>
        <v>0.20807425931213774</v>
      </c>
      <c r="AH6" s="232">
        <f>'DR2.2 Illerfissalik'!AC25</f>
        <v>5.2974259437107124E-2</v>
      </c>
      <c r="AI6" s="232">
        <f>'DR2.2 Illerfissalik'!AD25</f>
        <v>3.1886268774734305</v>
      </c>
      <c r="AJ6" s="232">
        <f>'DR2.2 Illerfissalik'!AE25</f>
        <v>1.8742929635702781E-2</v>
      </c>
      <c r="AK6" s="232">
        <f>'DR2.2 Illerfissalik'!AF25</f>
        <v>3.2823773805336387</v>
      </c>
      <c r="AL6" s="232">
        <f>'DR2.2 Illerfissalik'!AG25</f>
        <v>2.7573477115359495</v>
      </c>
      <c r="AM6" s="232">
        <f>'DR2.2 Illerfissalik'!AH25</f>
        <v>0.27651207819124951</v>
      </c>
      <c r="AN6" s="232">
        <f>'DR2.2 Illerfissalik'!AI25</f>
        <v>0.73623237303204114</v>
      </c>
      <c r="AO6" s="232">
        <f>'DR2.2 Illerfissalik'!AJ25</f>
        <v>1.960508661577282</v>
      </c>
      <c r="AP6" s="232" t="e">
        <f>'DR2.2 Illerfissalik'!AK25</f>
        <v>#DIV/0!</v>
      </c>
      <c r="AQ6" s="232">
        <f>'DR2.2 Illerfissalik'!AL25</f>
        <v>0.48301378504271997</v>
      </c>
      <c r="AR6" s="232">
        <f>'DR2.2 Illerfissalik'!AM25</f>
        <v>0.10021351545711175</v>
      </c>
      <c r="AS6" s="232">
        <f>'DR2.2 Illerfissalik'!AN25</f>
        <v>7.3947160207551326</v>
      </c>
      <c r="AT6" s="232">
        <f>'DR2.2 Illerfissalik'!AO25</f>
        <v>0.11339442133203524</v>
      </c>
      <c r="AU6" s="232">
        <f>'DR2.2 Illerfissalik'!AP25</f>
        <v>5.060993328501124E-2</v>
      </c>
      <c r="AV6" s="232">
        <f>'DR2.2 Illerfissalik'!AQ25</f>
        <v>0.29465594243390086</v>
      </c>
      <c r="AW6" s="232">
        <f>'DR2.2 Illerfissalik'!AR25</f>
        <v>2.0999539909472488E-2</v>
      </c>
      <c r="AX6" s="232">
        <f>'DR2.2 Illerfissalik'!AS25</f>
        <v>0.10314984421115536</v>
      </c>
      <c r="AY6" s="232">
        <f>'DR2.2 Illerfissalik'!AT25</f>
        <v>0.92939385442873512</v>
      </c>
      <c r="AZ6" s="232">
        <f>'DR2.2 Illerfissalik'!AU25</f>
        <v>1.5845057837451682</v>
      </c>
      <c r="BA6" s="232">
        <f>'DR2.2 Illerfissalik'!AV25</f>
        <v>0.14481442196232489</v>
      </c>
      <c r="BB6" s="232">
        <f>'DR2.2 Illerfissalik'!AW25</f>
        <v>9.209395021650856</v>
      </c>
      <c r="BC6" s="65"/>
    </row>
    <row r="7" spans="1:55" ht="15" customHeight="1" x14ac:dyDescent="0.25">
      <c r="A7" s="251"/>
      <c r="B7" s="13" t="str">
        <f>'DR2.2 Illerfissalik'!B24</f>
        <v>Fenite carapace (800 m), ellipsoid 1</v>
      </c>
      <c r="C7" s="232">
        <f>'DR2.2 Illerfissalik'!C26</f>
        <v>108600.16724406823</v>
      </c>
      <c r="D7" s="232">
        <f>'DR2.2 Illerfissalik'!D26</f>
        <v>108.60016724406823</v>
      </c>
      <c r="E7" s="232">
        <f>'DR2.2 Illerfissalik'!E26</f>
        <v>100607.19493490481</v>
      </c>
      <c r="F7" s="232">
        <f>'DR2.2 Illerfissalik'!F26</f>
        <v>2872.4744236056049</v>
      </c>
      <c r="G7" s="232">
        <f>'DR2.2 Illerfissalik'!G26</f>
        <v>1000.6729696060571</v>
      </c>
      <c r="H7" s="232"/>
      <c r="I7" s="232">
        <f>'DR2.2 Illerfissalik'!H26</f>
        <v>476.28930491327071</v>
      </c>
      <c r="J7" s="232">
        <f>'DR2.2 Illerfissalik'!I26</f>
        <v>334.15436075097915</v>
      </c>
      <c r="K7" s="232">
        <f>'DR2.2 Illerfissalik'!J26</f>
        <v>694.26535488172181</v>
      </c>
      <c r="L7" s="232">
        <f>'DR2.2 Illerfissalik'!K26</f>
        <v>2038.5802822672235</v>
      </c>
      <c r="M7" s="232" t="e">
        <f>'DR2.2 Illerfissalik'!L26</f>
        <v>#DIV/0!</v>
      </c>
      <c r="N7" s="232">
        <f>'DR2.2 Illerfissalik'!M26</f>
        <v>102.39444340155006</v>
      </c>
      <c r="O7" s="232">
        <f>'DR2.2 Illerfissalik'!N26</f>
        <v>101.91708002904863</v>
      </c>
      <c r="P7" s="232">
        <f>'DR2.2 Illerfissalik'!O26</f>
        <v>38.785774015738653</v>
      </c>
      <c r="Q7" s="232">
        <f>'DR2.2 Illerfissalik'!P26</f>
        <v>339.76338037787059</v>
      </c>
      <c r="R7" s="232">
        <f>'DR2.2 Illerfissalik'!Q26</f>
        <v>461.45088520798589</v>
      </c>
      <c r="X7" s="232">
        <f>'DR2.2 Illerfissalik'!S26</f>
        <v>32.87490505729648</v>
      </c>
      <c r="Y7" s="232">
        <f>'DR2.2 Illerfissalik'!T26</f>
        <v>10.675997619589152</v>
      </c>
      <c r="Z7" s="232">
        <f>'DR2.2 Illerfissalik'!U26</f>
        <v>1.5871914442720574</v>
      </c>
      <c r="AA7" s="232">
        <f>'DR2.2 Illerfissalik'!V26</f>
        <v>1.4296288916260008E-2</v>
      </c>
      <c r="AB7" s="232">
        <f>'DR2.2 Illerfissalik'!W26</f>
        <v>0.54678789948318107</v>
      </c>
      <c r="AC7" s="232">
        <f>'DR2.2 Illerfissalik'!X26</f>
        <v>0.28686571277269746</v>
      </c>
      <c r="AD7" s="232">
        <f>'DR2.2 Illerfissalik'!Y26</f>
        <v>0.14296595502885995</v>
      </c>
      <c r="AE7" s="232">
        <f>'DR2.2 Illerfissalik'!Z26</f>
        <v>0.49857902381082742</v>
      </c>
      <c r="AF7" s="232">
        <f>'DR2.2 Illerfissalik'!AA26</f>
        <v>0.69181907047708557</v>
      </c>
      <c r="AG7" s="232">
        <f>'DR2.2 Illerfissalik'!AB26</f>
        <v>0.37436482575194818</v>
      </c>
      <c r="AH7" s="232">
        <f>'DR2.2 Illerfissalik'!AC26</f>
        <v>9.5310681239821407E-2</v>
      </c>
      <c r="AI7" s="232">
        <f>'DR2.2 Illerfissalik'!AD26</f>
        <v>5.7369409811648229</v>
      </c>
      <c r="AJ7" s="232">
        <f>'DR2.2 Illerfissalik'!AE26</f>
        <v>3.3722064470382028E-2</v>
      </c>
      <c r="AK7" s="232">
        <f>'DR2.2 Illerfissalik'!AF26</f>
        <v>5.9056158132094856</v>
      </c>
      <c r="AL7" s="232">
        <f>'DR2.2 Illerfissalik'!AG26</f>
        <v>4.9609884421992678</v>
      </c>
      <c r="AM7" s="232">
        <f>'DR2.2 Illerfissalik'!AH26</f>
        <v>0.49749736614507656</v>
      </c>
      <c r="AN7" s="232">
        <f>'DR2.2 Illerfissalik'!AI26</f>
        <v>1.3246208586984285</v>
      </c>
      <c r="AO7" s="232">
        <f>'DR2.2 Illerfissalik'!AJ26</f>
        <v>3.5273247440739559</v>
      </c>
      <c r="AP7" s="232" t="e">
        <f>'DR2.2 Illerfissalik'!AK26</f>
        <v>#DIV/0!</v>
      </c>
      <c r="AQ7" s="232">
        <f>'DR2.2 Illerfissalik'!AL26</f>
        <v>0.86903287350911018</v>
      </c>
      <c r="AR7" s="232">
        <f>'DR2.2 Illerfissalik'!AM26</f>
        <v>0.18030300997401333</v>
      </c>
      <c r="AS7" s="232">
        <f>'DR2.2 Illerfissalik'!AN26</f>
        <v>13.304488425174696</v>
      </c>
      <c r="AT7" s="232">
        <f>'DR2.2 Illerfissalik'!AO26</f>
        <v>0.20401794495651029</v>
      </c>
      <c r="AU7" s="232">
        <f>'DR2.2 Illerfissalik'!AP26</f>
        <v>9.1056812688871266E-2</v>
      </c>
      <c r="AV7" s="232">
        <f>'DR2.2 Illerfissalik'!AQ26</f>
        <v>0.5301415990171382</v>
      </c>
      <c r="AW7" s="232">
        <f>'DR2.2 Illerfissalik'!AR26</f>
        <v>3.7782131845955629E-2</v>
      </c>
      <c r="AX7" s="232">
        <f>'DR2.2 Illerfissalik'!AS26</f>
        <v>0.1855860190592887</v>
      </c>
      <c r="AY7" s="232">
        <f>'DR2.2 Illerfissalik'!AT26</f>
        <v>1.6721547851154539</v>
      </c>
      <c r="AZ7" s="232">
        <f>'DR2.2 Illerfissalik'!AU26</f>
        <v>2.8508246699793074</v>
      </c>
      <c r="BA7" s="232">
        <f>'DR2.2 Illerfissalik'!AV26</f>
        <v>0.26054845045954406</v>
      </c>
      <c r="BB7" s="232">
        <f>'DR2.2 Illerfissalik'!AW26</f>
        <v>16.569438112905807</v>
      </c>
      <c r="BC7" s="65"/>
    </row>
    <row r="8" spans="1:55" x14ac:dyDescent="0.25">
      <c r="A8" s="251"/>
      <c r="B8" s="13" t="s">
        <v>522</v>
      </c>
      <c r="C8" s="232">
        <f>'DR2.2 Illerfissalik'!C56</f>
        <v>144800.22299209086</v>
      </c>
      <c r="D8" s="233">
        <f t="shared" si="0"/>
        <v>144.80022299209085</v>
      </c>
      <c r="E8" s="232">
        <f>'DR2.2 Illerfissalik'!E56</f>
        <v>142672.62504892703</v>
      </c>
      <c r="F8" s="232">
        <f>'DR2.2 Illerfissalik'!F56</f>
        <v>844.66796745386341</v>
      </c>
      <c r="G8" s="232">
        <f>'DR2.2 Illerfissalik'!G56</f>
        <v>256.7790621059745</v>
      </c>
      <c r="H8" s="232"/>
      <c r="I8" s="232">
        <f>'DR2.2 Illerfissalik'!H56</f>
        <v>86.880133795254537</v>
      </c>
      <c r="J8" s="232">
        <f>'DR2.2 Illerfissalik'!I56</f>
        <v>22.276957383398599</v>
      </c>
      <c r="K8" s="232">
        <f>'DR2.2 Illerfissalik'!J56</f>
        <v>185.34428542987635</v>
      </c>
      <c r="L8" s="232">
        <f>'DR2.2 Illerfissalik'!K56</f>
        <v>497.14743227284532</v>
      </c>
      <c r="M8" s="232" t="e">
        <f>'DR2.2 Illerfissalik'!L56</f>
        <v>#DIV/0!</v>
      </c>
      <c r="N8" s="232">
        <f>'DR2.2 Illerfissalik'!M56</f>
        <v>35.717388338049084</v>
      </c>
      <c r="O8" s="232">
        <f>'DR2.2 Illerfissalik'!N56</f>
        <v>14.480022299209086</v>
      </c>
      <c r="P8" s="232">
        <f>'DR2.2 Illerfissalik'!O56</f>
        <v>55.506752146968175</v>
      </c>
      <c r="Q8" s="232">
        <f>'DR2.2 Illerfissalik'!P56</f>
        <v>397.71794581827623</v>
      </c>
      <c r="R8" s="232">
        <f>'DR2.2 Illerfissalik'!Q56</f>
        <v>425.40360664731247</v>
      </c>
      <c r="S8" s="232"/>
      <c r="T8" s="232"/>
      <c r="U8" s="232"/>
      <c r="V8" s="232"/>
      <c r="W8" s="232"/>
      <c r="X8" s="232">
        <f>'DR2.2 Illerfissalik'!S56</f>
        <v>3.9339565916196233</v>
      </c>
      <c r="Y8" s="232">
        <f>'DR2.2 Illerfissalik'!T56</f>
        <v>1.0662469641517982</v>
      </c>
      <c r="Z8" s="232">
        <f>'DR2.2 Illerfissalik'!U56</f>
        <v>2.1162552590294079</v>
      </c>
      <c r="AA8" s="232">
        <f>'DR2.2 Illerfissalik'!V56</f>
        <v>3.628588278928712E-3</v>
      </c>
      <c r="AB8" s="232">
        <f>'DR2.2 Illerfissalik'!W56</f>
        <v>0.13793538922025883</v>
      </c>
      <c r="AC8" s="232">
        <f>'DR2.2 Illerfissalik'!X56</f>
        <v>9.0516550061995896E-2</v>
      </c>
      <c r="AD8" s="232">
        <f>'DR2.2 Illerfissalik'!Y56</f>
        <v>2.8055805819225364E-2</v>
      </c>
      <c r="AE8" s="232">
        <f>'DR2.2 Illerfissalik'!Z56</f>
        <v>0.11122311985483915</v>
      </c>
      <c r="AF8" s="232">
        <f>'DR2.2 Illerfissalik'!AA56</f>
        <v>0.15799557771291414</v>
      </c>
      <c r="AG8" s="232">
        <f>'DR2.2 Illerfissalik'!AB56</f>
        <v>0.26752854799349729</v>
      </c>
      <c r="AH8" s="232">
        <f>'DR2.2 Illerfissalik'!AC56</f>
        <v>2.764477590624001E-2</v>
      </c>
      <c r="AI8" s="232">
        <f>'DR2.2 Illerfissalik'!AD56</f>
        <v>0.5649401937402464</v>
      </c>
      <c r="AJ8" s="232">
        <f>'DR2.2 Illerfissalik'!AE56</f>
        <v>1.2294040906134888E-2</v>
      </c>
      <c r="AK8" s="232">
        <f>'DR2.2 Illerfissalik'!AF56</f>
        <v>0.68493208412754814</v>
      </c>
      <c r="AL8" s="232">
        <f>'DR2.2 Illerfissalik'!AG56</f>
        <v>0.64180092437230407</v>
      </c>
      <c r="AM8" s="232" t="e">
        <f>'DR2.2 Illerfissalik'!AH56</f>
        <v>#DIV/0!</v>
      </c>
      <c r="AN8" s="232">
        <f>'DR2.2 Illerfissalik'!AI56</f>
        <v>0.14765588610980707</v>
      </c>
      <c r="AO8" s="232">
        <f>'DR2.2 Illerfissalik'!AJ56</f>
        <v>0.76326398502520543</v>
      </c>
      <c r="AP8" s="232" t="e">
        <f>'DR2.2 Illerfissalik'!AK56</f>
        <v>#DIV/0!</v>
      </c>
      <c r="AQ8" s="232">
        <f>'DR2.2 Illerfissalik'!AL56</f>
        <v>0.13645513515400348</v>
      </c>
      <c r="AR8" s="232">
        <f>'DR2.2 Illerfissalik'!AM56</f>
        <v>0.18383836311075857</v>
      </c>
      <c r="AS8" s="232">
        <f>'DR2.2 Illerfissalik'!AN56</f>
        <v>1.2169508853022406</v>
      </c>
      <c r="AT8" s="232">
        <f>'DR2.2 Illerfissalik'!AO56</f>
        <v>0.13320104939605043</v>
      </c>
      <c r="AU8" s="232">
        <f>'DR2.2 Illerfissalik'!AP56</f>
        <v>2.1888677441858427E-2</v>
      </c>
      <c r="AV8" s="232">
        <f>'DR2.2 Illerfissalik'!AQ56</f>
        <v>0.24967870594477171</v>
      </c>
      <c r="AW8" s="232">
        <f>'DR2.2 Illerfissalik'!AR56</f>
        <v>1.2789103215196645E-2</v>
      </c>
      <c r="AX8" s="232">
        <f>'DR2.2 Illerfissalik'!AS56</f>
        <v>4.1722388732405885E-2</v>
      </c>
      <c r="AY8" s="232">
        <f>'DR2.2 Illerfissalik'!AT56</f>
        <v>1.4217354694701432</v>
      </c>
      <c r="AZ8" s="232">
        <f>'DR2.2 Illerfissalik'!AU56</f>
        <v>0.93657131751819556</v>
      </c>
      <c r="BA8" s="232">
        <f>'DR2.2 Illerfissalik'!AV56</f>
        <v>9.3544197231233917E-2</v>
      </c>
      <c r="BB8" s="232">
        <f>'DR2.2 Illerfissalik'!AW56</f>
        <v>12.596391494420935</v>
      </c>
      <c r="BC8" s="65"/>
    </row>
    <row r="9" spans="1:55" hidden="1" x14ac:dyDescent="0.25">
      <c r="B9" s="13" t="s">
        <v>231</v>
      </c>
      <c r="C9" s="232">
        <f>'DR2.2 Illerfissalik'!C74</f>
        <v>108020.52180103144</v>
      </c>
      <c r="D9" s="233">
        <f t="shared" si="0"/>
        <v>108.02052180103144</v>
      </c>
      <c r="E9" s="232">
        <f>'DR2.2 Illerfissalik'!E74</f>
        <v>106433.34026736826</v>
      </c>
      <c r="F9" s="232">
        <f>'DR2.2 Illerfissalik'!F74</f>
        <v>630.11971050601676</v>
      </c>
      <c r="G9" s="232">
        <f>'DR2.2 Illerfissalik'!G74</f>
        <v>191.55639199382915</v>
      </c>
      <c r="H9" s="232"/>
      <c r="I9" s="232">
        <f>'DR2.2 Illerfissalik'!H74</f>
        <v>64.812313080618878</v>
      </c>
      <c r="J9" s="232">
        <f>'DR2.2 Illerfissalik'!I74</f>
        <v>16.618541815543303</v>
      </c>
      <c r="K9" s="232">
        <f>'DR2.2 Illerfissalik'!J74</f>
        <v>138.26626790532029</v>
      </c>
      <c r="L9" s="232">
        <f>'DR2.2 Illerfissalik'!K74</f>
        <v>370.87045818354136</v>
      </c>
      <c r="M9" s="232" t="e">
        <f>'DR2.2 Illerfissalik'!L74</f>
        <v>#DIV/0!</v>
      </c>
      <c r="N9" s="232">
        <f>'DR2.2 Illerfissalik'!M74</f>
        <v>26.645062044254423</v>
      </c>
      <c r="O9" s="232">
        <f>'DR2.2 Illerfissalik'!N74</f>
        <v>10.802052180103145</v>
      </c>
      <c r="P9" s="232">
        <f>'DR2.2 Illerfissalik'!O74</f>
        <v>41.407866690395394</v>
      </c>
      <c r="Q9" s="232">
        <f>'DR2.2 Illerfissalik'!P74</f>
        <v>296.69636654683302</v>
      </c>
      <c r="R9" s="232">
        <f>'DR2.2 Illerfissalik'!Q74</f>
        <v>317.34978452756513</v>
      </c>
      <c r="S9" s="232"/>
      <c r="T9" s="232"/>
      <c r="U9" s="232"/>
      <c r="V9" s="232"/>
      <c r="W9" s="232"/>
      <c r="X9" s="232">
        <f>'DR2.2 Illerfissalik'!S74</f>
        <v>2.9347195397107226</v>
      </c>
      <c r="Y9" s="232">
        <f>'DR2.2 Illerfissalik'!T74</f>
        <v>0.7954169617731458</v>
      </c>
      <c r="Z9" s="232">
        <f>'DR2.2 Illerfissalik'!U74</f>
        <v>1.5787199261220748</v>
      </c>
      <c r="AA9" s="232">
        <f>'DR2.2 Illerfissalik'!V74</f>
        <v>2.7069157159543564E-3</v>
      </c>
      <c r="AB9" s="232">
        <f>'DR2.2 Illerfissalik'!W74</f>
        <v>0.10289937688296635</v>
      </c>
      <c r="AC9" s="232">
        <f>'DR2.2 Illerfissalik'!X74</f>
        <v>6.7525068451448775E-2</v>
      </c>
      <c r="AD9" s="232">
        <f>'DR2.2 Illerfissalik'!Y74</f>
        <v>2.0929545007031331E-2</v>
      </c>
      <c r="AE9" s="232">
        <f>'DR2.2 Illerfissalik'!Z74</f>
        <v>8.2972105945683688E-2</v>
      </c>
      <c r="AF9" s="232">
        <f>'DR2.2 Illerfissalik'!AA74</f>
        <v>0.11786421591171585</v>
      </c>
      <c r="AG9" s="232">
        <f>'DR2.2 Illerfissalik'!AB74</f>
        <v>0.19957547546393165</v>
      </c>
      <c r="AH9" s="232">
        <f>'DR2.2 Illerfissalik'!AC74</f>
        <v>2.0622917953846916E-2</v>
      </c>
      <c r="AI9" s="232">
        <f>'DR2.2 Illerfissalik'!AD74</f>
        <v>0.42144365010771062</v>
      </c>
      <c r="AJ9" s="232">
        <f>'DR2.2 Illerfissalik'!AE74</f>
        <v>9.1713167720498135E-3</v>
      </c>
      <c r="AK9" s="232">
        <f>'DR2.2 Illerfissalik'!AF74</f>
        <v>0.51095723194961473</v>
      </c>
      <c r="AL9" s="232">
        <f>'DR2.2 Illerfissalik'!AG74</f>
        <v>0.47878151918914763</v>
      </c>
      <c r="AM9" s="232" t="e">
        <f>'DR2.2 Illerfissalik'!AH74</f>
        <v>#DIV/0!</v>
      </c>
      <c r="AN9" s="232">
        <f>'DR2.2 Illerfissalik'!AI74</f>
        <v>0.11015083771967829</v>
      </c>
      <c r="AO9" s="232">
        <f>'DR2.2 Illerfissalik'!AJ74</f>
        <v>0.56939258953255034</v>
      </c>
      <c r="AP9" s="232" t="e">
        <f>'DR2.2 Illerfissalik'!AK74</f>
        <v>#DIV/0!</v>
      </c>
      <c r="AQ9" s="232">
        <f>'DR2.2 Illerfissalik'!AL74</f>
        <v>0.10179511189406688</v>
      </c>
      <c r="AR9" s="232">
        <f>'DR2.2 Illerfissalik'!AM74</f>
        <v>0.13714285447858954</v>
      </c>
      <c r="AS9" s="232">
        <f>'DR2.2 Illerfissalik'!AN74</f>
        <v>0.90784162427536763</v>
      </c>
      <c r="AT9" s="232">
        <f>'DR2.2 Illerfissalik'!AO74</f>
        <v>9.9367573909000431E-2</v>
      </c>
      <c r="AU9" s="232">
        <f>'DR2.2 Illerfissalik'!AP74</f>
        <v>1.6328886171212323E-2</v>
      </c>
      <c r="AV9" s="232">
        <f>'DR2.2 Illerfissalik'!AQ74</f>
        <v>0.18625954809637058</v>
      </c>
      <c r="AW9" s="232">
        <f>'DR2.2 Illerfissalik'!AR74</f>
        <v>9.5406317347194198E-3</v>
      </c>
      <c r="AX9" s="232">
        <f>'DR2.2 Illerfissalik'!AS74</f>
        <v>3.1124773902496884E-2</v>
      </c>
      <c r="AY9" s="232">
        <f>'DR2.2 Illerfissalik'!AT74</f>
        <v>1.0606102953556074</v>
      </c>
      <c r="AZ9" s="232">
        <f>'DR2.2 Illerfissalik'!AU74</f>
        <v>0.69867932750159467</v>
      </c>
      <c r="BA9" s="232">
        <f>'DR2.2 Illerfissalik'!AV74</f>
        <v>6.9783683944522779E-2</v>
      </c>
      <c r="BB9" s="232">
        <f>'DR2.2 Illerfissalik'!AW74</f>
        <v>9.3968693826648639</v>
      </c>
      <c r="BC9" s="65"/>
    </row>
    <row r="10" spans="1:55" x14ac:dyDescent="0.25">
      <c r="A10" s="251" t="s">
        <v>523</v>
      </c>
      <c r="B10" s="13" t="str">
        <f>'DR2.2 Illerfissalik'!B40</f>
        <v>I4 ellipsoid 2 long z-axis</v>
      </c>
      <c r="C10" s="232">
        <f>'DR2.2 Illerfissalik'!C40</f>
        <v>1141885.6773745695</v>
      </c>
      <c r="D10" s="232">
        <f>'DR2.2 Illerfissalik'!D40</f>
        <v>1141.8856773745695</v>
      </c>
      <c r="E10" s="232">
        <f>'DR2.2 Illerfissalik'!E40</f>
        <v>668447.18791643553</v>
      </c>
      <c r="F10" s="232">
        <f>'DR2.2 Illerfissalik'!F40</f>
        <v>184084.65881141811</v>
      </c>
      <c r="G10" s="232">
        <f>'DR2.2 Illerfissalik'!G40</f>
        <v>81797.077355931659</v>
      </c>
      <c r="H10" s="232"/>
      <c r="I10" s="232">
        <f>'DR2.2 Illerfissalik'!H40</f>
        <v>52818.556387892582</v>
      </c>
      <c r="J10" s="232">
        <f>'DR2.2 Illerfissalik'!I40</f>
        <v>15758.02234776906</v>
      </c>
      <c r="K10" s="232">
        <f>'DR2.2 Illerfissalik'!J40</f>
        <v>80604.441204007118</v>
      </c>
      <c r="L10" s="232">
        <f>'DR2.2 Illerfissalik'!K40</f>
        <v>32683.305610187686</v>
      </c>
      <c r="M10" s="232" t="e">
        <f>'DR2.2 Illerfissalik'!L40</f>
        <v>#DIV/0!</v>
      </c>
      <c r="N10" s="232">
        <f>'DR2.2 Illerfissalik'!M40</f>
        <v>8652.9559107717378</v>
      </c>
      <c r="O10" s="232">
        <f>'DR2.2 Illerfissalik'!N40</f>
        <v>2943.5275238988902</v>
      </c>
      <c r="P10" s="232">
        <f>'DR2.2 Illerfissalik'!O40</f>
        <v>4021.9751080859842</v>
      </c>
      <c r="Q10" s="232">
        <f>'DR2.2 Illerfissalik'!P40</f>
        <v>5671.365530960361</v>
      </c>
      <c r="R10" s="232">
        <f>'DR2.2 Illerfissalik'!Q40</f>
        <v>14530.330210394643</v>
      </c>
      <c r="S10" s="234"/>
      <c r="T10" s="234"/>
      <c r="U10" s="234"/>
      <c r="V10" s="234"/>
      <c r="W10" s="234"/>
      <c r="X10" s="232">
        <f>'DR2.2 Illerfissalik'!S40</f>
        <v>968.85067832216464</v>
      </c>
      <c r="Y10" s="232">
        <f>'DR2.2 Illerfissalik'!T40</f>
        <v>249.07420447317244</v>
      </c>
      <c r="Z10" s="232" t="e">
        <f>'DR2.2 Illerfissalik'!U40</f>
        <v>#DIV/0!</v>
      </c>
      <c r="AA10" s="232" t="e">
        <f>'DR2.2 Illerfissalik'!V40</f>
        <v>#DIV/0!</v>
      </c>
      <c r="AB10" s="232" t="e">
        <f>'DR2.2 Illerfissalik'!W40</f>
        <v>#DIV/0!</v>
      </c>
      <c r="AC10" s="232" t="e">
        <f>'DR2.2 Illerfissalik'!X40</f>
        <v>#DIV/0!</v>
      </c>
      <c r="AD10" s="232" t="e">
        <f>'DR2.2 Illerfissalik'!Y40</f>
        <v>#DIV/0!</v>
      </c>
      <c r="AE10" s="232" t="e">
        <f>'DR2.2 Illerfissalik'!Z40</f>
        <v>#DIV/0!</v>
      </c>
      <c r="AF10" s="232" t="e">
        <f>'DR2.2 Illerfissalik'!AA40</f>
        <v>#DIV/0!</v>
      </c>
      <c r="AG10" s="232" t="e">
        <f>'DR2.2 Illerfissalik'!AB40</f>
        <v>#DIV/0!</v>
      </c>
      <c r="AH10" s="232" t="e">
        <f>'DR2.2 Illerfissalik'!AC40</f>
        <v>#DIV/0!</v>
      </c>
      <c r="AI10" s="232">
        <f>'DR2.2 Illerfissalik'!AD40</f>
        <v>105.46227739096049</v>
      </c>
      <c r="AJ10" s="232" t="e">
        <f>'DR2.2 Illerfissalik'!AE40</f>
        <v>#DIV/0!</v>
      </c>
      <c r="AK10" s="232">
        <f>'DR2.2 Illerfissalik'!AF40</f>
        <v>93.343590604598518</v>
      </c>
      <c r="AL10" s="232">
        <f>'DR2.2 Illerfissalik'!AG40</f>
        <v>116.5075548464963</v>
      </c>
      <c r="AM10" s="232">
        <f>'DR2.2 Illerfissalik'!AH40</f>
        <v>9.9776067346194264</v>
      </c>
      <c r="AN10" s="232" t="e">
        <f>'DR2.2 Illerfissalik'!AI40</f>
        <v>#DIV/0!</v>
      </c>
      <c r="AO10" s="232" t="e">
        <f>'DR2.2 Illerfissalik'!AJ40</f>
        <v>#DIV/0!</v>
      </c>
      <c r="AP10" s="232">
        <f>'DR2.2 Illerfissalik'!AK40</f>
        <v>22.330659212453213</v>
      </c>
      <c r="AQ10" s="232">
        <f>'DR2.2 Illerfissalik'!AL40</f>
        <v>11.784762620203601</v>
      </c>
      <c r="AR10" s="232" t="e">
        <f>'DR2.2 Illerfissalik'!AM40</f>
        <v>#DIV/0!</v>
      </c>
      <c r="AS10" s="232">
        <f>'DR2.2 Illerfissalik'!AN40</f>
        <v>965.08158014114258</v>
      </c>
      <c r="AT10" s="232" t="e">
        <f>'DR2.2 Illerfissalik'!AO40</f>
        <v>#DIV/0!</v>
      </c>
      <c r="AU10" s="232" t="e">
        <f>'DR2.2 Illerfissalik'!AP40</f>
        <v>#DIV/0!</v>
      </c>
      <c r="AV10" s="232">
        <f>'DR2.2 Illerfissalik'!AQ40</f>
        <v>28.650705255873728</v>
      </c>
      <c r="AW10" s="232" t="e">
        <f>'DR2.2 Illerfissalik'!AR40</f>
        <v>#DIV/0!</v>
      </c>
      <c r="AX10" s="232">
        <f>'DR2.2 Illerfissalik'!AS40</f>
        <v>4.7928139159307328</v>
      </c>
      <c r="AY10" s="232" t="e">
        <f>'DR2.2 Illerfissalik'!AT40</f>
        <v>#DIV/0!</v>
      </c>
      <c r="AZ10" s="232">
        <f>'DR2.2 Illerfissalik'!AU40</f>
        <v>78.111009488797094</v>
      </c>
      <c r="BA10" s="232" t="e">
        <f>'DR2.2 Illerfissalik'!AV40</f>
        <v>#DIV/0!</v>
      </c>
      <c r="BB10" s="232">
        <f>'DR2.2 Illerfissalik'!AW40</f>
        <v>496.96320710456109</v>
      </c>
      <c r="BC10" s="191"/>
    </row>
    <row r="11" spans="1:55" x14ac:dyDescent="0.25">
      <c r="A11" s="251"/>
      <c r="B11" s="13" t="str">
        <f>'DR2.2 Illerfissalik'!B28</f>
        <v>Fenite carapace, ellipsoid 2 long z axis (200m)</v>
      </c>
      <c r="C11" s="232">
        <f>'DR2.2 Illerfissalik'!C28</f>
        <v>120247.71821852773</v>
      </c>
      <c r="D11" s="232">
        <f>'DR2.2 Illerfissalik'!D28</f>
        <v>120.24771821852774</v>
      </c>
      <c r="E11" s="232">
        <f>'DR2.2 Illerfissalik'!E28</f>
        <v>111397.48615764409</v>
      </c>
      <c r="F11" s="232">
        <f>'DR2.2 Illerfissalik'!F28</f>
        <v>3180.5521468800589</v>
      </c>
      <c r="G11" s="232">
        <f>'DR2.2 Illerfissalik'!G28</f>
        <v>1107.996832156434</v>
      </c>
      <c r="H11" s="232"/>
      <c r="I11" s="232">
        <f>'DR2.2 Illerfissalik'!H28</f>
        <v>527.37213561554313</v>
      </c>
      <c r="J11" s="232">
        <f>'DR2.2 Illerfissalik'!I28</f>
        <v>369.99297913393144</v>
      </c>
      <c r="K11" s="232">
        <f>'DR2.2 Illerfissalik'!J28</f>
        <v>768.72648432558788</v>
      </c>
      <c r="L11" s="232">
        <f>'DR2.2 Illerfissalik'!K28</f>
        <v>2257.2214534163636</v>
      </c>
      <c r="M11" s="232" t="e">
        <f>'DR2.2 Illerfissalik'!L28</f>
        <v>#DIV/0!</v>
      </c>
      <c r="N11" s="232">
        <f>'DR2.2 Illerfissalik'!M28</f>
        <v>113.37642003461188</v>
      </c>
      <c r="O11" s="232">
        <f>'DR2.2 Illerfissalik'!N28</f>
        <v>112.84785863584909</v>
      </c>
      <c r="P11" s="232">
        <f>'DR2.2 Illerfissalik'!O28</f>
        <v>42.94561364947419</v>
      </c>
      <c r="Q11" s="232">
        <f>'DR2.2 Illerfissalik'!P28</f>
        <v>376.20357556939388</v>
      </c>
      <c r="R11" s="232">
        <f>'DR2.2 Illerfissalik'!Q28</f>
        <v>510.9422703878098</v>
      </c>
      <c r="S11" s="234"/>
      <c r="T11" s="234"/>
      <c r="U11" s="234"/>
      <c r="V11" s="234"/>
      <c r="W11" s="234"/>
      <c r="X11" s="232">
        <f>'DR2.2 Illerfissalik'!S28</f>
        <v>36.400794032907534</v>
      </c>
      <c r="Y11" s="232">
        <f>'DR2.2 Illerfissalik'!T28</f>
        <v>11.821016357892844</v>
      </c>
      <c r="Z11" s="232">
        <f>'DR2.2 Illerfissalik'!U28</f>
        <v>1.7574204017637831</v>
      </c>
      <c r="AA11" s="232">
        <f>'DR2.2 Illerfissalik'!V28</f>
        <v>1.5829589997864317E-2</v>
      </c>
      <c r="AB11" s="232">
        <f>'DR2.2 Illerfissalik'!W28</f>
        <v>0.60543182327323264</v>
      </c>
      <c r="AC11" s="232">
        <f>'DR2.2 Illerfissalik'!X28</f>
        <v>0.31763254395846763</v>
      </c>
      <c r="AD11" s="232">
        <f>'DR2.2 Illerfissalik'!Y28</f>
        <v>0.15829929466422671</v>
      </c>
      <c r="AE11" s="232">
        <f>'DR2.2 Illerfissalik'!Z28</f>
        <v>0.55205246443253198</v>
      </c>
      <c r="AF11" s="232">
        <f>'DR2.2 Illerfissalik'!AA28</f>
        <v>0.76601783179552341</v>
      </c>
      <c r="AG11" s="232">
        <f>'DR2.2 Illerfissalik'!AB28</f>
        <v>0.41451608427801306</v>
      </c>
      <c r="AH11" s="232">
        <f>'DR2.2 Illerfissalik'!AC28</f>
        <v>0.10553291244188172</v>
      </c>
      <c r="AI11" s="232">
        <f>'DR2.2 Illerfissalik'!AD28</f>
        <v>6.3522375705835916</v>
      </c>
      <c r="AJ11" s="232">
        <f>'DR2.2 Illerfissalik'!AE28</f>
        <v>3.7338812720870918E-2</v>
      </c>
      <c r="AK11" s="232">
        <f>'DR2.2 Illerfissalik'!AF28</f>
        <v>6.5390030626539719</v>
      </c>
      <c r="AL11" s="232">
        <f>'DR2.2 Illerfissalik'!AG28</f>
        <v>5.4930628140034843</v>
      </c>
      <c r="AM11" s="232">
        <f>'DR2.2 Illerfissalik'!AH28</f>
        <v>0.55085479715907548</v>
      </c>
      <c r="AN11" s="232">
        <f>'DR2.2 Illerfissalik'!AI28</f>
        <v>1.4666886783441204</v>
      </c>
      <c r="AO11" s="232">
        <f>'DR2.2 Illerfissalik'!AJ28</f>
        <v>3.9056362679203227</v>
      </c>
      <c r="AP11" s="232" t="e">
        <f>'DR2.2 Illerfissalik'!AK28</f>
        <v>#DIV/0!</v>
      </c>
      <c r="AQ11" s="232">
        <f>'DR2.2 Illerfissalik'!AL28</f>
        <v>0.96223811388346381</v>
      </c>
      <c r="AR11" s="232">
        <f>'DR2.2 Illerfissalik'!AM28</f>
        <v>0.19964081168108674</v>
      </c>
      <c r="AS11" s="232">
        <f>'DR2.2 Illerfissalik'!AN28</f>
        <v>14.731417232503885</v>
      </c>
      <c r="AT11" s="232">
        <f>'DR2.2 Illerfissalik'!AO28</f>
        <v>0.22589921341022182</v>
      </c>
      <c r="AU11" s="232">
        <f>'DR2.2 Illerfissalik'!AP28</f>
        <v>0.10082280931926198</v>
      </c>
      <c r="AV11" s="232">
        <f>'DR2.2 Illerfissalik'!AQ28</f>
        <v>0.58700017902610091</v>
      </c>
      <c r="AW11" s="232">
        <f>'DR2.2 Illerfissalik'!AR28</f>
        <v>4.183432916541744E-2</v>
      </c>
      <c r="AX11" s="232">
        <f>'DR2.2 Illerfissalik'!AS28</f>
        <v>0.20549043239487816</v>
      </c>
      <c r="AY11" s="232">
        <f>'DR2.2 Illerfissalik'!AT28</f>
        <v>1.851496204112048</v>
      </c>
      <c r="AZ11" s="232">
        <f>'DR2.2 Illerfissalik'!AU28</f>
        <v>3.1565804206882859</v>
      </c>
      <c r="BA11" s="232">
        <f>'DR2.2 Illerfissalik'!AV28</f>
        <v>0.28849271090643336</v>
      </c>
      <c r="BB11" s="232">
        <f>'DR2.2 Illerfissalik'!AW28</f>
        <v>18.346538277074881</v>
      </c>
      <c r="BC11" s="191"/>
    </row>
    <row r="12" spans="1:55" x14ac:dyDescent="0.25">
      <c r="A12" s="251"/>
      <c r="B12" s="13" t="str">
        <f>'DR2.2 Illerfissalik'!B29</f>
        <v>Fenite carapace, ellipsoid 2 long z axis (400m)</v>
      </c>
      <c r="C12" s="232">
        <f>'DR2.2 Illerfissalik'!C29</f>
        <v>205395.3799042555</v>
      </c>
      <c r="D12" s="232">
        <f>'DR2.2 Illerfissalik'!D29</f>
        <v>205.39537990425549</v>
      </c>
      <c r="E12" s="232">
        <f>'DR2.2 Illerfissalik'!E29</f>
        <v>190278.2799433023</v>
      </c>
      <c r="F12" s="232">
        <f>'DR2.2 Illerfissalik'!F29</f>
        <v>5432.707798467558</v>
      </c>
      <c r="G12" s="232">
        <f>'DR2.2 Illerfissalik'!G29</f>
        <v>1892.5717148320682</v>
      </c>
      <c r="H12" s="232"/>
      <c r="I12" s="232">
        <f>'DR2.2 Illerfissalik'!H29</f>
        <v>900.80545186580639</v>
      </c>
      <c r="J12" s="232">
        <f>'DR2.2 Illerfissalik'!I29</f>
        <v>631.98578432078602</v>
      </c>
      <c r="K12" s="232">
        <f>'DR2.2 Illerfissalik'!J29</f>
        <v>1313.063321530776</v>
      </c>
      <c r="L12" s="232">
        <f>'DR2.2 Illerfissalik'!K29</f>
        <v>3855.5647027741675</v>
      </c>
      <c r="M12" s="232" t="e">
        <f>'DR2.2 Illerfissalik'!L29</f>
        <v>#DIV/0!</v>
      </c>
      <c r="N12" s="232">
        <f>'DR2.2 Illerfissalik'!M29</f>
        <v>193.6585010525838</v>
      </c>
      <c r="O12" s="232">
        <f>'DR2.2 Illerfissalik'!N29</f>
        <v>192.75566421783978</v>
      </c>
      <c r="P12" s="232">
        <f>'DR2.2 Illerfissalik'!O29</f>
        <v>73.355492822948392</v>
      </c>
      <c r="Q12" s="232">
        <f>'DR2.2 Illerfissalik'!P29</f>
        <v>642.59411712902795</v>
      </c>
      <c r="R12" s="232">
        <f>'DR2.2 Illerfissalik'!Q29</f>
        <v>872.74156458194739</v>
      </c>
      <c r="S12" s="234"/>
      <c r="T12" s="234"/>
      <c r="U12" s="234"/>
      <c r="V12" s="234"/>
      <c r="W12" s="234"/>
      <c r="X12" s="232">
        <f>'DR2.2 Illerfissalik'!S29</f>
        <v>62.176272697485707</v>
      </c>
      <c r="Y12" s="232">
        <f>'DR2.2 Illerfissalik'!T29</f>
        <v>20.191502854727077</v>
      </c>
      <c r="Z12" s="232">
        <f>'DR2.2 Illerfissalik'!U29</f>
        <v>3.0018534773006946</v>
      </c>
      <c r="AA12" s="232">
        <f>'DR2.2 Illerfissalik'!V29</f>
        <v>2.7038555903666051E-2</v>
      </c>
      <c r="AB12" s="232">
        <f>'DR2.2 Illerfissalik'!W29</f>
        <v>1.0341393682110753</v>
      </c>
      <c r="AC12" s="232">
        <f>'DR2.2 Illerfissalik'!X29</f>
        <v>0.54254881508639219</v>
      </c>
      <c r="AD12" s="232">
        <f>'DR2.2 Illerfissalik'!Y29</f>
        <v>0.27039135750623161</v>
      </c>
      <c r="AE12" s="232">
        <f>'DR2.2 Illerfissalik'!Z29</f>
        <v>0.94296197332524079</v>
      </c>
      <c r="AF12" s="232">
        <f>'DR2.2 Illerfissalik'!AA29</f>
        <v>1.3084366664583682</v>
      </c>
      <c r="AG12" s="232">
        <f>'DR2.2 Illerfissalik'!AB29</f>
        <v>0.70803579367702785</v>
      </c>
      <c r="AH12" s="232">
        <f>'DR2.2 Illerfissalik'!AC29</f>
        <v>0.18026098926892567</v>
      </c>
      <c r="AI12" s="232">
        <f>'DR2.2 Illerfissalik'!AD29</f>
        <v>10.850270328464918</v>
      </c>
      <c r="AJ12" s="232">
        <f>'DR2.2 Illerfissalik'!AE29</f>
        <v>6.377850438741596E-2</v>
      </c>
      <c r="AK12" s="232">
        <f>'DR2.2 Illerfissalik'!AF29</f>
        <v>11.169284857514754</v>
      </c>
      <c r="AL12" s="232">
        <f>'DR2.2 Illerfissalik'!AG29</f>
        <v>9.3827121232338193</v>
      </c>
      <c r="AM12" s="232">
        <f>'DR2.2 Illerfissalik'!AH29</f>
        <v>0.94091623534139446</v>
      </c>
      <c r="AN12" s="232">
        <f>'DR2.2 Illerfissalik'!AI29</f>
        <v>2.5052540102448644</v>
      </c>
      <c r="AO12" s="232">
        <f>'DR2.2 Illerfissalik'!AJ29</f>
        <v>6.671225507659825</v>
      </c>
      <c r="AP12" s="232" t="e">
        <f>'DR2.2 Illerfissalik'!AK29</f>
        <v>#DIV/0!</v>
      </c>
      <c r="AQ12" s="232">
        <f>'DR2.2 Illerfissalik'!AL29</f>
        <v>1.6436009421839999</v>
      </c>
      <c r="AR12" s="232">
        <f>'DR2.2 Illerfissalik'!AM29</f>
        <v>0.34100688950380981</v>
      </c>
      <c r="AS12" s="232">
        <f>'DR2.2 Illerfissalik'!AN29</f>
        <v>25.162764697950191</v>
      </c>
      <c r="AT12" s="232">
        <f>'DR2.2 Illerfissalik'!AO29</f>
        <v>0.3858589206170559</v>
      </c>
      <c r="AU12" s="232">
        <f>'DR2.2 Illerfissalik'!AP29</f>
        <v>0.172215652238076</v>
      </c>
      <c r="AV12" s="232">
        <f>'DR2.2 Illerfissalik'!AQ29</f>
        <v>1.0026562379821944</v>
      </c>
      <c r="AW12" s="232">
        <f>'DR2.2 Illerfissalik'!AR29</f>
        <v>7.1457305463004203E-2</v>
      </c>
      <c r="AX12" s="232">
        <f>'DR2.2 Illerfissalik'!AS29</f>
        <v>0.35099863892413158</v>
      </c>
      <c r="AY12" s="232">
        <f>'DR2.2 Illerfissalik'!AT29</f>
        <v>3.1625445527687881</v>
      </c>
      <c r="AZ12" s="232">
        <f>'DR2.2 Illerfissalik'!AU29</f>
        <v>5.3917616426397021</v>
      </c>
      <c r="BA12" s="232">
        <f>'DR2.2 Illerfissalik'!AV29</f>
        <v>0.49277500508201272</v>
      </c>
      <c r="BB12" s="232">
        <f>'DR2.2 Illerfissalik'!AW29</f>
        <v>31.337760542778788</v>
      </c>
      <c r="BC12" s="191"/>
    </row>
    <row r="13" spans="1:55" x14ac:dyDescent="0.25">
      <c r="A13" s="251"/>
      <c r="B13" s="13" t="str">
        <f>'DR2.2 Illerfissalik'!B30</f>
        <v>Fenite carapace, ellipsoid 2 long z axis (800m)</v>
      </c>
      <c r="C13" s="232">
        <f>'DR2.2 Illerfissalik'!C30</f>
        <v>386329.20414226875</v>
      </c>
      <c r="D13" s="232">
        <f>'DR2.2 Illerfissalik'!D30</f>
        <v>386.32920414226874</v>
      </c>
      <c r="E13" s="232">
        <f>'DR2.2 Illerfissalik'!E30</f>
        <v>357895.37471739779</v>
      </c>
      <c r="F13" s="232">
        <f>'DR2.2 Illerfissalik'!F30</f>
        <v>10218.407449563008</v>
      </c>
      <c r="G13" s="232">
        <f>'DR2.2 Illerfissalik'!G30</f>
        <v>3559.7476667394758</v>
      </c>
      <c r="H13" s="232"/>
      <c r="I13" s="232">
        <f>'DR2.2 Illerfissalik'!H30</f>
        <v>1694.3295095953788</v>
      </c>
      <c r="J13" s="232">
        <f>'DR2.2 Illerfissalik'!I30</f>
        <v>1188.7052435146729</v>
      </c>
      <c r="K13" s="232">
        <f>'DR2.2 Illerfissalik'!J30</f>
        <v>2469.7474121952177</v>
      </c>
      <c r="L13" s="232">
        <f>'DR2.2 Illerfissalik'!K30</f>
        <v>7251.9510606134445</v>
      </c>
      <c r="M13" s="232" t="e">
        <f>'DR2.2 Illerfissalik'!L30</f>
        <v>#DIV/0!</v>
      </c>
      <c r="N13" s="232">
        <f>'DR2.2 Illerfissalik'!M30</f>
        <v>364.25324961985348</v>
      </c>
      <c r="O13" s="232">
        <f>'DR2.2 Illerfissalik'!N30</f>
        <v>362.55509927197528</v>
      </c>
      <c r="P13" s="232">
        <f>'DR2.2 Illerfissalik'!O30</f>
        <v>137.97471576509599</v>
      </c>
      <c r="Q13" s="232">
        <f>'DR2.2 Illerfissalik'!P30</f>
        <v>1208.6585101022408</v>
      </c>
      <c r="R13" s="232">
        <f>'DR2.2 Illerfissalik'!Q30</f>
        <v>1641.5440027131622</v>
      </c>
      <c r="S13" s="234"/>
      <c r="T13" s="234"/>
      <c r="U13" s="234"/>
      <c r="V13" s="234"/>
      <c r="W13" s="234"/>
      <c r="X13" s="232">
        <f>'DR2.2 Illerfissalik'!S30</f>
        <v>116.94766434838709</v>
      </c>
      <c r="Y13" s="232">
        <f>'DR2.2 Illerfissalik'!T30</f>
        <v>37.978299375279384</v>
      </c>
      <c r="Z13" s="232">
        <f>'DR2.2 Illerfissalik'!U30</f>
        <v>5.6462013185392586</v>
      </c>
      <c r="AA13" s="232">
        <f>'DR2.2 Illerfissalik'!V30</f>
        <v>5.0856955927094466E-2</v>
      </c>
      <c r="AB13" s="232">
        <f>'DR2.2 Illerfissalik'!W30</f>
        <v>1.9451179441300368</v>
      </c>
      <c r="AC13" s="232">
        <f>'DR2.2 Illerfissalik'!X30</f>
        <v>1.0204827978037403</v>
      </c>
      <c r="AD13" s="232">
        <f>'DR2.2 Illerfissalik'!Y30</f>
        <v>0.5085804656415539</v>
      </c>
      <c r="AE13" s="232">
        <f>'DR2.2 Illerfissalik'!Z30</f>
        <v>1.77362192304899</v>
      </c>
      <c r="AF13" s="232">
        <f>'DR2.2 Illerfissalik'!AA30</f>
        <v>2.4610451133762408</v>
      </c>
      <c r="AG13" s="232">
        <f>'DR2.2 Illerfissalik'!AB30</f>
        <v>1.3317480889930111</v>
      </c>
      <c r="AH13" s="232">
        <f>'DR2.2 Illerfissalik'!AC30</f>
        <v>0.33905380225506843</v>
      </c>
      <c r="AI13" s="232">
        <f>'DR2.2 Illerfissalik'!AD30</f>
        <v>20.40832808741029</v>
      </c>
      <c r="AJ13" s="232">
        <f>'DR2.2 Illerfissalik'!AE30</f>
        <v>0.11996131000054742</v>
      </c>
      <c r="AK13" s="232">
        <f>'DR2.2 Illerfissalik'!AF30</f>
        <v>21.008364121205666</v>
      </c>
      <c r="AL13" s="232">
        <f>'DR2.2 Illerfissalik'!AG30</f>
        <v>17.64799047064562</v>
      </c>
      <c r="AM13" s="232">
        <f>'DR2.2 Illerfissalik'!AH30</f>
        <v>1.769774084175733</v>
      </c>
      <c r="AN13" s="232">
        <f>'DR2.2 Illerfissalik'!AI30</f>
        <v>4.7121448807820681</v>
      </c>
      <c r="AO13" s="232">
        <f>'DR2.2 Illerfissalik'!AJ30</f>
        <v>12.547941644204556</v>
      </c>
      <c r="AP13" s="232" t="e">
        <f>'DR2.2 Illerfissalik'!AK30</f>
        <v>#DIV/0!</v>
      </c>
      <c r="AQ13" s="232">
        <f>'DR2.2 Illerfissalik'!AL30</f>
        <v>3.0914572870013814</v>
      </c>
      <c r="AR13" s="232">
        <f>'DR2.2 Illerfissalik'!AM30</f>
        <v>0.64140157529564723</v>
      </c>
      <c r="AS13" s="232">
        <f>'DR2.2 Illerfissalik'!AN30</f>
        <v>47.328770804434555</v>
      </c>
      <c r="AT13" s="232">
        <f>'DR2.2 Illerfissalik'!AO30</f>
        <v>0.72576398642788353</v>
      </c>
      <c r="AU13" s="232">
        <f>'DR2.2 Illerfissalik'!AP30</f>
        <v>0.32392128732881575</v>
      </c>
      <c r="AV13" s="232">
        <f>'DR2.2 Illerfissalik'!AQ30</f>
        <v>1.8859011659780616</v>
      </c>
      <c r="AW13" s="232">
        <f>'DR2.2 Illerfissalik'!AR30</f>
        <v>0.13440440560319267</v>
      </c>
      <c r="AX13" s="232">
        <f>'DR2.2 Illerfissalik'!AS30</f>
        <v>0.66019510708463525</v>
      </c>
      <c r="AY13" s="232">
        <f>'DR2.2 Illerfissalik'!AT30</f>
        <v>5.9484459713999618</v>
      </c>
      <c r="AZ13" s="232">
        <f>'DR2.2 Illerfissalik'!AU30</f>
        <v>10.141391618919521</v>
      </c>
      <c r="BA13" s="232">
        <f>'DR2.2 Illerfissalik'!AV30</f>
        <v>0.92686298797606081</v>
      </c>
      <c r="BB13" s="232">
        <f>'DR2.2 Illerfissalik'!AW30</f>
        <v>58.943351577509787</v>
      </c>
      <c r="BC13" s="191"/>
    </row>
    <row r="14" spans="1:55" x14ac:dyDescent="0.25">
      <c r="A14" s="251"/>
      <c r="B14" s="13" t="str">
        <f>'DR2.2 Illerfissalik'!B34</f>
        <v>Unaltered Reference ellipsoid 2</v>
      </c>
      <c r="C14" s="232">
        <f>'DR2.2 Illerfissalik'!C34</f>
        <v>205395.3799042555</v>
      </c>
      <c r="D14" s="232">
        <f>'DR2.2 Illerfissalik'!D34</f>
        <v>205.39537990425549</v>
      </c>
      <c r="E14" s="232">
        <f>'DR2.2 Illerfissalik'!E34</f>
        <v>202377.43712219561</v>
      </c>
      <c r="F14" s="232">
        <f>'DR2.2 Illerfissalik'!F34</f>
        <v>1198.1397161081572</v>
      </c>
      <c r="G14" s="232">
        <f>'DR2.2 Illerfissalik'!G34</f>
        <v>364.23447369687983</v>
      </c>
      <c r="H14" s="232"/>
      <c r="I14" s="232">
        <f>'DR2.2 Illerfissalik'!H34</f>
        <v>123.23722794255333</v>
      </c>
      <c r="J14" s="232">
        <f>'DR2.2 Illerfissalik'!I34</f>
        <v>31.599289216039313</v>
      </c>
      <c r="K14" s="232">
        <f>'DR2.2 Illerfissalik'!J34</f>
        <v>262.90608627744712</v>
      </c>
      <c r="L14" s="232">
        <f>'DR2.2 Illerfissalik'!K34</f>
        <v>705.19080433794397</v>
      </c>
      <c r="M14" s="232" t="e">
        <f>'DR2.2 Illerfissalik'!L34</f>
        <v>#DIV/0!</v>
      </c>
      <c r="N14" s="232">
        <f>'DR2.2 Illerfissalik'!M34</f>
        <v>50.664193709716358</v>
      </c>
      <c r="O14" s="232">
        <f>'DR2.2 Illerfissalik'!N34</f>
        <v>20.539537990425551</v>
      </c>
      <c r="P14" s="232">
        <f>'DR2.2 Illerfissalik'!O34</f>
        <v>78.734895629964626</v>
      </c>
      <c r="Q14" s="232">
        <f>'DR2.2 Illerfissalik'!P34</f>
        <v>564.15264347035509</v>
      </c>
      <c r="R14" s="232">
        <f>'DR2.2 Illerfissalik'!Q34</f>
        <v>603.42403895840539</v>
      </c>
      <c r="S14" s="234"/>
      <c r="T14" s="234"/>
      <c r="U14" s="234"/>
      <c r="V14" s="234"/>
      <c r="W14" s="234"/>
      <c r="X14" s="232">
        <f>'DR2.2 Illerfissalik'!S34</f>
        <v>5.5802159138021317</v>
      </c>
      <c r="Y14" s="232">
        <f>'DR2.2 Illerfissalik'!T34</f>
        <v>1.5124438053225915</v>
      </c>
      <c r="Z14" s="232">
        <f>'DR2.2 Illerfissalik'!U34</f>
        <v>3.0018534773006946</v>
      </c>
      <c r="AA14" s="232">
        <f>'DR2.2 Illerfissalik'!V34</f>
        <v>5.1470588419425308E-3</v>
      </c>
      <c r="AB14" s="232">
        <f>'DR2.2 Illerfissalik'!W34</f>
        <v>0.19565779033837466</v>
      </c>
      <c r="AC14" s="232">
        <f>'DR2.2 Illerfissalik'!X34</f>
        <v>0.1283953905832155</v>
      </c>
      <c r="AD14" s="232">
        <f>'DR2.2 Illerfissalik'!Y34</f>
        <v>3.979643660545034E-2</v>
      </c>
      <c r="AE14" s="232">
        <f>'DR2.2 Illerfissalik'!Z34</f>
        <v>0.15776712552417158</v>
      </c>
      <c r="AF14" s="232">
        <f>'DR2.2 Illerfissalik'!AA34</f>
        <v>0.22411265008417053</v>
      </c>
      <c r="AG14" s="232">
        <f>'DR2.2 Illerfissalik'!AB34</f>
        <v>0.37948234204970532</v>
      </c>
      <c r="AH14" s="232">
        <f>'DR2.2 Illerfissalik'!AC34</f>
        <v>3.9213401280054107E-2</v>
      </c>
      <c r="AI14" s="232">
        <f>'DR2.2 Illerfissalik'!AD34</f>
        <v>0.8013530871620248</v>
      </c>
      <c r="AJ14" s="232">
        <f>'DR2.2 Illerfissalik'!AE34</f>
        <v>1.7438779791188297E-2</v>
      </c>
      <c r="AK14" s="232">
        <f>'DR2.2 Illerfissalik'!AF34</f>
        <v>0.97155848741804374</v>
      </c>
      <c r="AL14" s="232">
        <f>'DR2.2 Illerfissalik'!AG34</f>
        <v>0.91037805025722962</v>
      </c>
      <c r="AM14" s="232" t="e">
        <f>'DR2.2 Illerfissalik'!AH34</f>
        <v>#DIV/0!</v>
      </c>
      <c r="AN14" s="232">
        <f>'DR2.2 Illerfissalik'!AI34</f>
        <v>0.20944606434949925</v>
      </c>
      <c r="AO14" s="232">
        <f>'DR2.2 Illerfissalik'!AJ34</f>
        <v>1.0826702675730759</v>
      </c>
      <c r="AP14" s="232" t="e">
        <f>'DR2.2 Illerfissalik'!AK34</f>
        <v>#DIV/0!</v>
      </c>
      <c r="AQ14" s="232">
        <f>'DR2.2 Illerfissalik'!AL34</f>
        <v>0.19355808814171477</v>
      </c>
      <c r="AR14" s="232">
        <f>'DR2.2 Illerfissalik'!AM34</f>
        <v>0.26076997432644283</v>
      </c>
      <c r="AS14" s="232">
        <f>'DR2.2 Illerfissalik'!AN34</f>
        <v>1.72621342872605</v>
      </c>
      <c r="AT14" s="232">
        <f>'DR2.2 Illerfissalik'!AO34</f>
        <v>0.18894225146215179</v>
      </c>
      <c r="AU14" s="232">
        <f>'DR2.2 Illerfissalik'!AP34</f>
        <v>3.1048524138100161E-2</v>
      </c>
      <c r="AV14" s="232">
        <f>'DR2.2 Illerfissalik'!AQ34</f>
        <v>0.35416280169907205</v>
      </c>
      <c r="AW14" s="232">
        <f>'DR2.2 Illerfissalik'!AR34</f>
        <v>1.8141012902055616E-2</v>
      </c>
      <c r="AX14" s="232">
        <f>'DR2.2 Illerfissalik'!AS34</f>
        <v>5.9182131816700422E-2</v>
      </c>
      <c r="AY14" s="232">
        <f>'DR2.2 Illerfissalik'!AT34</f>
        <v>2.0166950771279231</v>
      </c>
      <c r="AZ14" s="232">
        <f>'DR2.2 Illerfissalik'!AU34</f>
        <v>1.3285022467098424</v>
      </c>
      <c r="BA14" s="232">
        <f>'DR2.2 Illerfissalik'!AV34</f>
        <v>0.13269002996768425</v>
      </c>
      <c r="BB14" s="232">
        <f>'DR2.2 Illerfissalik'!AW34</f>
        <v>17.867656298848644</v>
      </c>
      <c r="BC14" s="191"/>
    </row>
    <row r="15" spans="1:55" x14ac:dyDescent="0.25">
      <c r="A15" s="251" t="s">
        <v>127</v>
      </c>
      <c r="B15" s="13" t="str">
        <f>'DR2.2 Illerfissalik'!B41</f>
        <v>I4 cylinder</v>
      </c>
      <c r="C15" s="232">
        <f>'DR2.2 Illerfissalik'!C41</f>
        <v>428207.12901546364</v>
      </c>
      <c r="D15" s="232">
        <f>'DR2.2 Illerfissalik'!D41</f>
        <v>428.20712901546364</v>
      </c>
      <c r="E15" s="232">
        <f>'DR2.2 Illerfissalik'!E41</f>
        <v>250667.69546866338</v>
      </c>
      <c r="F15" s="232">
        <f>'DR2.2 Illerfissalik'!F41</f>
        <v>69031.747054281805</v>
      </c>
      <c r="G15" s="232">
        <f>'DR2.2 Illerfissalik'!G41</f>
        <v>30673.904008474376</v>
      </c>
      <c r="H15" s="232"/>
      <c r="I15" s="232">
        <f>'DR2.2 Illerfissalik'!H41</f>
        <v>19806.958645459723</v>
      </c>
      <c r="J15" s="232">
        <f>'DR2.2 Illerfissalik'!I41</f>
        <v>5909.2583804133992</v>
      </c>
      <c r="K15" s="232">
        <f>'DR2.2 Illerfissalik'!J41</f>
        <v>30226.665451502675</v>
      </c>
      <c r="L15" s="232">
        <f>'DR2.2 Illerfissalik'!K41</f>
        <v>12256.239603820384</v>
      </c>
      <c r="M15" s="232" t="e">
        <f>'DR2.2 Illerfissalik'!L41</f>
        <v>#DIV/0!</v>
      </c>
      <c r="N15" s="232">
        <f>'DR2.2 Illerfissalik'!M41</f>
        <v>3244.8584665394023</v>
      </c>
      <c r="O15" s="232">
        <f>'DR2.2 Illerfissalik'!N41</f>
        <v>1103.822821462084</v>
      </c>
      <c r="P15" s="232">
        <f>'DR2.2 Illerfissalik'!O41</f>
        <v>1508.2406655322443</v>
      </c>
      <c r="Q15" s="232">
        <f>'DR2.2 Illerfissalik'!P41</f>
        <v>2126.7620741101359</v>
      </c>
      <c r="R15" s="232">
        <f>'DR2.2 Illerfissalik'!Q41</f>
        <v>5448.8738288979921</v>
      </c>
      <c r="S15" s="234"/>
      <c r="T15" s="234"/>
      <c r="U15" s="234"/>
      <c r="V15" s="234"/>
      <c r="W15" s="234"/>
      <c r="X15" s="232">
        <f>'DR2.2 Illerfissalik'!S41</f>
        <v>363.3190043708118</v>
      </c>
      <c r="Y15" s="232">
        <f>'DR2.2 Illerfissalik'!T41</f>
        <v>93.402826677439691</v>
      </c>
      <c r="Z15" s="232" t="e">
        <f>'DR2.2 Illerfissalik'!U41</f>
        <v>#DIV/0!</v>
      </c>
      <c r="AA15" s="232" t="e">
        <f>'DR2.2 Illerfissalik'!V41</f>
        <v>#DIV/0!</v>
      </c>
      <c r="AB15" s="232" t="e">
        <f>'DR2.2 Illerfissalik'!W41</f>
        <v>#DIV/0!</v>
      </c>
      <c r="AC15" s="232" t="e">
        <f>'DR2.2 Illerfissalik'!X41</f>
        <v>#DIV/0!</v>
      </c>
      <c r="AD15" s="232" t="e">
        <f>'DR2.2 Illerfissalik'!Y41</f>
        <v>#DIV/0!</v>
      </c>
      <c r="AE15" s="232" t="e">
        <f>'DR2.2 Illerfissalik'!Z41</f>
        <v>#DIV/0!</v>
      </c>
      <c r="AF15" s="232" t="e">
        <f>'DR2.2 Illerfissalik'!AA41</f>
        <v>#DIV/0!</v>
      </c>
      <c r="AG15" s="232" t="e">
        <f>'DR2.2 Illerfissalik'!AB41</f>
        <v>#DIV/0!</v>
      </c>
      <c r="AH15" s="232" t="e">
        <f>'DR2.2 Illerfissalik'!AC41</f>
        <v>#DIV/0!</v>
      </c>
      <c r="AI15" s="232">
        <f>'DR2.2 Illerfissalik'!AD41</f>
        <v>39.548354021610194</v>
      </c>
      <c r="AJ15" s="232" t="e">
        <f>'DR2.2 Illerfissalik'!AE41</f>
        <v>#DIV/0!</v>
      </c>
      <c r="AK15" s="232">
        <f>'DR2.2 Illerfissalik'!AF41</f>
        <v>35.003846476724448</v>
      </c>
      <c r="AL15" s="232">
        <f>'DR2.2 Illerfissalik'!AG41</f>
        <v>43.690333067436121</v>
      </c>
      <c r="AM15" s="232">
        <f>'DR2.2 Illerfissalik'!AH41</f>
        <v>3.741602525482286</v>
      </c>
      <c r="AN15" s="232" t="e">
        <f>'DR2.2 Illerfissalik'!AI41</f>
        <v>#DIV/0!</v>
      </c>
      <c r="AO15" s="232" t="e">
        <f>'DR2.2 Illerfissalik'!AJ41</f>
        <v>#DIV/0!</v>
      </c>
      <c r="AP15" s="232">
        <f>'DR2.2 Illerfissalik'!AK41</f>
        <v>8.3739972046699567</v>
      </c>
      <c r="AQ15" s="232">
        <f>'DR2.2 Illerfissalik'!AL41</f>
        <v>4.4192859825763513</v>
      </c>
      <c r="AR15" s="232" t="e">
        <f>'DR2.2 Illerfissalik'!AM41</f>
        <v>#DIV/0!</v>
      </c>
      <c r="AS15" s="232">
        <f>'DR2.2 Illerfissalik'!AN41</f>
        <v>361.90559255292857</v>
      </c>
      <c r="AT15" s="232" t="e">
        <f>'DR2.2 Illerfissalik'!AO41</f>
        <v>#DIV/0!</v>
      </c>
      <c r="AU15" s="232" t="e">
        <f>'DR2.2 Illerfissalik'!AP41</f>
        <v>#DIV/0!</v>
      </c>
      <c r="AV15" s="232">
        <f>'DR2.2 Illerfissalik'!AQ41</f>
        <v>10.744014470952649</v>
      </c>
      <c r="AW15" s="232" t="e">
        <f>'DR2.2 Illerfissalik'!AR41</f>
        <v>#DIV/0!</v>
      </c>
      <c r="AX15" s="232">
        <f>'DR2.2 Illerfissalik'!AS41</f>
        <v>1.7973052184740252</v>
      </c>
      <c r="AY15" s="232" t="e">
        <f>'DR2.2 Illerfissalik'!AT41</f>
        <v>#DIV/0!</v>
      </c>
      <c r="AZ15" s="232">
        <f>'DR2.2 Illerfissalik'!AU41</f>
        <v>29.291628558298914</v>
      </c>
      <c r="BA15" s="232" t="e">
        <f>'DR2.2 Illerfissalik'!AV41</f>
        <v>#DIV/0!</v>
      </c>
      <c r="BB15" s="232">
        <f>'DR2.2 Illerfissalik'!AW41</f>
        <v>186.36120266421045</v>
      </c>
      <c r="BC15" s="191"/>
    </row>
    <row r="16" spans="1:55" x14ac:dyDescent="0.25">
      <c r="A16" s="251"/>
      <c r="B16" s="13" t="str">
        <f>'DR2.2 Illerfissalik'!B25</f>
        <v>Fenite carapace cyllinder (200m)</v>
      </c>
      <c r="C16" s="232">
        <f>'DR2.2 Illerfissalik'!C25</f>
        <v>60360.63702057401</v>
      </c>
      <c r="D16" s="232">
        <f>'DR2.2 Illerfissalik'!D25</f>
        <v>60.360637020574011</v>
      </c>
      <c r="E16" s="232">
        <f>'DR2.2 Illerfissalik'!E25</f>
        <v>55918.094135859763</v>
      </c>
      <c r="F16" s="232">
        <f>'DR2.2 Illerfissalik'!F25</f>
        <v>1596.5388491941826</v>
      </c>
      <c r="G16" s="232">
        <f>'DR2.2 Illerfissalik'!G25</f>
        <v>556.18015540386045</v>
      </c>
      <c r="H16" s="232"/>
      <c r="I16" s="232">
        <f>'DR2.2 Illerfissalik'!H25</f>
        <v>264.72450807594606</v>
      </c>
      <c r="J16" s="232">
        <f>'DR2.2 Illerfissalik'!I25</f>
        <v>185.72503698638155</v>
      </c>
      <c r="K16" s="232">
        <f>'DR2.2 Illerfissalik'!J25</f>
        <v>385.8769295243838</v>
      </c>
      <c r="L16" s="232">
        <f>'DR2.2 Illerfissalik'!K25</f>
        <v>1133.0553863576322</v>
      </c>
      <c r="M16" s="232" t="e">
        <f>'DR2.2 Illerfissalik'!L25</f>
        <v>#DIV/0!</v>
      </c>
      <c r="N16" s="232">
        <f>'DR2.2 Illerfissalik'!M25</f>
        <v>56.911457762255509</v>
      </c>
      <c r="O16" s="232">
        <f>'DR2.2 Illerfissalik'!N25</f>
        <v>56.646136280846378</v>
      </c>
      <c r="P16" s="232">
        <f>'DR2.2 Illerfissalik'!O25</f>
        <v>21.557370364490719</v>
      </c>
      <c r="Q16" s="232">
        <f>'DR2.2 Illerfissalik'!P25</f>
        <v>188.84256439293867</v>
      </c>
      <c r="R16" s="232">
        <f>'DR2.2 Illerfissalik'!Q25</f>
        <v>256.47722367005071</v>
      </c>
      <c r="S16" s="234"/>
      <c r="T16" s="234"/>
      <c r="U16" s="234"/>
      <c r="V16" s="234"/>
      <c r="W16" s="234"/>
      <c r="X16" s="232">
        <f>'DR2.2 Illerfissalik'!S25</f>
        <v>18.272073253714915</v>
      </c>
      <c r="Y16" s="232">
        <f>'DR2.2 Illerfissalik'!T25</f>
        <v>5.9337847583630756</v>
      </c>
      <c r="Z16" s="232">
        <f>'DR2.2 Illerfissalik'!U25</f>
        <v>0.88217071005568926</v>
      </c>
      <c r="AA16" s="232">
        <f>'DR2.2 Illerfissalik'!V25</f>
        <v>7.9459647983438925E-3</v>
      </c>
      <c r="AB16" s="232">
        <f>'DR2.2 Illerfissalik'!W25</f>
        <v>0.30390805802142179</v>
      </c>
      <c r="AC16" s="232">
        <f>'DR2.2 Illerfissalik'!X25</f>
        <v>0.15944171728029088</v>
      </c>
      <c r="AD16" s="232">
        <f>'DR2.2 Illerfissalik'!Y25</f>
        <v>7.9461352010653269E-2</v>
      </c>
      <c r="AE16" s="232">
        <f>'DR2.2 Illerfissalik'!Z25</f>
        <v>0.27711327013597442</v>
      </c>
      <c r="AF16" s="232">
        <f>'DR2.2 Illerfissalik'!AA25</f>
        <v>0.38451726969379174</v>
      </c>
      <c r="AG16" s="232">
        <f>'DR2.2 Illerfissalik'!AB25</f>
        <v>0.20807425931213774</v>
      </c>
      <c r="AH16" s="232">
        <f>'DR2.2 Illerfissalik'!AC25</f>
        <v>5.2974259437107124E-2</v>
      </c>
      <c r="AI16" s="232">
        <f>'DR2.2 Illerfissalik'!AD25</f>
        <v>3.1886268774734305</v>
      </c>
      <c r="AJ16" s="232">
        <f>'DR2.2 Illerfissalik'!AE25</f>
        <v>1.8742929635702781E-2</v>
      </c>
      <c r="AK16" s="232">
        <f>'DR2.2 Illerfissalik'!AF25</f>
        <v>3.2823773805336387</v>
      </c>
      <c r="AL16" s="232">
        <f>'DR2.2 Illerfissalik'!AG25</f>
        <v>2.7573477115359495</v>
      </c>
      <c r="AM16" s="232">
        <f>'DR2.2 Illerfissalik'!AH25</f>
        <v>0.27651207819124951</v>
      </c>
      <c r="AN16" s="232">
        <f>'DR2.2 Illerfissalik'!AI25</f>
        <v>0.73623237303204114</v>
      </c>
      <c r="AO16" s="232">
        <f>'DR2.2 Illerfissalik'!AJ25</f>
        <v>1.960508661577282</v>
      </c>
      <c r="AP16" s="232" t="e">
        <f>'DR2.2 Illerfissalik'!AK25</f>
        <v>#DIV/0!</v>
      </c>
      <c r="AQ16" s="232">
        <f>'DR2.2 Illerfissalik'!AL25</f>
        <v>0.48301378504271997</v>
      </c>
      <c r="AR16" s="232">
        <f>'DR2.2 Illerfissalik'!AM25</f>
        <v>0.10021351545711175</v>
      </c>
      <c r="AS16" s="232">
        <f>'DR2.2 Illerfissalik'!AN25</f>
        <v>7.3947160207551326</v>
      </c>
      <c r="AT16" s="232">
        <f>'DR2.2 Illerfissalik'!AO25</f>
        <v>0.11339442133203524</v>
      </c>
      <c r="AU16" s="232">
        <f>'DR2.2 Illerfissalik'!AP25</f>
        <v>5.060993328501124E-2</v>
      </c>
      <c r="AV16" s="232">
        <f>'DR2.2 Illerfissalik'!AQ25</f>
        <v>0.29465594243390086</v>
      </c>
      <c r="AW16" s="232">
        <f>'DR2.2 Illerfissalik'!AR25</f>
        <v>2.0999539909472488E-2</v>
      </c>
      <c r="AX16" s="232">
        <f>'DR2.2 Illerfissalik'!AS25</f>
        <v>0.10314984421115536</v>
      </c>
      <c r="AY16" s="232">
        <f>'DR2.2 Illerfissalik'!AT25</f>
        <v>0.92939385442873512</v>
      </c>
      <c r="AZ16" s="232">
        <f>'DR2.2 Illerfissalik'!AU25</f>
        <v>1.5845057837451682</v>
      </c>
      <c r="BA16" s="232">
        <f>'DR2.2 Illerfissalik'!AV25</f>
        <v>0.14481442196232489</v>
      </c>
      <c r="BB16" s="232">
        <f>'DR2.2 Illerfissalik'!AW25</f>
        <v>9.209395021650856</v>
      </c>
      <c r="BC16" s="191"/>
    </row>
    <row r="17" spans="1:62" x14ac:dyDescent="0.25">
      <c r="A17" s="251"/>
      <c r="B17" s="13" t="str">
        <f>'DR2.2 Illerfissalik'!B26</f>
        <v>Fenite carapace cylinder (400m)</v>
      </c>
      <c r="C17" s="232">
        <f>'DR2.2 Illerfissalik'!C26</f>
        <v>108600.16724406823</v>
      </c>
      <c r="D17" s="232">
        <f>'DR2.2 Illerfissalik'!D26</f>
        <v>108.60016724406823</v>
      </c>
      <c r="E17" s="232">
        <f>'DR2.2 Illerfissalik'!E26</f>
        <v>100607.19493490481</v>
      </c>
      <c r="F17" s="232">
        <f>'DR2.2 Illerfissalik'!F26</f>
        <v>2872.4744236056049</v>
      </c>
      <c r="G17" s="232">
        <f>'DR2.2 Illerfissalik'!G26</f>
        <v>1000.6729696060571</v>
      </c>
      <c r="H17" s="232"/>
      <c r="I17" s="232">
        <f>'DR2.2 Illerfissalik'!H26</f>
        <v>476.28930491327071</v>
      </c>
      <c r="J17" s="232">
        <f>'DR2.2 Illerfissalik'!I26</f>
        <v>334.15436075097915</v>
      </c>
      <c r="K17" s="232">
        <f>'DR2.2 Illerfissalik'!J26</f>
        <v>694.26535488172181</v>
      </c>
      <c r="L17" s="232">
        <f>'DR2.2 Illerfissalik'!K26</f>
        <v>2038.5802822672235</v>
      </c>
      <c r="M17" s="232" t="e">
        <f>'DR2.2 Illerfissalik'!L26</f>
        <v>#DIV/0!</v>
      </c>
      <c r="N17" s="232">
        <f>'DR2.2 Illerfissalik'!M26</f>
        <v>102.39444340155006</v>
      </c>
      <c r="O17" s="232">
        <f>'DR2.2 Illerfissalik'!N26</f>
        <v>101.91708002904863</v>
      </c>
      <c r="P17" s="232">
        <f>'DR2.2 Illerfissalik'!O26</f>
        <v>38.785774015738653</v>
      </c>
      <c r="Q17" s="232">
        <f>'DR2.2 Illerfissalik'!P26</f>
        <v>339.76338037787059</v>
      </c>
      <c r="R17" s="232">
        <f>'DR2.2 Illerfissalik'!Q26</f>
        <v>461.45088520798589</v>
      </c>
      <c r="S17" s="234"/>
      <c r="T17" s="234"/>
      <c r="U17" s="234"/>
      <c r="V17" s="234"/>
      <c r="W17" s="234"/>
      <c r="X17" s="232">
        <f>'DR2.2 Illerfissalik'!S26</f>
        <v>32.87490505729648</v>
      </c>
      <c r="Y17" s="232">
        <f>'DR2.2 Illerfissalik'!T26</f>
        <v>10.675997619589152</v>
      </c>
      <c r="Z17" s="232">
        <f>'DR2.2 Illerfissalik'!U26</f>
        <v>1.5871914442720574</v>
      </c>
      <c r="AA17" s="232">
        <f>'DR2.2 Illerfissalik'!V26</f>
        <v>1.4296288916260008E-2</v>
      </c>
      <c r="AB17" s="232">
        <f>'DR2.2 Illerfissalik'!W26</f>
        <v>0.54678789948318107</v>
      </c>
      <c r="AC17" s="232">
        <f>'DR2.2 Illerfissalik'!X26</f>
        <v>0.28686571277269746</v>
      </c>
      <c r="AD17" s="232">
        <f>'DR2.2 Illerfissalik'!Y26</f>
        <v>0.14296595502885995</v>
      </c>
      <c r="AE17" s="232">
        <f>'DR2.2 Illerfissalik'!Z26</f>
        <v>0.49857902381082742</v>
      </c>
      <c r="AF17" s="232">
        <f>'DR2.2 Illerfissalik'!AA26</f>
        <v>0.69181907047708557</v>
      </c>
      <c r="AG17" s="232">
        <f>'DR2.2 Illerfissalik'!AB26</f>
        <v>0.37436482575194818</v>
      </c>
      <c r="AH17" s="232">
        <f>'DR2.2 Illerfissalik'!AC26</f>
        <v>9.5310681239821407E-2</v>
      </c>
      <c r="AI17" s="232">
        <f>'DR2.2 Illerfissalik'!AD26</f>
        <v>5.7369409811648229</v>
      </c>
      <c r="AJ17" s="232">
        <f>'DR2.2 Illerfissalik'!AE26</f>
        <v>3.3722064470382028E-2</v>
      </c>
      <c r="AK17" s="232">
        <f>'DR2.2 Illerfissalik'!AF26</f>
        <v>5.9056158132094856</v>
      </c>
      <c r="AL17" s="232">
        <f>'DR2.2 Illerfissalik'!AG26</f>
        <v>4.9609884421992678</v>
      </c>
      <c r="AM17" s="232">
        <f>'DR2.2 Illerfissalik'!AH26</f>
        <v>0.49749736614507656</v>
      </c>
      <c r="AN17" s="232">
        <f>'DR2.2 Illerfissalik'!AI26</f>
        <v>1.3246208586984285</v>
      </c>
      <c r="AO17" s="232">
        <f>'DR2.2 Illerfissalik'!AJ26</f>
        <v>3.5273247440739559</v>
      </c>
      <c r="AP17" s="232" t="e">
        <f>'DR2.2 Illerfissalik'!AK26</f>
        <v>#DIV/0!</v>
      </c>
      <c r="AQ17" s="232">
        <f>'DR2.2 Illerfissalik'!AL26</f>
        <v>0.86903287350911018</v>
      </c>
      <c r="AR17" s="232">
        <f>'DR2.2 Illerfissalik'!AM26</f>
        <v>0.18030300997401333</v>
      </c>
      <c r="AS17" s="232">
        <f>'DR2.2 Illerfissalik'!AN26</f>
        <v>13.304488425174696</v>
      </c>
      <c r="AT17" s="232">
        <f>'DR2.2 Illerfissalik'!AO26</f>
        <v>0.20401794495651029</v>
      </c>
      <c r="AU17" s="232">
        <f>'DR2.2 Illerfissalik'!AP26</f>
        <v>9.1056812688871266E-2</v>
      </c>
      <c r="AV17" s="232">
        <f>'DR2.2 Illerfissalik'!AQ26</f>
        <v>0.5301415990171382</v>
      </c>
      <c r="AW17" s="232">
        <f>'DR2.2 Illerfissalik'!AR26</f>
        <v>3.7782131845955629E-2</v>
      </c>
      <c r="AX17" s="232">
        <f>'DR2.2 Illerfissalik'!AS26</f>
        <v>0.1855860190592887</v>
      </c>
      <c r="AY17" s="232">
        <f>'DR2.2 Illerfissalik'!AT26</f>
        <v>1.6721547851154539</v>
      </c>
      <c r="AZ17" s="232">
        <f>'DR2.2 Illerfissalik'!AU26</f>
        <v>2.8508246699793074</v>
      </c>
      <c r="BA17" s="232">
        <f>'DR2.2 Illerfissalik'!AV26</f>
        <v>0.26054845045954406</v>
      </c>
      <c r="BB17" s="232">
        <f>'DR2.2 Illerfissalik'!AW26</f>
        <v>16.569438112905807</v>
      </c>
      <c r="BC17" s="191"/>
    </row>
    <row r="18" spans="1:62" x14ac:dyDescent="0.25">
      <c r="A18" s="251"/>
      <c r="B18" s="13" t="str">
        <f>'DR2.2 Illerfissalik'!B27</f>
        <v>Fenite carapace cylinder (800 m)</v>
      </c>
      <c r="C18" s="232">
        <f>'DR2.2 Illerfissalik'!C27</f>
        <v>212294.69632615242</v>
      </c>
      <c r="D18" s="232">
        <f>'DR2.2 Illerfissalik'!D27</f>
        <v>212.29469632615243</v>
      </c>
      <c r="E18" s="232">
        <f>'DR2.2 Illerfissalik'!E27</f>
        <v>196669.8066765476</v>
      </c>
      <c r="F18" s="232">
        <f>'DR2.2 Illerfissalik'!F27</f>
        <v>5615.1947178267319</v>
      </c>
      <c r="G18" s="232">
        <f>'DR2.2 Illerfissalik'!G27</f>
        <v>1956.1439875766898</v>
      </c>
      <c r="H18" s="232"/>
      <c r="I18" s="232">
        <f>'DR2.2 Illerfissalik'!H27</f>
        <v>931.0638824589829</v>
      </c>
      <c r="J18" s="232">
        <f>'DR2.2 Illerfissalik'!I27</f>
        <v>653.214450234315</v>
      </c>
      <c r="K18" s="232">
        <f>'DR2.2 Illerfissalik'!J27</f>
        <v>1357.1696657993314</v>
      </c>
      <c r="L18" s="232">
        <f>'DR2.2 Illerfissalik'!K27</f>
        <v>3985.0747281794897</v>
      </c>
      <c r="M18" s="232" t="e">
        <f>'DR2.2 Illerfissalik'!L27</f>
        <v>#DIV/0!</v>
      </c>
      <c r="N18" s="232">
        <f>'DR2.2 Illerfissalik'!M27</f>
        <v>200.1635708218009</v>
      </c>
      <c r="O18" s="232">
        <f>'DR2.2 Illerfissalik'!N27</f>
        <v>199.23040732146612</v>
      </c>
      <c r="P18" s="232">
        <f>'DR2.2 Illerfissalik'!O27</f>
        <v>75.819534402197291</v>
      </c>
      <c r="Q18" s="232">
        <f>'DR2.2 Illerfissalik'!P27</f>
        <v>664.17912136324821</v>
      </c>
      <c r="R18" s="232">
        <f>'DR2.2 Illerfissalik'!Q27</f>
        <v>902.05731750394125</v>
      </c>
      <c r="S18" s="234"/>
      <c r="T18" s="234"/>
      <c r="U18" s="234"/>
      <c r="V18" s="234"/>
      <c r="W18" s="234"/>
      <c r="X18" s="232">
        <f>'DR2.2 Illerfissalik'!S27</f>
        <v>64.264799613106049</v>
      </c>
      <c r="Y18" s="232">
        <f>'DR2.2 Illerfissalik'!T27</f>
        <v>20.869743851644021</v>
      </c>
      <c r="Z18" s="232">
        <f>'DR2.2 Illerfissalik'!U27</f>
        <v>3.102686986806718</v>
      </c>
      <c r="AA18" s="232">
        <f>'DR2.2 Illerfissalik'!V27</f>
        <v>2.7946792266419194E-2</v>
      </c>
      <c r="AB18" s="232">
        <f>'DR2.2 Illerfissalik'!W27</f>
        <v>1.0688765406292411</v>
      </c>
      <c r="AC18" s="232">
        <f>'DR2.2 Illerfissalik'!X27</f>
        <v>0.56077325592508653</v>
      </c>
      <c r="AD18" s="232">
        <f>'DR2.2 Illerfissalik'!Y27</f>
        <v>0.27947391590677279</v>
      </c>
      <c r="AE18" s="232">
        <f>'DR2.2 Illerfissalik'!Z27</f>
        <v>0.97463645904551266</v>
      </c>
      <c r="AF18" s="232">
        <f>'DR2.2 Illerfissalik'!AA27</f>
        <v>1.3523875994546037</v>
      </c>
      <c r="AG18" s="232">
        <f>'DR2.2 Illerfissalik'!AB27</f>
        <v>0.73181901110326131</v>
      </c>
      <c r="AH18" s="232">
        <f>'DR2.2 Illerfissalik'!AC27</f>
        <v>0.18631603103310859</v>
      </c>
      <c r="AI18" s="232">
        <f>'DR2.2 Illerfissalik'!AD27</f>
        <v>11.214735431302646</v>
      </c>
      <c r="AJ18" s="232">
        <f>'DR2.2 Illerfissalik'!AE27</f>
        <v>6.5920850933327765E-2</v>
      </c>
      <c r="AK18" s="232">
        <f>'DR2.2 Illerfissalik'!AF27</f>
        <v>11.544465791351813</v>
      </c>
      <c r="AL18" s="232">
        <f>'DR2.2 Illerfissalik'!AG27</f>
        <v>9.6978813342644372</v>
      </c>
      <c r="AM18" s="232">
        <f>'DR2.2 Illerfissalik'!AH27</f>
        <v>0.97252200387010423</v>
      </c>
      <c r="AN18" s="232">
        <f>'DR2.2 Illerfissalik'!AI27</f>
        <v>2.5894065366647019</v>
      </c>
      <c r="AO18" s="232">
        <f>'DR2.2 Illerfissalik'!AJ27</f>
        <v>6.8953147530977237</v>
      </c>
      <c r="AP18" s="232" t="e">
        <f>'DR2.2 Illerfissalik'!AK27</f>
        <v>#DIV/0!</v>
      </c>
      <c r="AQ18" s="232">
        <f>'DR2.2 Illerfissalik'!AL27</f>
        <v>1.6988101829017868</v>
      </c>
      <c r="AR18" s="232">
        <f>'DR2.2 Illerfissalik'!AM27</f>
        <v>0.35246145305743176</v>
      </c>
      <c r="AS18" s="232">
        <f>'DR2.2 Illerfissalik'!AN27</f>
        <v>26.007992452254214</v>
      </c>
      <c r="AT18" s="232">
        <f>'DR2.2 Illerfissalik'!AO27</f>
        <v>0.39882008259056101</v>
      </c>
      <c r="AU18" s="232">
        <f>'DR2.2 Illerfissalik'!AP27</f>
        <v>0.17800044777801319</v>
      </c>
      <c r="AV18" s="232">
        <f>'DR2.2 Illerfissalik'!AQ27</f>
        <v>1.0363358789334787</v>
      </c>
      <c r="AW18" s="232">
        <f>'DR2.2 Illerfissalik'!AR27</f>
        <v>7.3857586137648507E-2</v>
      </c>
      <c r="AX18" s="232">
        <f>'DR2.2 Illerfissalik'!AS27</f>
        <v>0.36278882950544639</v>
      </c>
      <c r="AY18" s="232">
        <f>'DR2.2 Illerfissalik'!AT27</f>
        <v>3.2687757424774828</v>
      </c>
      <c r="AZ18" s="232">
        <f>'DR2.2 Illerfissalik'!AU27</f>
        <v>5.5728731635578379</v>
      </c>
      <c r="BA18" s="232">
        <f>'DR2.2 Illerfissalik'!AV27</f>
        <v>0.50932752289642258</v>
      </c>
      <c r="BB18" s="232">
        <f>'DR2.2 Illerfissalik'!AW27</f>
        <v>32.390408981312568</v>
      </c>
      <c r="BC18" s="191"/>
    </row>
    <row r="19" spans="1:62" x14ac:dyDescent="0.25">
      <c r="A19" s="251"/>
      <c r="B19" s="13" t="str">
        <f>'DR2.2 Illerfissalik'!B35</f>
        <v>Unaltered Reference cylinder</v>
      </c>
      <c r="C19" s="232">
        <f>'DR2.2 Illerfissalik'!C35</f>
        <v>108600.16724406823</v>
      </c>
      <c r="D19" s="232">
        <f>'DR2.2 Illerfissalik'!D35</f>
        <v>108.60016724406823</v>
      </c>
      <c r="E19" s="232">
        <f>'DR2.2 Illerfissalik'!E35</f>
        <v>107004.46878669536</v>
      </c>
      <c r="F19" s="232">
        <f>'DR2.2 Illerfissalik'!F35</f>
        <v>633.50097559039807</v>
      </c>
      <c r="G19" s="232">
        <f>'DR2.2 Illerfissalik'!G35</f>
        <v>192.58429657948105</v>
      </c>
      <c r="H19" s="232"/>
      <c r="I19" s="232">
        <f>'DR2.2 Illerfissalik'!H35</f>
        <v>65.160100346440956</v>
      </c>
      <c r="J19" s="232">
        <f>'DR2.2 Illerfissalik'!I35</f>
        <v>16.707718037548961</v>
      </c>
      <c r="K19" s="232">
        <f>'DR2.2 Illerfissalik'!J35</f>
        <v>139.00821407240738</v>
      </c>
      <c r="L19" s="232">
        <f>'DR2.2 Illerfissalik'!K35</f>
        <v>372.8605742046343</v>
      </c>
      <c r="M19" s="232" t="e">
        <f>'DR2.2 Illerfissalik'!L35</f>
        <v>#DIV/0!</v>
      </c>
      <c r="N19" s="232">
        <f>'DR2.2 Illerfissalik'!M35</f>
        <v>26.788041253536832</v>
      </c>
      <c r="O19" s="232">
        <f>'DR2.2 Illerfissalik'!N35</f>
        <v>10.860016724406824</v>
      </c>
      <c r="P19" s="232">
        <f>'DR2.2 Illerfissalik'!O35</f>
        <v>41.630064110226165</v>
      </c>
      <c r="Q19" s="232">
        <f>'DR2.2 Illerfissalik'!P35</f>
        <v>298.28845936370743</v>
      </c>
      <c r="R19" s="232">
        <f>'DR2.2 Illerfissalik'!Q35</f>
        <v>319.05270498548458</v>
      </c>
      <c r="S19" s="234"/>
      <c r="T19" s="234"/>
      <c r="U19" s="234"/>
      <c r="V19" s="234"/>
      <c r="W19" s="234"/>
      <c r="X19" s="232">
        <f>'DR2.2 Illerfissalik'!S35</f>
        <v>2.9504674437147198</v>
      </c>
      <c r="Y19" s="232">
        <f>'DR2.2 Illerfissalik'!T35</f>
        <v>0.79968522311384937</v>
      </c>
      <c r="Z19" s="232">
        <f>'DR2.2 Illerfissalik'!U35</f>
        <v>1.5871914442720574</v>
      </c>
      <c r="AA19" s="232">
        <f>'DR2.2 Illerfissalik'!V35</f>
        <v>2.7214412091965362E-3</v>
      </c>
      <c r="AB19" s="232">
        <f>'DR2.2 Illerfissalik'!W35</f>
        <v>0.10345154191519421</v>
      </c>
      <c r="AC19" s="232">
        <f>'DR2.2 Illerfissalik'!X35</f>
        <v>6.7887412546496967E-2</v>
      </c>
      <c r="AD19" s="232">
        <f>'DR2.2 Illerfissalik'!Y35</f>
        <v>2.1041854364419042E-2</v>
      </c>
      <c r="AE19" s="232">
        <f>'DR2.2 Illerfissalik'!Z35</f>
        <v>8.3417339891129427E-2</v>
      </c>
      <c r="AF19" s="232">
        <f>'DR2.2 Illerfissalik'!AA35</f>
        <v>0.1184966832846857</v>
      </c>
      <c r="AG19" s="232">
        <f>'DR2.2 Illerfissalik'!AB35</f>
        <v>0.20064641099512312</v>
      </c>
      <c r="AH19" s="232">
        <f>'DR2.2 Illerfissalik'!AC35</f>
        <v>2.0733581929680025E-2</v>
      </c>
      <c r="AI19" s="232">
        <f>'DR2.2 Illerfissalik'!AD35</f>
        <v>0.42370514530518516</v>
      </c>
      <c r="AJ19" s="232">
        <f>'DR2.2 Illerfissalik'!AE35</f>
        <v>9.2205306796011733E-3</v>
      </c>
      <c r="AK19" s="232">
        <f>'DR2.2 Illerfissalik'!AF35</f>
        <v>0.51369906309566149</v>
      </c>
      <c r="AL19" s="232">
        <f>'DR2.2 Illerfissalik'!AG35</f>
        <v>0.48135069327922847</v>
      </c>
      <c r="AM19" s="232" t="e">
        <f>'DR2.2 Illerfissalik'!AH35</f>
        <v>#DIV/0!</v>
      </c>
      <c r="AN19" s="232">
        <f>'DR2.2 Illerfissalik'!AI35</f>
        <v>0.11074191458235538</v>
      </c>
      <c r="AO19" s="232">
        <f>'DR2.2 Illerfissalik'!AJ35</f>
        <v>0.57244798876890457</v>
      </c>
      <c r="AP19" s="232" t="e">
        <f>'DR2.2 Illerfissalik'!AK35</f>
        <v>#DIV/0!</v>
      </c>
      <c r="AQ19" s="232">
        <f>'DR2.2 Illerfissalik'!AL35</f>
        <v>0.10234135136550269</v>
      </c>
      <c r="AR19" s="232">
        <f>'DR2.2 Illerfissalik'!AM35</f>
        <v>0.13787877233306903</v>
      </c>
      <c r="AS19" s="232">
        <f>'DR2.2 Illerfissalik'!AN35</f>
        <v>0.91271316397668123</v>
      </c>
      <c r="AT19" s="232">
        <f>'DR2.2 Illerfissalik'!AO35</f>
        <v>9.9900787047037906E-2</v>
      </c>
      <c r="AU19" s="232">
        <f>'DR2.2 Illerfissalik'!AP35</f>
        <v>1.6416508081393832E-2</v>
      </c>
      <c r="AV19" s="232">
        <f>'DR2.2 Illerfissalik'!AQ35</f>
        <v>0.18725902945857895</v>
      </c>
      <c r="AW19" s="232">
        <f>'DR2.2 Illerfissalik'!AR35</f>
        <v>9.5918274113974914E-3</v>
      </c>
      <c r="AX19" s="232">
        <f>'DR2.2 Illerfissalik'!AS35</f>
        <v>3.1291791549304442E-2</v>
      </c>
      <c r="AY19" s="232">
        <f>'DR2.2 Illerfissalik'!AT35</f>
        <v>1.0663016021026084</v>
      </c>
      <c r="AZ19" s="232">
        <f>'DR2.2 Illerfissalik'!AU35</f>
        <v>0.70242848813864722</v>
      </c>
      <c r="BA19" s="232">
        <f>'DR2.2 Illerfissalik'!AV35</f>
        <v>7.0158147923425493E-2</v>
      </c>
      <c r="BB19" s="232">
        <f>'DR2.2 Illerfissalik'!AW35</f>
        <v>9.4472936208157083</v>
      </c>
      <c r="BC19" s="191"/>
    </row>
    <row r="20" spans="1:62" x14ac:dyDescent="0.25"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4"/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4"/>
      <c r="BA20" s="234"/>
      <c r="BB20" s="234"/>
      <c r="BC20" s="64"/>
    </row>
    <row r="21" spans="1:62" x14ac:dyDescent="0.25">
      <c r="B21" s="13" t="s">
        <v>525</v>
      </c>
      <c r="E21" s="232">
        <f>AVERAGE(E2,E10,E15)</f>
        <v>417779.49244777224</v>
      </c>
      <c r="F21" s="232">
        <f t="shared" ref="F21:H21" si="1">AVERAGE(F2,F10,F15)</f>
        <v>115052.91175713633</v>
      </c>
      <c r="G21" s="232">
        <f t="shared" si="1"/>
        <v>51123.17334745729</v>
      </c>
      <c r="H21" s="232" t="e">
        <f t="shared" si="1"/>
        <v>#DIV/0!</v>
      </c>
      <c r="I21" s="232">
        <f t="shared" ref="I21:BB21" si="2">AVERAGE(I2,I10,I15)</f>
        <v>33011.597742432867</v>
      </c>
      <c r="J21" s="232">
        <f t="shared" si="2"/>
        <v>9848.7639673556623</v>
      </c>
      <c r="K21" s="232">
        <f t="shared" si="2"/>
        <v>50377.775752504451</v>
      </c>
      <c r="L21" s="232">
        <f t="shared" si="2"/>
        <v>20427.066006367302</v>
      </c>
      <c r="M21" s="232" t="e">
        <f t="shared" si="2"/>
        <v>#DIV/0!</v>
      </c>
      <c r="N21" s="232">
        <f t="shared" si="2"/>
        <v>5408.0974442323368</v>
      </c>
      <c r="O21" s="232">
        <f t="shared" si="2"/>
        <v>1839.7047024368064</v>
      </c>
      <c r="P21" s="232">
        <f t="shared" si="2"/>
        <v>2513.7344425537399</v>
      </c>
      <c r="Q21" s="232">
        <f t="shared" si="2"/>
        <v>3544.6034568502259</v>
      </c>
      <c r="R21" s="232">
        <f t="shared" si="2"/>
        <v>9081.4563814966514</v>
      </c>
      <c r="S21" s="232"/>
      <c r="T21" s="232"/>
      <c r="U21" s="232"/>
      <c r="V21" s="232"/>
      <c r="W21" s="232"/>
      <c r="X21" s="232">
        <f t="shared" si="2"/>
        <v>605.5316739513529</v>
      </c>
      <c r="Y21" s="232">
        <f t="shared" si="2"/>
        <v>155.67137779573278</v>
      </c>
      <c r="Z21" s="232" t="e">
        <f t="shared" si="2"/>
        <v>#DIV/0!</v>
      </c>
      <c r="AA21" s="232" t="e">
        <f t="shared" si="2"/>
        <v>#DIV/0!</v>
      </c>
      <c r="AB21" s="232" t="e">
        <f t="shared" si="2"/>
        <v>#DIV/0!</v>
      </c>
      <c r="AC21" s="232" t="e">
        <f t="shared" si="2"/>
        <v>#DIV/0!</v>
      </c>
      <c r="AD21" s="232" t="e">
        <f t="shared" si="2"/>
        <v>#DIV/0!</v>
      </c>
      <c r="AE21" s="232" t="e">
        <f t="shared" si="2"/>
        <v>#DIV/0!</v>
      </c>
      <c r="AF21" s="232" t="e">
        <f t="shared" si="2"/>
        <v>#DIV/0!</v>
      </c>
      <c r="AG21" s="232" t="e">
        <f t="shared" si="2"/>
        <v>#DIV/0!</v>
      </c>
      <c r="AH21" s="232" t="e">
        <f t="shared" si="2"/>
        <v>#DIV/0!</v>
      </c>
      <c r="AI21" s="232">
        <f t="shared" si="2"/>
        <v>65.913923369350314</v>
      </c>
      <c r="AJ21" s="232" t="e">
        <f t="shared" si="2"/>
        <v>#DIV/0!</v>
      </c>
      <c r="AK21" s="232">
        <f t="shared" si="2"/>
        <v>58.339744127874077</v>
      </c>
      <c r="AL21" s="232">
        <f t="shared" si="2"/>
        <v>72.817221779060191</v>
      </c>
      <c r="AM21" s="232">
        <f t="shared" si="2"/>
        <v>6.2360042091371417</v>
      </c>
      <c r="AN21" s="232" t="e">
        <f t="shared" si="2"/>
        <v>#DIV/0!</v>
      </c>
      <c r="AO21" s="232" t="e">
        <f t="shared" si="2"/>
        <v>#DIV/0!</v>
      </c>
      <c r="AP21" s="232">
        <f t="shared" si="2"/>
        <v>13.956662007783258</v>
      </c>
      <c r="AQ21" s="232">
        <f t="shared" si="2"/>
        <v>7.3654766376272507</v>
      </c>
      <c r="AR21" s="232" t="e">
        <f t="shared" si="2"/>
        <v>#DIV/0!</v>
      </c>
      <c r="AS21" s="232">
        <f t="shared" si="2"/>
        <v>603.17598758821407</v>
      </c>
      <c r="AT21" s="232" t="e">
        <f t="shared" si="2"/>
        <v>#DIV/0!</v>
      </c>
      <c r="AU21" s="232" t="e">
        <f t="shared" si="2"/>
        <v>#DIV/0!</v>
      </c>
      <c r="AV21" s="232">
        <f t="shared" si="2"/>
        <v>17.906690784921079</v>
      </c>
      <c r="AW21" s="232" t="e">
        <f t="shared" si="2"/>
        <v>#DIV/0!</v>
      </c>
      <c r="AX21" s="232">
        <f t="shared" si="2"/>
        <v>2.995508697456708</v>
      </c>
      <c r="AY21" s="232" t="e">
        <f t="shared" si="2"/>
        <v>#DIV/0!</v>
      </c>
      <c r="AZ21" s="232">
        <f t="shared" si="2"/>
        <v>48.819380930498191</v>
      </c>
      <c r="BA21" s="232" t="e">
        <f t="shared" si="2"/>
        <v>#DIV/0!</v>
      </c>
      <c r="BB21" s="232">
        <f t="shared" si="2"/>
        <v>310.60200444035064</v>
      </c>
      <c r="BC21" s="64"/>
    </row>
    <row r="22" spans="1:62" x14ac:dyDescent="0.25">
      <c r="B22" s="13" t="s">
        <v>485</v>
      </c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  <c r="AE22" s="232"/>
      <c r="AF22" s="232"/>
      <c r="AG22" s="232"/>
      <c r="AH22" s="232"/>
      <c r="AI22" s="232"/>
      <c r="AJ22" s="232"/>
      <c r="AK22" s="232"/>
      <c r="AL22" s="232"/>
      <c r="AM22" s="232"/>
      <c r="AN22" s="232"/>
      <c r="AO22" s="232"/>
      <c r="AP22" s="232"/>
      <c r="AQ22" s="232"/>
      <c r="AR22" s="232"/>
      <c r="AS22" s="232"/>
      <c r="AT22" s="232"/>
      <c r="AU22" s="232"/>
      <c r="AV22" s="232"/>
      <c r="AW22" s="232"/>
      <c r="AX22" s="232"/>
      <c r="AY22" s="232"/>
      <c r="AZ22" s="232"/>
      <c r="BA22" s="232"/>
      <c r="BB22" s="232"/>
      <c r="BC22" s="64"/>
    </row>
    <row r="23" spans="1:62" x14ac:dyDescent="0.25">
      <c r="B23" s="13" t="s">
        <v>486</v>
      </c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32"/>
      <c r="AP23" s="232"/>
      <c r="AQ23" s="232"/>
      <c r="AR23" s="232"/>
      <c r="AS23" s="232"/>
      <c r="AT23" s="232"/>
      <c r="AU23" s="232"/>
      <c r="AV23" s="232"/>
      <c r="AW23" s="232"/>
      <c r="AX23" s="232"/>
      <c r="AY23" s="232"/>
      <c r="AZ23" s="232"/>
      <c r="BA23" s="232"/>
      <c r="BB23" s="232"/>
      <c r="BC23" s="64"/>
    </row>
    <row r="24" spans="1:62" x14ac:dyDescent="0.25">
      <c r="B24" s="13" t="s">
        <v>526</v>
      </c>
      <c r="E24" s="232">
        <f t="shared" ref="E24:R24" si="3">AVERAGE(E3,E4,E7,E11,E12,E13,E16,E17,E18)</f>
        <v>146897.09076980522</v>
      </c>
      <c r="F24" s="232">
        <f t="shared" si="3"/>
        <v>4194.1149080973109</v>
      </c>
      <c r="G24" s="232">
        <f t="shared" si="3"/>
        <v>1461.0878291778372</v>
      </c>
      <c r="H24" s="232" t="e">
        <f t="shared" si="3"/>
        <v>#DIV/0!</v>
      </c>
      <c r="I24" s="232">
        <f t="shared" si="3"/>
        <v>695.43250163968378</v>
      </c>
      <c r="J24" s="232">
        <f t="shared" si="3"/>
        <v>487.9005273342807</v>
      </c>
      <c r="K24" s="232">
        <f t="shared" si="3"/>
        <v>1013.700470631135</v>
      </c>
      <c r="L24" s="232">
        <f t="shared" si="3"/>
        <v>2976.5417171157796</v>
      </c>
      <c r="M24" s="232" t="e">
        <f t="shared" si="3"/>
        <v>#DIV/0!</v>
      </c>
      <c r="N24" s="232">
        <f t="shared" si="3"/>
        <v>149.50666159029032</v>
      </c>
      <c r="O24" s="232">
        <f t="shared" si="3"/>
        <v>148.8096608369556</v>
      </c>
      <c r="P24" s="232">
        <f t="shared" si="3"/>
        <v>56.6313112084433</v>
      </c>
      <c r="Q24" s="232">
        <f t="shared" si="3"/>
        <v>496.09028618596335</v>
      </c>
      <c r="R24" s="232">
        <f t="shared" si="3"/>
        <v>673.76684753077018</v>
      </c>
      <c r="S24" s="232" t="e">
        <f t="shared" ref="S24:BB24" si="4">AVERAGE(S3,S4,S7,S11,S12,S13,S16,S17,S18)</f>
        <v>#DIV/0!</v>
      </c>
      <c r="T24" s="232" t="e">
        <f t="shared" si="4"/>
        <v>#DIV/0!</v>
      </c>
      <c r="U24" s="232" t="e">
        <f t="shared" si="4"/>
        <v>#DIV/0!</v>
      </c>
      <c r="V24" s="232" t="e">
        <f t="shared" si="4"/>
        <v>#DIV/0!</v>
      </c>
      <c r="W24" s="232" t="e">
        <f t="shared" si="4"/>
        <v>#DIV/0!</v>
      </c>
      <c r="X24" s="232">
        <f t="shared" si="4"/>
        <v>48.000820571282524</v>
      </c>
      <c r="Y24" s="232">
        <f t="shared" si="4"/>
        <v>15.588079882335668</v>
      </c>
      <c r="Z24" s="232">
        <f t="shared" si="4"/>
        <v>2.3174665172719169</v>
      </c>
      <c r="AA24" s="232">
        <f t="shared" si="4"/>
        <v>2.0874086112449605E-2</v>
      </c>
      <c r="AB24" s="232">
        <f t="shared" si="4"/>
        <v>0.79836786776713042</v>
      </c>
      <c r="AC24" s="232">
        <f t="shared" si="4"/>
        <v>0.41885412544481748</v>
      </c>
      <c r="AD24" s="232">
        <f t="shared" si="4"/>
        <v>0.20874533761183434</v>
      </c>
      <c r="AE24" s="232">
        <f t="shared" si="4"/>
        <v>0.72797783661544146</v>
      </c>
      <c r="AF24" s="232">
        <f t="shared" si="4"/>
        <v>1.0101286379956149</v>
      </c>
      <c r="AG24" s="232">
        <f t="shared" si="4"/>
        <v>0.54661203729105134</v>
      </c>
      <c r="AH24" s="232">
        <f t="shared" si="4"/>
        <v>0.13916362346129324</v>
      </c>
      <c r="AI24" s="232">
        <f t="shared" si="4"/>
        <v>8.376537489157279</v>
      </c>
      <c r="AJ24" s="232">
        <f t="shared" si="4"/>
        <v>4.9237762454823183E-2</v>
      </c>
      <c r="AK24" s="232">
        <f t="shared" si="4"/>
        <v>8.6228204923706997</v>
      </c>
      <c r="AL24" s="232">
        <f t="shared" si="4"/>
        <v>7.243565134414311</v>
      </c>
      <c r="AM24" s="232">
        <f t="shared" si="4"/>
        <v>0.72639850260846039</v>
      </c>
      <c r="AN24" s="232">
        <f t="shared" si="4"/>
        <v>1.9340858339376237</v>
      </c>
      <c r="AO24" s="232">
        <f t="shared" si="4"/>
        <v>5.1502652811269556</v>
      </c>
      <c r="AP24" s="232" t="e">
        <f t="shared" si="4"/>
        <v>#DIV/0!</v>
      </c>
      <c r="AQ24" s="232">
        <f t="shared" si="4"/>
        <v>1.2688794373445196</v>
      </c>
      <c r="AR24" s="232">
        <f t="shared" si="4"/>
        <v>0.26326136653903121</v>
      </c>
      <c r="AS24" s="232">
        <f t="shared" si="4"/>
        <v>19.425953035498576</v>
      </c>
      <c r="AT24" s="232">
        <f t="shared" si="4"/>
        <v>0.29788766696394503</v>
      </c>
      <c r="AU24" s="232">
        <f t="shared" si="4"/>
        <v>0.13295252777319602</v>
      </c>
      <c r="AV24" s="232">
        <f t="shared" si="4"/>
        <v>0.77406251751734068</v>
      </c>
      <c r="AW24" s="232">
        <f t="shared" si="4"/>
        <v>5.5165888034579703E-2</v>
      </c>
      <c r="AX24" s="232">
        <f t="shared" si="4"/>
        <v>0.27097511569623145</v>
      </c>
      <c r="AY24" s="232">
        <f t="shared" si="4"/>
        <v>2.4415219349789083</v>
      </c>
      <c r="AZ24" s="232">
        <f t="shared" si="4"/>
        <v>4.1625039897564919</v>
      </c>
      <c r="BA24" s="232">
        <f t="shared" si="4"/>
        <v>0.38042815329312973</v>
      </c>
      <c r="BB24" s="232">
        <f t="shared" si="4"/>
        <v>24.1931231265423</v>
      </c>
      <c r="BC24" s="64"/>
    </row>
    <row r="25" spans="1:62" x14ac:dyDescent="0.25">
      <c r="B25" s="13" t="s">
        <v>485</v>
      </c>
      <c r="E25" s="232">
        <f>MIN(E3,E4,E7,E11,E12,E13,E16,E17,E18)</f>
        <v>55918.094135859763</v>
      </c>
      <c r="F25" s="232">
        <f t="shared" ref="F25:G25" si="5">MIN(F3,F4,F7,F11,F12,F13,F16,F17,F18)</f>
        <v>1596.5388491941826</v>
      </c>
      <c r="G25" s="232">
        <f t="shared" si="5"/>
        <v>556.18015540386045</v>
      </c>
      <c r="H25" s="232">
        <f t="shared" ref="H25:R25" si="6">MIN(H3,H4,H7,H11,H12,H13,H16,H17,H18)</f>
        <v>0</v>
      </c>
      <c r="I25" s="232">
        <f t="shared" si="6"/>
        <v>264.72450807594606</v>
      </c>
      <c r="J25" s="232">
        <f t="shared" si="6"/>
        <v>185.72503698638155</v>
      </c>
      <c r="K25" s="232">
        <f t="shared" si="6"/>
        <v>385.8769295243838</v>
      </c>
      <c r="L25" s="232">
        <f t="shared" si="6"/>
        <v>1133.0553863576322</v>
      </c>
      <c r="M25" s="232" t="e">
        <f t="shared" si="6"/>
        <v>#DIV/0!</v>
      </c>
      <c r="N25" s="232">
        <f t="shared" si="6"/>
        <v>56.911457762255509</v>
      </c>
      <c r="O25" s="232">
        <f t="shared" si="6"/>
        <v>56.646136280846378</v>
      </c>
      <c r="P25" s="232">
        <f t="shared" si="6"/>
        <v>21.557370364490719</v>
      </c>
      <c r="Q25" s="232">
        <f t="shared" si="6"/>
        <v>188.84256439293867</v>
      </c>
      <c r="R25" s="232">
        <f t="shared" si="6"/>
        <v>256.47722367005071</v>
      </c>
      <c r="S25" s="232">
        <f t="shared" ref="S25:BB25" si="7">MIN(S3,S4,S7,S11,S12,S13,S16,S17,S18)</f>
        <v>0</v>
      </c>
      <c r="T25" s="232">
        <f t="shared" si="7"/>
        <v>0</v>
      </c>
      <c r="U25" s="232">
        <f t="shared" si="7"/>
        <v>0</v>
      </c>
      <c r="V25" s="232">
        <f t="shared" si="7"/>
        <v>0</v>
      </c>
      <c r="W25" s="232">
        <f t="shared" si="7"/>
        <v>0</v>
      </c>
      <c r="X25" s="232">
        <f t="shared" si="7"/>
        <v>18.272073253714915</v>
      </c>
      <c r="Y25" s="232">
        <f t="shared" si="7"/>
        <v>5.9337847583630756</v>
      </c>
      <c r="Z25" s="232">
        <f t="shared" si="7"/>
        <v>0.88217071005568926</v>
      </c>
      <c r="AA25" s="232">
        <f t="shared" si="7"/>
        <v>7.9459647983438925E-3</v>
      </c>
      <c r="AB25" s="232">
        <f t="shared" si="7"/>
        <v>0.30390805802142179</v>
      </c>
      <c r="AC25" s="232">
        <f t="shared" si="7"/>
        <v>0.15944171728029088</v>
      </c>
      <c r="AD25" s="232">
        <f t="shared" si="7"/>
        <v>7.9461352010653269E-2</v>
      </c>
      <c r="AE25" s="232">
        <f t="shared" si="7"/>
        <v>0.27711327013597442</v>
      </c>
      <c r="AF25" s="232">
        <f t="shared" si="7"/>
        <v>0.38451726969379174</v>
      </c>
      <c r="AG25" s="232">
        <f t="shared" si="7"/>
        <v>0.20807425931213774</v>
      </c>
      <c r="AH25" s="232">
        <f t="shared" si="7"/>
        <v>5.2974259437107124E-2</v>
      </c>
      <c r="AI25" s="232">
        <f t="shared" si="7"/>
        <v>3.1886268774734305</v>
      </c>
      <c r="AJ25" s="232">
        <f t="shared" si="7"/>
        <v>1.8742929635702781E-2</v>
      </c>
      <c r="AK25" s="232">
        <f t="shared" si="7"/>
        <v>3.2823773805336387</v>
      </c>
      <c r="AL25" s="232">
        <f t="shared" si="7"/>
        <v>2.7573477115359495</v>
      </c>
      <c r="AM25" s="232">
        <f t="shared" si="7"/>
        <v>0.27651207819124951</v>
      </c>
      <c r="AN25" s="232">
        <f t="shared" si="7"/>
        <v>0.73623237303204114</v>
      </c>
      <c r="AO25" s="232">
        <f t="shared" si="7"/>
        <v>1.960508661577282</v>
      </c>
      <c r="AP25" s="232" t="e">
        <f t="shared" si="7"/>
        <v>#DIV/0!</v>
      </c>
      <c r="AQ25" s="232">
        <f t="shared" si="7"/>
        <v>0.48301378504271997</v>
      </c>
      <c r="AR25" s="232">
        <f t="shared" si="7"/>
        <v>0.10021351545711175</v>
      </c>
      <c r="AS25" s="232">
        <f t="shared" si="7"/>
        <v>7.3947160207551326</v>
      </c>
      <c r="AT25" s="232">
        <f t="shared" si="7"/>
        <v>0.11339442133203524</v>
      </c>
      <c r="AU25" s="232">
        <f t="shared" si="7"/>
        <v>5.060993328501124E-2</v>
      </c>
      <c r="AV25" s="232">
        <f t="shared" si="7"/>
        <v>0.29465594243390086</v>
      </c>
      <c r="AW25" s="232">
        <f t="shared" si="7"/>
        <v>2.0999539909472488E-2</v>
      </c>
      <c r="AX25" s="232">
        <f t="shared" si="7"/>
        <v>0.10314984421115536</v>
      </c>
      <c r="AY25" s="232">
        <f t="shared" si="7"/>
        <v>0.92939385442873512</v>
      </c>
      <c r="AZ25" s="232">
        <f t="shared" si="7"/>
        <v>1.5845057837451682</v>
      </c>
      <c r="BA25" s="232">
        <f t="shared" si="7"/>
        <v>0.14481442196232489</v>
      </c>
      <c r="BB25" s="232">
        <f t="shared" si="7"/>
        <v>9.209395021650856</v>
      </c>
      <c r="BC25" s="64"/>
    </row>
    <row r="26" spans="1:62" x14ac:dyDescent="0.25">
      <c r="B26" s="13" t="s">
        <v>486</v>
      </c>
      <c r="E26" s="232">
        <f>MAX(E3,E4,E7,E11,E12,E13,E16,E17,E18)</f>
        <v>357895.37471739779</v>
      </c>
      <c r="F26" s="232">
        <f t="shared" ref="F26:G26" si="8">MAX(F3,F4,F7,F11,F12,F13,F16,F17,F18)</f>
        <v>10218.407449563008</v>
      </c>
      <c r="G26" s="232">
        <f t="shared" si="8"/>
        <v>3559.7476667394758</v>
      </c>
      <c r="H26" s="232">
        <f t="shared" ref="H26:R26" si="9">MAX(H3,H4,H7,H11,H12,H13,H16,H17,H18)</f>
        <v>0</v>
      </c>
      <c r="I26" s="232">
        <f t="shared" si="9"/>
        <v>1694.3295095953788</v>
      </c>
      <c r="J26" s="232">
        <f t="shared" si="9"/>
        <v>1188.7052435146729</v>
      </c>
      <c r="K26" s="232">
        <f t="shared" si="9"/>
        <v>2469.7474121952177</v>
      </c>
      <c r="L26" s="232">
        <f t="shared" si="9"/>
        <v>7251.9510606134445</v>
      </c>
      <c r="M26" s="232" t="e">
        <f t="shared" si="9"/>
        <v>#DIV/0!</v>
      </c>
      <c r="N26" s="232">
        <f t="shared" si="9"/>
        <v>364.25324961985348</v>
      </c>
      <c r="O26" s="232">
        <f t="shared" si="9"/>
        <v>362.55509927197528</v>
      </c>
      <c r="P26" s="232">
        <f t="shared" si="9"/>
        <v>137.97471576509599</v>
      </c>
      <c r="Q26" s="232">
        <f t="shared" si="9"/>
        <v>1208.6585101022408</v>
      </c>
      <c r="R26" s="232">
        <f t="shared" si="9"/>
        <v>1641.5440027131622</v>
      </c>
      <c r="S26" s="232">
        <f t="shared" ref="S26:BB26" si="10">MAX(S3,S4,S7,S11,S12,S13,S16,S17,S18)</f>
        <v>0</v>
      </c>
      <c r="T26" s="232">
        <f t="shared" si="10"/>
        <v>0</v>
      </c>
      <c r="U26" s="232">
        <f t="shared" si="10"/>
        <v>0</v>
      </c>
      <c r="V26" s="232">
        <f t="shared" si="10"/>
        <v>0</v>
      </c>
      <c r="W26" s="232">
        <f t="shared" si="10"/>
        <v>0</v>
      </c>
      <c r="X26" s="232">
        <f t="shared" si="10"/>
        <v>116.94766434838709</v>
      </c>
      <c r="Y26" s="232">
        <f t="shared" si="10"/>
        <v>37.978299375279384</v>
      </c>
      <c r="Z26" s="232">
        <f t="shared" si="10"/>
        <v>5.6462013185392586</v>
      </c>
      <c r="AA26" s="232">
        <f t="shared" si="10"/>
        <v>5.0856955927094466E-2</v>
      </c>
      <c r="AB26" s="232">
        <f t="shared" si="10"/>
        <v>1.9451179441300368</v>
      </c>
      <c r="AC26" s="232">
        <f t="shared" si="10"/>
        <v>1.0204827978037403</v>
      </c>
      <c r="AD26" s="232">
        <f t="shared" si="10"/>
        <v>0.5085804656415539</v>
      </c>
      <c r="AE26" s="232">
        <f t="shared" si="10"/>
        <v>1.77362192304899</v>
      </c>
      <c r="AF26" s="232">
        <f t="shared" si="10"/>
        <v>2.4610451133762408</v>
      </c>
      <c r="AG26" s="232">
        <f t="shared" si="10"/>
        <v>1.3317480889930111</v>
      </c>
      <c r="AH26" s="232">
        <f t="shared" si="10"/>
        <v>0.33905380225506843</v>
      </c>
      <c r="AI26" s="232">
        <f t="shared" si="10"/>
        <v>20.40832808741029</v>
      </c>
      <c r="AJ26" s="232">
        <f t="shared" si="10"/>
        <v>0.11996131000054742</v>
      </c>
      <c r="AK26" s="232">
        <f t="shared" si="10"/>
        <v>21.008364121205666</v>
      </c>
      <c r="AL26" s="232">
        <f t="shared" si="10"/>
        <v>17.64799047064562</v>
      </c>
      <c r="AM26" s="232">
        <f t="shared" si="10"/>
        <v>1.769774084175733</v>
      </c>
      <c r="AN26" s="232">
        <f t="shared" si="10"/>
        <v>4.7121448807820681</v>
      </c>
      <c r="AO26" s="232">
        <f t="shared" si="10"/>
        <v>12.547941644204556</v>
      </c>
      <c r="AP26" s="232" t="e">
        <f t="shared" si="10"/>
        <v>#DIV/0!</v>
      </c>
      <c r="AQ26" s="232">
        <f t="shared" si="10"/>
        <v>3.0914572870013814</v>
      </c>
      <c r="AR26" s="232">
        <f t="shared" si="10"/>
        <v>0.64140157529564723</v>
      </c>
      <c r="AS26" s="232">
        <f t="shared" si="10"/>
        <v>47.328770804434555</v>
      </c>
      <c r="AT26" s="232">
        <f t="shared" si="10"/>
        <v>0.72576398642788353</v>
      </c>
      <c r="AU26" s="232">
        <f t="shared" si="10"/>
        <v>0.32392128732881575</v>
      </c>
      <c r="AV26" s="232">
        <f t="shared" si="10"/>
        <v>1.8859011659780616</v>
      </c>
      <c r="AW26" s="232">
        <f t="shared" si="10"/>
        <v>0.13440440560319267</v>
      </c>
      <c r="AX26" s="232">
        <f t="shared" si="10"/>
        <v>0.66019510708463525</v>
      </c>
      <c r="AY26" s="232">
        <f t="shared" si="10"/>
        <v>5.9484459713999618</v>
      </c>
      <c r="AZ26" s="232">
        <f t="shared" si="10"/>
        <v>10.141391618919521</v>
      </c>
      <c r="BA26" s="232">
        <f t="shared" si="10"/>
        <v>0.92686298797606081</v>
      </c>
      <c r="BB26" s="232">
        <f t="shared" si="10"/>
        <v>58.943351577509787</v>
      </c>
      <c r="BC26" s="64"/>
    </row>
    <row r="27" spans="1:62" x14ac:dyDescent="0.25">
      <c r="B27" s="13" t="s">
        <v>527</v>
      </c>
      <c r="E27" s="232">
        <f>AVERAGE(E8,E14,E19)</f>
        <v>150684.84365260601</v>
      </c>
      <c r="F27" s="232">
        <f t="shared" ref="F27:G27" si="11">AVERAGE(F8,F14,F19)</f>
        <v>892.10288638413965</v>
      </c>
      <c r="G27" s="232">
        <f t="shared" si="11"/>
        <v>271.19927746077843</v>
      </c>
      <c r="H27" s="232" t="e">
        <f t="shared" ref="H27:R27" si="12">AVERAGE(H8,H14,H19)</f>
        <v>#DIV/0!</v>
      </c>
      <c r="I27" s="232">
        <f t="shared" si="12"/>
        <v>91.759154028082946</v>
      </c>
      <c r="J27" s="232">
        <f t="shared" si="12"/>
        <v>23.52798821232896</v>
      </c>
      <c r="K27" s="232">
        <f t="shared" si="12"/>
        <v>195.75286192657691</v>
      </c>
      <c r="L27" s="232">
        <f t="shared" si="12"/>
        <v>525.06627027180787</v>
      </c>
      <c r="M27" s="232" t="e">
        <f t="shared" si="12"/>
        <v>#DIV/0!</v>
      </c>
      <c r="N27" s="232">
        <f t="shared" si="12"/>
        <v>37.72320776710076</v>
      </c>
      <c r="O27" s="232">
        <f t="shared" si="12"/>
        <v>15.293192338013823</v>
      </c>
      <c r="P27" s="232">
        <f t="shared" si="12"/>
        <v>58.623903962386322</v>
      </c>
      <c r="Q27" s="232">
        <f t="shared" si="12"/>
        <v>420.05301621744621</v>
      </c>
      <c r="R27" s="232">
        <f t="shared" si="12"/>
        <v>449.29345019706744</v>
      </c>
      <c r="S27" s="232" t="e">
        <f t="shared" ref="S27:BB27" si="13">AVERAGE(S8,S14,S19)</f>
        <v>#DIV/0!</v>
      </c>
      <c r="T27" s="232" t="e">
        <f t="shared" si="13"/>
        <v>#DIV/0!</v>
      </c>
      <c r="U27" s="232" t="e">
        <f t="shared" si="13"/>
        <v>#DIV/0!</v>
      </c>
      <c r="V27" s="232" t="e">
        <f t="shared" si="13"/>
        <v>#DIV/0!</v>
      </c>
      <c r="W27" s="232" t="e">
        <f t="shared" si="13"/>
        <v>#DIV/0!</v>
      </c>
      <c r="X27" s="232">
        <f t="shared" si="13"/>
        <v>4.1548799830454914</v>
      </c>
      <c r="Y27" s="232">
        <f t="shared" si="13"/>
        <v>1.1261253308627464</v>
      </c>
      <c r="Z27" s="232">
        <f t="shared" si="13"/>
        <v>2.2351000602007196</v>
      </c>
      <c r="AA27" s="232">
        <f t="shared" si="13"/>
        <v>3.83236277668926E-3</v>
      </c>
      <c r="AB27" s="232">
        <f t="shared" si="13"/>
        <v>0.14568157382460922</v>
      </c>
      <c r="AC27" s="232">
        <f t="shared" si="13"/>
        <v>9.5599784397236112E-2</v>
      </c>
      <c r="AD27" s="232">
        <f t="shared" si="13"/>
        <v>2.9631365596364912E-2</v>
      </c>
      <c r="AE27" s="232">
        <f t="shared" si="13"/>
        <v>0.11746919509004672</v>
      </c>
      <c r="AF27" s="232">
        <f t="shared" si="13"/>
        <v>0.16686830369392344</v>
      </c>
      <c r="AG27" s="232">
        <f t="shared" si="13"/>
        <v>0.28255243367944188</v>
      </c>
      <c r="AH27" s="232">
        <f t="shared" si="13"/>
        <v>2.9197253038658045E-2</v>
      </c>
      <c r="AI27" s="232">
        <f t="shared" si="13"/>
        <v>0.59666614206915214</v>
      </c>
      <c r="AJ27" s="232">
        <f t="shared" si="13"/>
        <v>1.2984450458974785E-2</v>
      </c>
      <c r="AK27" s="232">
        <f t="shared" si="13"/>
        <v>0.72339654488041782</v>
      </c>
      <c r="AL27" s="232">
        <f t="shared" si="13"/>
        <v>0.67784322263625407</v>
      </c>
      <c r="AM27" s="232" t="e">
        <f t="shared" si="13"/>
        <v>#DIV/0!</v>
      </c>
      <c r="AN27" s="232">
        <f t="shared" si="13"/>
        <v>0.15594795501388722</v>
      </c>
      <c r="AO27" s="232">
        <f t="shared" si="13"/>
        <v>0.80612741378906205</v>
      </c>
      <c r="AP27" s="232" t="e">
        <f t="shared" si="13"/>
        <v>#DIV/0!</v>
      </c>
      <c r="AQ27" s="232">
        <f t="shared" si="13"/>
        <v>0.14411819155374031</v>
      </c>
      <c r="AR27" s="232">
        <f t="shared" si="13"/>
        <v>0.19416236992342348</v>
      </c>
      <c r="AS27" s="232">
        <f t="shared" si="13"/>
        <v>1.285292492668324</v>
      </c>
      <c r="AT27" s="232">
        <f t="shared" si="13"/>
        <v>0.14068136263508005</v>
      </c>
      <c r="AU27" s="232">
        <f t="shared" si="13"/>
        <v>2.3117903220450806E-2</v>
      </c>
      <c r="AV27" s="232">
        <f t="shared" si="13"/>
        <v>0.26370017903414089</v>
      </c>
      <c r="AW27" s="232">
        <f t="shared" si="13"/>
        <v>1.3507314509549917E-2</v>
      </c>
      <c r="AX27" s="232">
        <f t="shared" si="13"/>
        <v>4.4065437366136918E-2</v>
      </c>
      <c r="AY27" s="232">
        <f t="shared" si="13"/>
        <v>1.5015773829002248</v>
      </c>
      <c r="AZ27" s="232">
        <f t="shared" si="13"/>
        <v>0.98916735078889495</v>
      </c>
      <c r="BA27" s="232">
        <f t="shared" si="13"/>
        <v>9.8797458374114563E-2</v>
      </c>
      <c r="BB27" s="232">
        <f t="shared" si="13"/>
        <v>13.303780471361762</v>
      </c>
      <c r="BC27" s="64"/>
    </row>
    <row r="28" spans="1:62" x14ac:dyDescent="0.25">
      <c r="B28" s="13" t="s">
        <v>485</v>
      </c>
      <c r="E28" s="232">
        <f>MIN(E8,E14,E19)</f>
        <v>107004.46878669536</v>
      </c>
      <c r="F28" s="232">
        <f t="shared" ref="F28:G28" si="14">MIN(F8,F14,F19)</f>
        <v>633.50097559039807</v>
      </c>
      <c r="G28" s="232">
        <f t="shared" si="14"/>
        <v>192.58429657948105</v>
      </c>
      <c r="H28" s="232">
        <f t="shared" ref="H28:R28" si="15">MIN(H8,H14,H19)</f>
        <v>0</v>
      </c>
      <c r="I28" s="232">
        <f t="shared" si="15"/>
        <v>65.160100346440956</v>
      </c>
      <c r="J28" s="232">
        <f t="shared" si="15"/>
        <v>16.707718037548961</v>
      </c>
      <c r="K28" s="232">
        <f t="shared" si="15"/>
        <v>139.00821407240738</v>
      </c>
      <c r="L28" s="232">
        <f t="shared" si="15"/>
        <v>372.8605742046343</v>
      </c>
      <c r="M28" s="232" t="e">
        <f t="shared" si="15"/>
        <v>#DIV/0!</v>
      </c>
      <c r="N28" s="232">
        <f t="shared" si="15"/>
        <v>26.788041253536832</v>
      </c>
      <c r="O28" s="232">
        <f t="shared" si="15"/>
        <v>10.860016724406824</v>
      </c>
      <c r="P28" s="232">
        <f t="shared" si="15"/>
        <v>41.630064110226165</v>
      </c>
      <c r="Q28" s="232">
        <f t="shared" si="15"/>
        <v>298.28845936370743</v>
      </c>
      <c r="R28" s="232">
        <f t="shared" si="15"/>
        <v>319.05270498548458</v>
      </c>
      <c r="S28" s="232">
        <f t="shared" ref="S28:BB28" si="16">MIN(S8,S14,S19)</f>
        <v>0</v>
      </c>
      <c r="T28" s="232">
        <f t="shared" si="16"/>
        <v>0</v>
      </c>
      <c r="U28" s="232">
        <f t="shared" si="16"/>
        <v>0</v>
      </c>
      <c r="V28" s="232">
        <f t="shared" si="16"/>
        <v>0</v>
      </c>
      <c r="W28" s="232">
        <f t="shared" si="16"/>
        <v>0</v>
      </c>
      <c r="X28" s="232">
        <f t="shared" si="16"/>
        <v>2.9504674437147198</v>
      </c>
      <c r="Y28" s="232">
        <f t="shared" si="16"/>
        <v>0.79968522311384937</v>
      </c>
      <c r="Z28" s="232">
        <f t="shared" si="16"/>
        <v>1.5871914442720574</v>
      </c>
      <c r="AA28" s="232">
        <f t="shared" si="16"/>
        <v>2.7214412091965362E-3</v>
      </c>
      <c r="AB28" s="232">
        <f t="shared" si="16"/>
        <v>0.10345154191519421</v>
      </c>
      <c r="AC28" s="232">
        <f t="shared" si="16"/>
        <v>6.7887412546496967E-2</v>
      </c>
      <c r="AD28" s="232">
        <f t="shared" si="16"/>
        <v>2.1041854364419042E-2</v>
      </c>
      <c r="AE28" s="232">
        <f t="shared" si="16"/>
        <v>8.3417339891129427E-2</v>
      </c>
      <c r="AF28" s="232">
        <f t="shared" si="16"/>
        <v>0.1184966832846857</v>
      </c>
      <c r="AG28" s="232">
        <f t="shared" si="16"/>
        <v>0.20064641099512312</v>
      </c>
      <c r="AH28" s="232">
        <f t="shared" si="16"/>
        <v>2.0733581929680025E-2</v>
      </c>
      <c r="AI28" s="232">
        <f t="shared" si="16"/>
        <v>0.42370514530518516</v>
      </c>
      <c r="AJ28" s="232">
        <f t="shared" si="16"/>
        <v>9.2205306796011733E-3</v>
      </c>
      <c r="AK28" s="232">
        <f t="shared" si="16"/>
        <v>0.51369906309566149</v>
      </c>
      <c r="AL28" s="232">
        <f t="shared" si="16"/>
        <v>0.48135069327922847</v>
      </c>
      <c r="AM28" s="232" t="e">
        <f t="shared" si="16"/>
        <v>#DIV/0!</v>
      </c>
      <c r="AN28" s="232">
        <f t="shared" si="16"/>
        <v>0.11074191458235538</v>
      </c>
      <c r="AO28" s="232">
        <f t="shared" si="16"/>
        <v>0.57244798876890457</v>
      </c>
      <c r="AP28" s="232" t="e">
        <f t="shared" si="16"/>
        <v>#DIV/0!</v>
      </c>
      <c r="AQ28" s="232">
        <f t="shared" si="16"/>
        <v>0.10234135136550269</v>
      </c>
      <c r="AR28" s="232">
        <f t="shared" si="16"/>
        <v>0.13787877233306903</v>
      </c>
      <c r="AS28" s="232">
        <f t="shared" si="16"/>
        <v>0.91271316397668123</v>
      </c>
      <c r="AT28" s="232">
        <f t="shared" si="16"/>
        <v>9.9900787047037906E-2</v>
      </c>
      <c r="AU28" s="232">
        <f t="shared" si="16"/>
        <v>1.6416508081393832E-2</v>
      </c>
      <c r="AV28" s="232">
        <f t="shared" si="16"/>
        <v>0.18725902945857895</v>
      </c>
      <c r="AW28" s="232">
        <f t="shared" si="16"/>
        <v>9.5918274113974914E-3</v>
      </c>
      <c r="AX28" s="232">
        <f t="shared" si="16"/>
        <v>3.1291791549304442E-2</v>
      </c>
      <c r="AY28" s="232">
        <f t="shared" si="16"/>
        <v>1.0663016021026084</v>
      </c>
      <c r="AZ28" s="232">
        <f t="shared" si="16"/>
        <v>0.70242848813864722</v>
      </c>
      <c r="BA28" s="232">
        <f t="shared" si="16"/>
        <v>7.0158147923425493E-2</v>
      </c>
      <c r="BB28" s="232">
        <f t="shared" si="16"/>
        <v>9.4472936208157083</v>
      </c>
      <c r="BC28" s="64"/>
    </row>
    <row r="29" spans="1:62" x14ac:dyDescent="0.25">
      <c r="B29" s="13" t="s">
        <v>486</v>
      </c>
      <c r="E29" s="232">
        <f>MAX(E8,E14,E19)</f>
        <v>202377.43712219561</v>
      </c>
      <c r="F29" s="232">
        <f t="shared" ref="F29:G29" si="17">MAX(F8,F14,F19)</f>
        <v>1198.1397161081572</v>
      </c>
      <c r="G29" s="232">
        <f t="shared" si="17"/>
        <v>364.23447369687983</v>
      </c>
      <c r="H29" s="232">
        <f t="shared" ref="H29:R29" si="18">MAX(H8,H14,H19)</f>
        <v>0</v>
      </c>
      <c r="I29" s="232">
        <f t="shared" si="18"/>
        <v>123.23722794255333</v>
      </c>
      <c r="J29" s="232">
        <f t="shared" si="18"/>
        <v>31.599289216039313</v>
      </c>
      <c r="K29" s="232">
        <f t="shared" si="18"/>
        <v>262.90608627744712</v>
      </c>
      <c r="L29" s="232">
        <f t="shared" si="18"/>
        <v>705.19080433794397</v>
      </c>
      <c r="M29" s="232" t="e">
        <f t="shared" si="18"/>
        <v>#DIV/0!</v>
      </c>
      <c r="N29" s="232">
        <f t="shared" si="18"/>
        <v>50.664193709716358</v>
      </c>
      <c r="O29" s="232">
        <f t="shared" si="18"/>
        <v>20.539537990425551</v>
      </c>
      <c r="P29" s="232">
        <f t="shared" si="18"/>
        <v>78.734895629964626</v>
      </c>
      <c r="Q29" s="232">
        <f t="shared" si="18"/>
        <v>564.15264347035509</v>
      </c>
      <c r="R29" s="232">
        <f t="shared" si="18"/>
        <v>603.42403895840539</v>
      </c>
      <c r="S29" s="232">
        <f t="shared" ref="S29:BB29" si="19">MAX(S8,S14,S19)</f>
        <v>0</v>
      </c>
      <c r="T29" s="232">
        <f t="shared" si="19"/>
        <v>0</v>
      </c>
      <c r="U29" s="232">
        <f t="shared" si="19"/>
        <v>0</v>
      </c>
      <c r="V29" s="232">
        <f t="shared" si="19"/>
        <v>0</v>
      </c>
      <c r="W29" s="232">
        <f t="shared" si="19"/>
        <v>0</v>
      </c>
      <c r="X29" s="232">
        <f t="shared" si="19"/>
        <v>5.5802159138021317</v>
      </c>
      <c r="Y29" s="232">
        <f t="shared" si="19"/>
        <v>1.5124438053225915</v>
      </c>
      <c r="Z29" s="232">
        <f t="shared" si="19"/>
        <v>3.0018534773006946</v>
      </c>
      <c r="AA29" s="232">
        <f t="shared" si="19"/>
        <v>5.1470588419425308E-3</v>
      </c>
      <c r="AB29" s="232">
        <f t="shared" si="19"/>
        <v>0.19565779033837466</v>
      </c>
      <c r="AC29" s="232">
        <f t="shared" si="19"/>
        <v>0.1283953905832155</v>
      </c>
      <c r="AD29" s="232">
        <f t="shared" si="19"/>
        <v>3.979643660545034E-2</v>
      </c>
      <c r="AE29" s="232">
        <f t="shared" si="19"/>
        <v>0.15776712552417158</v>
      </c>
      <c r="AF29" s="232">
        <f t="shared" si="19"/>
        <v>0.22411265008417053</v>
      </c>
      <c r="AG29" s="232">
        <f t="shared" si="19"/>
        <v>0.37948234204970532</v>
      </c>
      <c r="AH29" s="232">
        <f t="shared" si="19"/>
        <v>3.9213401280054107E-2</v>
      </c>
      <c r="AI29" s="232">
        <f t="shared" si="19"/>
        <v>0.8013530871620248</v>
      </c>
      <c r="AJ29" s="232">
        <f t="shared" si="19"/>
        <v>1.7438779791188297E-2</v>
      </c>
      <c r="AK29" s="232">
        <f t="shared" si="19"/>
        <v>0.97155848741804374</v>
      </c>
      <c r="AL29" s="232">
        <f t="shared" si="19"/>
        <v>0.91037805025722962</v>
      </c>
      <c r="AM29" s="232" t="e">
        <f t="shared" si="19"/>
        <v>#DIV/0!</v>
      </c>
      <c r="AN29" s="232">
        <f t="shared" si="19"/>
        <v>0.20944606434949925</v>
      </c>
      <c r="AO29" s="232">
        <f t="shared" si="19"/>
        <v>1.0826702675730759</v>
      </c>
      <c r="AP29" s="232" t="e">
        <f t="shared" si="19"/>
        <v>#DIV/0!</v>
      </c>
      <c r="AQ29" s="232">
        <f t="shared" si="19"/>
        <v>0.19355808814171477</v>
      </c>
      <c r="AR29" s="232">
        <f t="shared" si="19"/>
        <v>0.26076997432644283</v>
      </c>
      <c r="AS29" s="232">
        <f t="shared" si="19"/>
        <v>1.72621342872605</v>
      </c>
      <c r="AT29" s="232">
        <f t="shared" si="19"/>
        <v>0.18894225146215179</v>
      </c>
      <c r="AU29" s="232">
        <f t="shared" si="19"/>
        <v>3.1048524138100161E-2</v>
      </c>
      <c r="AV29" s="232">
        <f t="shared" si="19"/>
        <v>0.35416280169907205</v>
      </c>
      <c r="AW29" s="232">
        <f t="shared" si="19"/>
        <v>1.8141012902055616E-2</v>
      </c>
      <c r="AX29" s="232">
        <f t="shared" si="19"/>
        <v>5.9182131816700422E-2</v>
      </c>
      <c r="AY29" s="232">
        <f t="shared" si="19"/>
        <v>2.0166950771279231</v>
      </c>
      <c r="AZ29" s="232">
        <f t="shared" si="19"/>
        <v>1.3285022467098424</v>
      </c>
      <c r="BA29" s="232">
        <f t="shared" si="19"/>
        <v>0.13269002996768425</v>
      </c>
      <c r="BB29" s="232">
        <f t="shared" si="19"/>
        <v>17.867656298848644</v>
      </c>
      <c r="BC29" s="64"/>
    </row>
    <row r="30" spans="1:62" x14ac:dyDescent="0.25"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4"/>
      <c r="T30" s="234"/>
      <c r="U30" s="234"/>
      <c r="V30" s="234"/>
      <c r="W30" s="234"/>
      <c r="X30" s="232"/>
      <c r="Y30" s="232"/>
      <c r="Z30" s="232"/>
      <c r="AA30" s="232"/>
      <c r="AB30" s="232"/>
      <c r="AC30" s="232"/>
      <c r="AD30" s="232"/>
      <c r="AE30" s="232"/>
      <c r="AF30" s="232"/>
      <c r="AG30" s="232"/>
      <c r="AH30" s="232"/>
      <c r="AI30" s="232"/>
      <c r="AJ30" s="232"/>
      <c r="AK30" s="232"/>
      <c r="AL30" s="232"/>
      <c r="AM30" s="232"/>
      <c r="AN30" s="232"/>
      <c r="AO30" s="232"/>
      <c r="AP30" s="232"/>
      <c r="AQ30" s="232"/>
      <c r="AR30" s="232"/>
      <c r="AS30" s="232"/>
      <c r="AT30" s="232"/>
      <c r="AU30" s="232"/>
      <c r="AV30" s="232"/>
      <c r="AW30" s="232"/>
      <c r="AX30" s="232"/>
      <c r="AY30" s="232"/>
      <c r="AZ30" s="232"/>
      <c r="BA30" s="232"/>
      <c r="BB30" s="232"/>
      <c r="BC30" s="64"/>
    </row>
    <row r="31" spans="1:62" x14ac:dyDescent="0.25"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4"/>
      <c r="T31" s="234"/>
      <c r="U31" s="234"/>
      <c r="V31" s="234"/>
      <c r="W31" s="234"/>
      <c r="X31" s="232">
        <f>'DR2.3 Ilimaussaq'!W70</f>
        <v>19.664413884319128</v>
      </c>
      <c r="Y31" s="232">
        <f>'DR2.3 Ilimaussaq'!X70</f>
        <v>689.67805443456484</v>
      </c>
      <c r="Z31" s="232">
        <f>'DR2.3 Ilimaussaq'!Y70</f>
        <v>0.58804931412180594</v>
      </c>
      <c r="AA31" s="232">
        <f>'DR2.3 Ilimaussaq'!Z70</f>
        <v>3.6004236851796581</v>
      </c>
      <c r="AB31" s="232">
        <f>'DR2.3 Ilimaussaq'!AA70</f>
        <v>3.0026338662178751</v>
      </c>
      <c r="AC31" s="232">
        <f>'DR2.3 Ilimaussaq'!AB70</f>
        <v>1.688518086710213</v>
      </c>
      <c r="AD31" s="232">
        <f>'DR2.3 Ilimaussaq'!AC70</f>
        <v>1.7789032327890508</v>
      </c>
      <c r="AE31" s="232">
        <f>'DR2.3 Ilimaussaq'!AD70</f>
        <v>20.733945577208903</v>
      </c>
      <c r="AF31" s="232">
        <f>'DR2.3 Ilimaussaq'!AE70</f>
        <v>2.9450335112636363</v>
      </c>
      <c r="AG31" s="232">
        <f>'DR2.3 Ilimaussaq'!AF70</f>
        <v>26.117570022567055</v>
      </c>
      <c r="AH31" s="232">
        <f>'DR2.3 Ilimaussaq'!AG70</f>
        <v>0.52443912560057848</v>
      </c>
      <c r="AI31" s="232">
        <f>'DR2.3 Ilimaussaq'!AH70</f>
        <v>478.72215264320255</v>
      </c>
      <c r="AJ31" s="232">
        <f>'DR2.3 Ilimaussaq'!AI70</f>
        <v>1.4869237959004966</v>
      </c>
      <c r="AK31" s="232">
        <f>'DR2.3 Ilimaussaq'!AJ70</f>
        <v>197.74871866296894</v>
      </c>
      <c r="AL31" s="232">
        <f>'DR2.3 Ilimaussaq'!AK70</f>
        <v>206.06298561226521</v>
      </c>
      <c r="AM31" s="232" t="e">
        <f>'DR2.3 Ilimaussaq'!AL70</f>
        <v>#DIV/0!</v>
      </c>
      <c r="AN31" s="232">
        <f>'DR2.3 Ilimaussaq'!AM70</f>
        <v>7.8580727222964466</v>
      </c>
      <c r="AO31" s="232">
        <f>'DR2.3 Ilimaussaq'!AN70</f>
        <v>162.812463729283</v>
      </c>
      <c r="AP31" s="232">
        <f>'DR2.3 Ilimaussaq'!AO70</f>
        <v>0.88943610076148916</v>
      </c>
      <c r="AQ31" s="232">
        <f>'DR2.3 Ilimaussaq'!AP70</f>
        <v>21.542420464932949</v>
      </c>
      <c r="AR31" s="232" t="e">
        <f>'DR2.3 Ilimaussaq'!AQ70</f>
        <v>#DIV/0!</v>
      </c>
      <c r="AS31" s="232">
        <f>'DR2.3 Ilimaussaq'!AR70</f>
        <v>17.173596347690957</v>
      </c>
      <c r="AT31" s="232">
        <f>'DR2.3 Ilimaussaq'!AS70</f>
        <v>5.9149252230767093</v>
      </c>
      <c r="AU31" s="232">
        <f>'DR2.3 Ilimaussaq'!AT70</f>
        <v>3.2732999496271598</v>
      </c>
      <c r="AV31" s="232">
        <f>'DR2.3 Ilimaussaq'!AU70</f>
        <v>44.552050429130432</v>
      </c>
      <c r="AW31" s="232">
        <f>'DR2.3 Ilimaussaq'!AV70</f>
        <v>0.26221956280028924</v>
      </c>
      <c r="AX31" s="232">
        <f>'DR2.3 Ilimaussaq'!AW70</f>
        <v>29.002073204968241</v>
      </c>
      <c r="AY31" s="232" t="e">
        <f>'DR2.3 Ilimaussaq'!AX70</f>
        <v>#DIV/0!</v>
      </c>
      <c r="AZ31" s="232">
        <f>'DR2.3 Ilimaussaq'!AY70</f>
        <v>210.39756791496899</v>
      </c>
      <c r="BA31" s="232">
        <f>'DR2.3 Ilimaussaq'!AZ70</f>
        <v>8.9608926527314061</v>
      </c>
      <c r="BB31" s="232">
        <f>'DR2.3 Ilimaussaq'!BA70</f>
        <v>1495.1863869285862</v>
      </c>
      <c r="BC31" s="64"/>
      <c r="BD31" s="64"/>
      <c r="BE31" s="64"/>
      <c r="BF31" s="64"/>
      <c r="BG31" s="64"/>
      <c r="BH31" s="64"/>
      <c r="BI31" s="64"/>
      <c r="BJ31" s="64"/>
    </row>
    <row r="32" spans="1:62" x14ac:dyDescent="0.25">
      <c r="B32" s="13" t="s">
        <v>230</v>
      </c>
      <c r="C32" s="232">
        <f>'DR2.3 Ilimaussaq'!C70</f>
        <v>316597.14125816489</v>
      </c>
      <c r="D32" s="233">
        <f t="shared" si="0"/>
        <v>316.59714125816487</v>
      </c>
      <c r="E32" s="232">
        <f>'DR2.3 Ilimaussaq'!D70</f>
        <v>161014.38994330587</v>
      </c>
      <c r="F32" s="232">
        <f>'DR2.3 Ilimaussaq'!E70</f>
        <v>45879.685679948634</v>
      </c>
      <c r="G32" s="232">
        <f>'DR2.3 Ilimaussaq'!F70</f>
        <v>19178.973065143044</v>
      </c>
      <c r="H32" s="232">
        <f>'DR2.3 Ilimaussaq'!G70</f>
        <v>17261.494434331838</v>
      </c>
      <c r="I32" s="232">
        <f>'DR2.3 Ilimaussaq'!H70</f>
        <v>3858.3053219013755</v>
      </c>
      <c r="J32" s="232">
        <f>'DR2.3 Ilimaussaq'!I70</f>
        <v>395.67176349928366</v>
      </c>
      <c r="K32" s="232">
        <f>'DR2.3 Ilimaussaq'!J70</f>
        <v>36432.559648127259</v>
      </c>
      <c r="L32" s="232">
        <f>'DR2.3 Ilimaussaq'!K70</f>
        <v>11143.507884270148</v>
      </c>
      <c r="M32" s="232" t="e">
        <f>'DR2.3 Ilimaussaq'!L70</f>
        <v>#DIV/0!</v>
      </c>
      <c r="N32" s="232">
        <f>'DR2.3 Ilimaussaq'!M70</f>
        <v>832.46002639688072</v>
      </c>
      <c r="O32" s="232">
        <f>'DR2.3 Ilimaussaq'!N70</f>
        <v>1176.1365367427841</v>
      </c>
      <c r="P32" s="232">
        <f>'DR2.3 Ilimaussaq'!O70</f>
        <v>761.04525180365999</v>
      </c>
      <c r="Q32" s="232" t="e">
        <f>'DR2.3 Ilimaussaq'!P70</f>
        <v>#DIV/0!</v>
      </c>
      <c r="R32" s="232">
        <f>'DR2.3 Ilimaussaq'!Q70</f>
        <v>8142.4562672033489</v>
      </c>
      <c r="S32" s="232">
        <f>'DR2.3 Ilimaussaq'!R70</f>
        <v>597.31926984496761</v>
      </c>
      <c r="T32" s="232">
        <f>'DR2.3 Ilimaussaq'!S70</f>
        <v>256.8228609590916</v>
      </c>
      <c r="U32" s="232">
        <f>'DR2.3 Ilimaussaq'!T70</f>
        <v>286.87137444984728</v>
      </c>
      <c r="V32" s="232">
        <f>'DR2.3 Ilimaussaq'!U70</f>
        <v>2007.3048954437702</v>
      </c>
      <c r="W32" s="232">
        <f>'DR2.3 Ilimaussaq'!V70</f>
        <v>1339.5465295657027</v>
      </c>
      <c r="X32" s="232">
        <f>'DR2.3 Ilimaussaq'!W65</f>
        <v>6.428403779255131</v>
      </c>
      <c r="Y32" s="232">
        <f>'DR2.3 Ilimaussaq'!X65</f>
        <v>59.00414197732561</v>
      </c>
      <c r="Z32" s="232">
        <f>'DR2.3 Ilimaussaq'!Y65</f>
        <v>0.19010756477095678</v>
      </c>
      <c r="AA32" s="232">
        <f>'DR2.3 Ilimaussaq'!Z65</f>
        <v>0.20095115680912148</v>
      </c>
      <c r="AB32" s="232">
        <f>'DR2.3 Ilimaussaq'!AA65</f>
        <v>0.31152899754610741</v>
      </c>
      <c r="AC32" s="232">
        <f>'DR2.3 Ilimaussaq'!AB65</f>
        <v>0.26234020845987993</v>
      </c>
      <c r="AD32" s="232">
        <f>'DR2.3 Ilimaussaq'!AC65</f>
        <v>0.31820808051155636</v>
      </c>
      <c r="AE32" s="232">
        <f>'DR2.3 Ilimaussaq'!AD65</f>
        <v>1.7749431313325787</v>
      </c>
      <c r="AF32" s="232">
        <f>'DR2.3 Ilimaussaq'!AE65</f>
        <v>0.27873647148862246</v>
      </c>
      <c r="AG32" s="232">
        <f>'DR2.3 Ilimaussaq'!AF65</f>
        <v>11.242445783667181</v>
      </c>
      <c r="AH32" s="232">
        <f>'DR2.3 Ilimaussaq'!AG65</f>
        <v>6.5585052114969983E-2</v>
      </c>
      <c r="AI32" s="232">
        <f>'DR2.3 Ilimaussaq'!AH65</f>
        <v>31.389820945805582</v>
      </c>
      <c r="AJ32" s="232">
        <f>'DR2.3 Ilimaussaq'!AI65</f>
        <v>0.37619365964605356</v>
      </c>
      <c r="AK32" s="232">
        <f>'DR2.3 Ilimaussaq'!AJ65</f>
        <v>47.80307786314615</v>
      </c>
      <c r="AL32" s="232">
        <f>'DR2.3 Ilimaussaq'!AK65</f>
        <v>22.897638413043186</v>
      </c>
      <c r="AM32" s="232">
        <f>'DR2.3 Ilimaussaq'!AL65</f>
        <v>0</v>
      </c>
      <c r="AN32" s="232">
        <f>'DR2.3 Ilimaussaq'!AM65</f>
        <v>0.38377093245074684</v>
      </c>
      <c r="AO32" s="232">
        <f>'DR2.3 Ilimaussaq'!AN65</f>
        <v>18.793232866658915</v>
      </c>
      <c r="AP32" s="232">
        <f>'DR2.3 Ilimaussaq'!AO65</f>
        <v>0.20202699214233144</v>
      </c>
      <c r="AQ32" s="232">
        <f>'DR2.3 Ilimaussaq'!AP65</f>
        <v>4.4668113610879345</v>
      </c>
      <c r="AR32" s="232">
        <f>'DR2.3 Ilimaussaq'!AQ65</f>
        <v>0</v>
      </c>
      <c r="AS32" s="232">
        <f>'DR2.3 Ilimaussaq'!AR65</f>
        <v>5.3995301125061665</v>
      </c>
      <c r="AT32" s="232">
        <f>'DR2.3 Ilimaussaq'!AS65</f>
        <v>2.0513115269880999</v>
      </c>
      <c r="AU32" s="232">
        <f>'DR2.3 Ilimaussaq'!AT65</f>
        <v>0.81964309477350528</v>
      </c>
      <c r="AV32" s="232">
        <f>'DR2.3 Ilimaussaq'!AU65</f>
        <v>0.45847224122464547</v>
      </c>
      <c r="AW32" s="232">
        <f>'DR2.3 Ilimaussaq'!AV65</f>
        <v>3.2792526057484991E-2</v>
      </c>
      <c r="AX32" s="232">
        <f>'DR2.3 Ilimaussaq'!AW65</f>
        <v>0.83468177828309331</v>
      </c>
      <c r="AY32" s="232">
        <f>'DR2.3 Ilimaussaq'!AX65</f>
        <v>0</v>
      </c>
      <c r="AZ32" s="232">
        <f>'DR2.3 Ilimaussaq'!AY65</f>
        <v>32.463837058978264</v>
      </c>
      <c r="BA32" s="232">
        <f>'DR2.3 Ilimaussaq'!AZ65</f>
        <v>2.6519652747675284</v>
      </c>
      <c r="BB32" s="232">
        <f>'DR2.3 Ilimaussaq'!BA65</f>
        <v>580.53542227729554</v>
      </c>
      <c r="BC32" s="64"/>
      <c r="BD32" s="64"/>
      <c r="BE32" s="64"/>
      <c r="BF32" s="64"/>
      <c r="BG32" s="64"/>
      <c r="BH32" s="64"/>
      <c r="BI32" s="64"/>
      <c r="BJ32" s="64"/>
    </row>
    <row r="33" spans="1:62" x14ac:dyDescent="0.25">
      <c r="B33" s="13" t="s">
        <v>229</v>
      </c>
      <c r="C33" s="232">
        <f>'DR2.3 Ilimaussaq'!C65</f>
        <v>36436.140063872212</v>
      </c>
      <c r="D33" s="233">
        <f t="shared" si="0"/>
        <v>36.436140063872209</v>
      </c>
      <c r="E33" s="232">
        <f>'DR2.3 Ilimaussaq'!D65</f>
        <v>19117.095351872089</v>
      </c>
      <c r="F33" s="232">
        <f>'DR2.3 Ilimaussaq'!E65</f>
        <v>4520.3768447441789</v>
      </c>
      <c r="G33" s="232">
        <f>'DR2.3 Ilimaussaq'!F65</f>
        <v>2780.2232314337052</v>
      </c>
      <c r="H33" s="232">
        <f>'DR2.3 Ilimaussaq'!G65</f>
        <v>2057.0387234459695</v>
      </c>
      <c r="I33" s="232">
        <f>'DR2.3 Ilimaussaq'!H65</f>
        <v>930.50614495116861</v>
      </c>
      <c r="J33" s="232">
        <f>'DR2.3 Ilimaussaq'!I65</f>
        <v>103.29645708107773</v>
      </c>
      <c r="K33" s="232">
        <f>'DR2.3 Ilimaussaq'!J65</f>
        <v>3138.3176159814407</v>
      </c>
      <c r="L33" s="232">
        <f>'DR2.3 Ilimaussaq'!K65</f>
        <v>1386.9416715312957</v>
      </c>
      <c r="M33" s="232">
        <f>'DR2.3 Ilimaussaq'!L65</f>
        <v>0</v>
      </c>
      <c r="N33" s="232">
        <f>'DR2.3 Ilimaussaq'!M65</f>
        <v>96.264282048750374</v>
      </c>
      <c r="O33" s="232">
        <f>'DR2.3 Ilimaussaq'!N65</f>
        <v>124.90308813895395</v>
      </c>
      <c r="P33" s="232">
        <f>'DR2.3 Ilimaussaq'!O65</f>
        <v>13.044138142866251</v>
      </c>
      <c r="Q33" s="232">
        <f>'DR2.3 Ilimaussaq'!P65</f>
        <v>0</v>
      </c>
      <c r="R33" s="232">
        <f>'DR2.3 Ilimaussaq'!Q65</f>
        <v>944.53405887575923</v>
      </c>
      <c r="S33" s="232">
        <f>'DR2.3 Ilimaussaq'!R65</f>
        <v>129.56691406712957</v>
      </c>
      <c r="T33" s="232">
        <f>'DR2.3 Ilimaussaq'!S65</f>
        <v>29.768326432183592</v>
      </c>
      <c r="U33" s="232">
        <f>'DR2.3 Ilimaussaq'!T65</f>
        <v>3.1335080454930102</v>
      </c>
      <c r="V33" s="232">
        <f>'DR2.3 Ilimaussaq'!U65</f>
        <v>23.100512800494986</v>
      </c>
      <c r="W33" s="232">
        <f>'DR2.3 Ilimaussaq'!V65</f>
        <v>412.63928622335277</v>
      </c>
      <c r="X33" s="232">
        <f>'DR2.3 Ilimaussaq'!W67</f>
        <v>8.272059720489187</v>
      </c>
      <c r="Y33" s="232">
        <f>'DR2.3 Ilimaussaq'!X67</f>
        <v>574.69211176802321</v>
      </c>
      <c r="Z33" s="232">
        <f>'DR2.3 Ilimaussaq'!Y67</f>
        <v>0.15575571472239746</v>
      </c>
      <c r="AA33" s="232">
        <f>'DR2.3 Ilimaussaq'!Z67</f>
        <v>3.1934976038815286</v>
      </c>
      <c r="AB33" s="232">
        <f>'DR2.3 Ilimaussaq'!AA67</f>
        <v>2.4554304941526084</v>
      </c>
      <c r="AC33" s="232">
        <f>'DR2.3 Ilimaussaq'!AB67</f>
        <v>1.2277152470763042</v>
      </c>
      <c r="AD33" s="232">
        <f>'DR2.3 Ilimaussaq'!AC67</f>
        <v>1.1284432323453539</v>
      </c>
      <c r="AE33" s="232">
        <f>'DR2.3 Ilimaussaq'!AD67</f>
        <v>17.362476911157998</v>
      </c>
      <c r="AF33" s="232">
        <f>'DR2.3 Ilimaussaq'!AE67</f>
        <v>2.4554304941526084</v>
      </c>
      <c r="AG33" s="232">
        <f>'DR2.3 Ilimaussaq'!AF67</f>
        <v>5.6325176375648836</v>
      </c>
      <c r="AH33" s="232">
        <f>'DR2.3 Ilimaussaq'!AG67</f>
        <v>0.40923841569210134</v>
      </c>
      <c r="AI33" s="232">
        <f>'DR2.3 Ilimaussaq'!AH67</f>
        <v>417.86756236026292</v>
      </c>
      <c r="AJ33" s="232">
        <f>'DR2.3 Ilimaussaq'!AI67</f>
        <v>0.77722936578102342</v>
      </c>
      <c r="AK33" s="232">
        <f>'DR2.3 Ilimaussaq'!AJ67</f>
        <v>105.06989572236778</v>
      </c>
      <c r="AL33" s="232">
        <f>'DR2.3 Ilimaussaq'!AK67</f>
        <v>160.67318150079595</v>
      </c>
      <c r="AM33" s="232">
        <f>'DR2.3 Ilimaussaq'!AL67</f>
        <v>0</v>
      </c>
      <c r="AN33" s="232">
        <f>'DR2.3 Ilimaussaq'!AM67</f>
        <v>7.1839757682669925</v>
      </c>
      <c r="AO33" s="232">
        <f>'DR2.3 Ilimaussaq'!AN67</f>
        <v>126.80388723024991</v>
      </c>
      <c r="AP33" s="232">
        <f>'DR2.3 Ilimaussaq'!AO67</f>
        <v>3.0992187923184408E-2</v>
      </c>
      <c r="AQ33" s="232">
        <f>'DR2.3 Ilimaussaq'!AP67</f>
        <v>12.781740026991272</v>
      </c>
      <c r="AR33" s="232">
        <f>'DR2.3 Ilimaussaq'!AQ67</f>
        <v>0</v>
      </c>
      <c r="AS33" s="232">
        <f>'DR2.3 Ilimaussaq'!AR67</f>
        <v>7.5922064343604525</v>
      </c>
      <c r="AT33" s="232">
        <f>'DR2.3 Ilimaussaq'!AS67</f>
        <v>2.2726895982994741</v>
      </c>
      <c r="AU33" s="232">
        <f>'DR2.3 Ilimaussaq'!AT67</f>
        <v>1.6814851410622258</v>
      </c>
      <c r="AV33" s="232">
        <f>'DR2.3 Ilimaussaq'!AU67</f>
        <v>43.363801316605525</v>
      </c>
      <c r="AW33" s="232">
        <f>'DR2.3 Ilimaussaq'!AV67</f>
        <v>0.20461920784605067</v>
      </c>
      <c r="AX33" s="232">
        <f>'DR2.3 Ilimaussaq'!AW67</f>
        <v>27.3543782957099</v>
      </c>
      <c r="AY33" s="232">
        <f>'DR2.3 Ilimaussaq'!AX67</f>
        <v>0</v>
      </c>
      <c r="AZ33" s="232">
        <f>'DR2.3 Ilimaussaq'!AY67</f>
        <v>148.56935531087504</v>
      </c>
      <c r="BA33" s="232">
        <f>'DR2.3 Ilimaussaq'!AZ67</f>
        <v>3.9447205180113039</v>
      </c>
      <c r="BB33" s="232">
        <f>'DR2.3 Ilimaussaq'!BA67</f>
        <v>427.12955531445078</v>
      </c>
      <c r="BC33" s="64"/>
      <c r="BD33" s="64"/>
      <c r="BE33" s="64"/>
      <c r="BF33" s="64"/>
      <c r="BG33" s="64"/>
      <c r="BH33" s="64"/>
      <c r="BI33" s="64"/>
      <c r="BJ33" s="64"/>
    </row>
    <row r="34" spans="1:62" hidden="1" x14ac:dyDescent="0.25">
      <c r="B34" s="13" t="s">
        <v>228</v>
      </c>
      <c r="C34" s="232">
        <f>'DR2.3 Ilimaussaq'!C67</f>
        <v>170516.00653837557</v>
      </c>
      <c r="D34" s="233">
        <f t="shared" si="0"/>
        <v>170.51600653837556</v>
      </c>
      <c r="E34" s="232">
        <f>'DR2.3 Ilimaussaq'!D67</f>
        <v>87831.08980785188</v>
      </c>
      <c r="F34" s="232">
        <f>'DR2.3 Ilimaussaq'!E67</f>
        <v>22098.021867340784</v>
      </c>
      <c r="G34" s="232">
        <f>'DR2.3 Ilimaussaq'!F67</f>
        <v>10954.800840057938</v>
      </c>
      <c r="H34" s="232">
        <f>'DR2.3 Ilimaussaq'!G67</f>
        <v>11120.201366400164</v>
      </c>
      <c r="I34" s="232">
        <f>'DR2.3 Ilimaussaq'!H67</f>
        <v>844.90681239765104</v>
      </c>
      <c r="J34" s="232">
        <f>'DR2.3 Ilimaussaq'!I67</f>
        <v>132.14990506724109</v>
      </c>
      <c r="K34" s="232">
        <f>'DR2.3 Ilimaussaq'!J67</f>
        <v>19125.075293344205</v>
      </c>
      <c r="L34" s="232">
        <f>'DR2.3 Ilimaussaq'!K67</f>
        <v>5908.3796265547135</v>
      </c>
      <c r="M34" s="232" t="e">
        <f>'DR2.3 Ilimaussaq'!L67</f>
        <v>#DIV/0!</v>
      </c>
      <c r="N34" s="232">
        <f>'DR2.3 Ilimaussaq'!M67</f>
        <v>400.71261536518261</v>
      </c>
      <c r="O34" s="232">
        <f>'DR2.3 Ilimaussaq'!N67</f>
        <v>784.37363007652766</v>
      </c>
      <c r="P34" s="232">
        <f>'DR2.3 Ilimaussaq'!O67</f>
        <v>688.88466641503715</v>
      </c>
      <c r="Q34" s="232" t="e">
        <f>'DR2.3 Ilimaussaq'!P67</f>
        <v>#DIV/0!</v>
      </c>
      <c r="R34" s="232">
        <f>'DR2.3 Ilimaussaq'!Q67</f>
        <v>5457.3647892607096</v>
      </c>
      <c r="S34" s="232">
        <f>'DR2.3 Ilimaussaq'!R67</f>
        <v>230.19660882680702</v>
      </c>
      <c r="T34" s="232">
        <f>'DR2.3 Ilimaussaq'!S67</f>
        <v>114.24572438071164</v>
      </c>
      <c r="U34" s="232">
        <f>'DR2.3 Ilimaussaq'!T67</f>
        <v>215.7027482710451</v>
      </c>
      <c r="V34" s="232">
        <f>'DR2.3 Ilimaussaq'!U67</f>
        <v>46.039321765361407</v>
      </c>
      <c r="W34" s="232">
        <f>'DR2.3 Ilimaussaq'!V67</f>
        <v>483.41287853629478</v>
      </c>
      <c r="BC34" s="64"/>
      <c r="BD34" s="64"/>
      <c r="BE34" s="64"/>
      <c r="BF34" s="64"/>
      <c r="BG34" s="64"/>
      <c r="BH34" s="64"/>
      <c r="BI34" s="64"/>
      <c r="BJ34" s="64"/>
    </row>
    <row r="35" spans="1:62" hidden="1" x14ac:dyDescent="0.25"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X35" s="232">
        <f>'DR2.2 Illerfissalik'!S95</f>
        <v>4.8442533916108346</v>
      </c>
      <c r="Y35" s="232">
        <f>'DR2.2 Illerfissalik'!T95</f>
        <v>1.2453710223658732</v>
      </c>
      <c r="Z35" s="232" t="e">
        <f>'DR2.2 Illerfissalik'!U95</f>
        <v>#DIV/0!</v>
      </c>
      <c r="AA35" s="232" t="e">
        <f>'DR2.2 Illerfissalik'!V95</f>
        <v>#DIV/0!</v>
      </c>
      <c r="AB35" s="232" t="e">
        <f>'DR2.2 Illerfissalik'!W95</f>
        <v>#DIV/0!</v>
      </c>
      <c r="AC35" s="232" t="e">
        <f>'DR2.2 Illerfissalik'!X95</f>
        <v>#DIV/0!</v>
      </c>
      <c r="AD35" s="232" t="e">
        <f>'DR2.2 Illerfissalik'!Y95</f>
        <v>#DIV/0!</v>
      </c>
      <c r="AE35" s="232" t="e">
        <f>'DR2.2 Illerfissalik'!Z95</f>
        <v>#DIV/0!</v>
      </c>
      <c r="AF35" s="232" t="e">
        <f>'DR2.2 Illerfissalik'!AA95</f>
        <v>#DIV/0!</v>
      </c>
      <c r="AG35" s="232" t="e">
        <f>'DR2.2 Illerfissalik'!AB95</f>
        <v>#DIV/0!</v>
      </c>
      <c r="AH35" s="232" t="e">
        <f>'DR2.2 Illerfissalik'!AC95</f>
        <v>#DIV/0!</v>
      </c>
      <c r="AI35" s="232">
        <f>'DR2.2 Illerfissalik'!AD95</f>
        <v>0.52731138695480695</v>
      </c>
      <c r="AJ35" s="232" t="e">
        <f>'DR2.2 Illerfissalik'!AE95</f>
        <v>#DIV/0!</v>
      </c>
      <c r="AK35" s="232">
        <f>'DR2.2 Illerfissalik'!AF95</f>
        <v>0.46671795302299302</v>
      </c>
      <c r="AL35" s="232">
        <f>'DR2.2 Illerfissalik'!AG95</f>
        <v>0.58253777423248465</v>
      </c>
      <c r="AM35" s="232">
        <f>'DR2.2 Illerfissalik'!AH95</f>
        <v>4.9888033673097354E-2</v>
      </c>
      <c r="AN35" s="232" t="e">
        <f>'DR2.2 Illerfissalik'!AI95</f>
        <v>#DIV/0!</v>
      </c>
      <c r="AO35" s="232" t="e">
        <f>'DR2.2 Illerfissalik'!AJ95</f>
        <v>#DIV/0!</v>
      </c>
      <c r="AP35" s="232">
        <f>'DR2.2 Illerfissalik'!AK95</f>
        <v>0.1116532960622667</v>
      </c>
      <c r="AQ35" s="232">
        <f>'DR2.2 Illerfissalik'!AL95</f>
        <v>5.8923813101018574E-2</v>
      </c>
      <c r="AR35" s="232" t="e">
        <f>'DR2.2 Illerfissalik'!AM95</f>
        <v>#DIV/0!</v>
      </c>
      <c r="AS35" s="232">
        <f>'DR2.2 Illerfissalik'!AN95</f>
        <v>4.8254079007057271</v>
      </c>
      <c r="AT35" s="232" t="e">
        <f>'DR2.2 Illerfissalik'!AO95</f>
        <v>#DIV/0!</v>
      </c>
      <c r="AU35" s="232" t="e">
        <f>'DR2.2 Illerfissalik'!AP95</f>
        <v>#DIV/0!</v>
      </c>
      <c r="AV35" s="232">
        <f>'DR2.2 Illerfissalik'!AQ95</f>
        <v>0.14325352627936816</v>
      </c>
      <c r="AW35" s="232" t="e">
        <f>'DR2.2 Illerfissalik'!AR95</f>
        <v>#DIV/0!</v>
      </c>
      <c r="AX35" s="232">
        <f>'DR2.2 Illerfissalik'!AS95</f>
        <v>2.3964069579653913E-2</v>
      </c>
      <c r="AY35" s="232" t="e">
        <f>'DR2.2 Illerfissalik'!AT95</f>
        <v>#DIV/0!</v>
      </c>
      <c r="AZ35" s="232">
        <f>'DR2.2 Illerfissalik'!AU95</f>
        <v>0.39055504744398206</v>
      </c>
      <c r="BA35" s="232" t="e">
        <f>'DR2.2 Illerfissalik'!AV95</f>
        <v>#DIV/0!</v>
      </c>
      <c r="BB35" s="232">
        <f>'DR2.2 Illerfissalik'!AW95</f>
        <v>2.4848160355228117</v>
      </c>
      <c r="BC35" s="64"/>
      <c r="BD35" s="64"/>
      <c r="BE35" s="64"/>
      <c r="BF35" s="64"/>
      <c r="BG35" s="64"/>
      <c r="BH35" s="64"/>
      <c r="BI35" s="64"/>
      <c r="BJ35" s="64"/>
    </row>
    <row r="36" spans="1:62" hidden="1" x14ac:dyDescent="0.25">
      <c r="B36" s="13" t="s">
        <v>227</v>
      </c>
      <c r="E36" s="232">
        <f>'DR2.2 Illerfissalik'!E95</f>
        <v>3342.2359395821695</v>
      </c>
      <c r="F36" s="232">
        <f>'DR2.2 Illerfissalik'!F95</f>
        <v>920.42329405708006</v>
      </c>
      <c r="G36" s="232">
        <f>'DR2.2 Illerfissalik'!G95</f>
        <v>408.98538677965553</v>
      </c>
      <c r="H36" s="232"/>
      <c r="I36" s="232">
        <f>'DR2.2 Illerfissalik'!H95</f>
        <v>264.09278193946375</v>
      </c>
      <c r="J36" s="232">
        <f>'DR2.2 Illerfissalik'!I95</f>
        <v>78.790111738845553</v>
      </c>
      <c r="K36" s="232">
        <f>'DR2.2 Illerfissalik'!J95</f>
        <v>403.02220602003945</v>
      </c>
      <c r="L36" s="232">
        <f>'DR2.2 Illerfissalik'!K95</f>
        <v>163.4165280509369</v>
      </c>
      <c r="M36" s="232" t="e">
        <f>'DR2.2 Illerfissalik'!L95</f>
        <v>#DIV/0!</v>
      </c>
      <c r="N36" s="232">
        <f>'DR2.2 Illerfissalik'!M95</f>
        <v>43.264779553858716</v>
      </c>
      <c r="O36" s="232">
        <f>'DR2.2 Illerfissalik'!N95</f>
        <v>14.717637619494553</v>
      </c>
      <c r="P36" s="232">
        <f>'DR2.2 Illerfissalik'!O95</f>
        <v>20.109875540429812</v>
      </c>
      <c r="Q36" s="232">
        <f>'DR2.2 Illerfissalik'!P95</f>
        <v>28.356827654802146</v>
      </c>
      <c r="R36" s="232">
        <f>'DR2.2 Illerfissalik'!Q95</f>
        <v>72.651651051973204</v>
      </c>
      <c r="S36" s="232"/>
      <c r="T36" s="232"/>
      <c r="U36" s="232"/>
      <c r="V36" s="232"/>
      <c r="W36" s="232"/>
      <c r="X36" s="232">
        <f>'DR2.2 Illerfissalik'!S96</f>
        <v>0.43833206743062192</v>
      </c>
      <c r="Y36" s="232">
        <f>'DR2.2 Illerfissalik'!T96</f>
        <v>0.14234663492785593</v>
      </c>
      <c r="Z36" s="232">
        <f>'DR2.2 Illerfissalik'!U96</f>
        <v>2.1162552590294315E-2</v>
      </c>
      <c r="AA36" s="232">
        <f>'DR2.2 Illerfissalik'!V96</f>
        <v>1.9061718555013138E-4</v>
      </c>
      <c r="AB36" s="232">
        <f>'DR2.2 Illerfissalik'!W96</f>
        <v>7.2905053264423758E-3</v>
      </c>
      <c r="AC36" s="232">
        <f>'DR2.2 Illerfissalik'!X96</f>
        <v>3.8248761703026379E-3</v>
      </c>
      <c r="AD36" s="232">
        <f>'DR2.2 Illerfissalik'!Y96</f>
        <v>1.9062127337181323E-3</v>
      </c>
      <c r="AE36" s="232">
        <f>'DR2.2 Illerfissalik'!Z96</f>
        <v>6.6477203174777344E-3</v>
      </c>
      <c r="AF36" s="232">
        <f>'DR2.2 Illerfissalik'!AA96</f>
        <v>9.2242542730278654E-3</v>
      </c>
      <c r="AG36" s="232">
        <f>'DR2.2 Illerfissalik'!AB96</f>
        <v>4.9915310100259735E-3</v>
      </c>
      <c r="AH36" s="232">
        <f>'DR2.2 Illerfissalik'!AC96</f>
        <v>1.2708090831975993E-3</v>
      </c>
      <c r="AI36" s="232">
        <f>'DR2.2 Illerfissalik'!AD96</f>
        <v>7.6492546415530605E-2</v>
      </c>
      <c r="AJ36" s="232">
        <f>'DR2.2 Illerfissalik'!AE96</f>
        <v>4.4962752627175639E-4</v>
      </c>
      <c r="AK36" s="232">
        <f>'DR2.2 Illerfissalik'!AF96</f>
        <v>7.8741544176127221E-2</v>
      </c>
      <c r="AL36" s="232">
        <f>'DR2.2 Illerfissalik'!AG96</f>
        <v>6.6146512562656135E-2</v>
      </c>
      <c r="AM36" s="232">
        <f>'DR2.2 Illerfissalik'!AH96</f>
        <v>6.6332982152677022E-3</v>
      </c>
      <c r="AN36" s="232">
        <f>'DR2.2 Illerfissalik'!AI96</f>
        <v>1.766161144931222E-2</v>
      </c>
      <c r="AO36" s="232">
        <f>'DR2.2 Illerfissalik'!AJ96</f>
        <v>4.7030996587652751E-2</v>
      </c>
      <c r="AP36" s="232" t="e">
        <f>'DR2.2 Illerfissalik'!AK96</f>
        <v>#DIV/0!</v>
      </c>
      <c r="AQ36" s="232">
        <f>'DR2.2 Illerfissalik'!AL96</f>
        <v>1.1587104980121277E-2</v>
      </c>
      <c r="AR36" s="232">
        <f>'DR2.2 Illerfissalik'!AM96</f>
        <v>2.4040401329868399E-3</v>
      </c>
      <c r="AS36" s="232">
        <f>'DR2.2 Illerfissalik'!AN96</f>
        <v>0.17739317900232976</v>
      </c>
      <c r="AT36" s="232">
        <f>'DR2.2 Illerfissalik'!AO96</f>
        <v>2.7202392660867769E-3</v>
      </c>
      <c r="AU36" s="232">
        <f>'DR2.2 Illerfissalik'!AP96</f>
        <v>1.2140908358516111E-3</v>
      </c>
      <c r="AV36" s="232">
        <f>'DR2.2 Illerfissalik'!AQ96</f>
        <v>7.0685546535618204E-3</v>
      </c>
      <c r="AW36" s="232">
        <f>'DR2.2 Illerfissalik'!AR96</f>
        <v>5.0376175794607236E-4</v>
      </c>
      <c r="AX36" s="232">
        <f>'DR2.2 Illerfissalik'!AS96</f>
        <v>2.474480254123862E-3</v>
      </c>
      <c r="AY36" s="232">
        <f>'DR2.2 Illerfissalik'!AT96</f>
        <v>2.2295397134872719E-2</v>
      </c>
      <c r="AZ36" s="232">
        <f>'DR2.2 Illerfissalik'!AU96</f>
        <v>3.8010995599724318E-2</v>
      </c>
      <c r="BA36" s="232">
        <f>'DR2.2 Illerfissalik'!AV96</f>
        <v>3.4739793394605867E-3</v>
      </c>
      <c r="BB36" s="232">
        <f>'DR2.2 Illerfissalik'!AW96</f>
        <v>0.22092584150541228</v>
      </c>
      <c r="BC36" s="64"/>
      <c r="BD36" s="64"/>
      <c r="BE36" s="64"/>
      <c r="BF36" s="64"/>
      <c r="BG36" s="64"/>
      <c r="BH36" s="64"/>
      <c r="BI36" s="64"/>
      <c r="BJ36" s="64"/>
    </row>
    <row r="37" spans="1:62" hidden="1" x14ac:dyDescent="0.25">
      <c r="B37" s="13" t="s">
        <v>226</v>
      </c>
      <c r="E37" s="232">
        <f>'DR2.2 Illerfissalik'!E96</f>
        <v>1341.4292657987389</v>
      </c>
      <c r="F37" s="232">
        <f>'DR2.2 Illerfissalik'!F96</f>
        <v>38.299658981407902</v>
      </c>
      <c r="G37" s="232">
        <f>'DR2.2 Illerfissalik'!G96</f>
        <v>13.342306261414024</v>
      </c>
      <c r="H37" s="232"/>
      <c r="I37" s="232">
        <f>'DR2.2 Illerfissalik'!H96</f>
        <v>6.3505240655101716</v>
      </c>
      <c r="J37" s="232">
        <f>'DR2.2 Illerfissalik'!I96</f>
        <v>4.455391476679722</v>
      </c>
      <c r="K37" s="232">
        <f>'DR2.2 Illerfissalik'!J96</f>
        <v>9.2568713984229589</v>
      </c>
      <c r="L37" s="232">
        <f>'DR2.2 Illerfissalik'!K96</f>
        <v>27.181070430229738</v>
      </c>
      <c r="M37" s="232" t="e">
        <f>'DR2.2 Illerfissalik'!L96</f>
        <v>#DIV/0!</v>
      </c>
      <c r="N37" s="232">
        <f>'DR2.2 Illerfissalik'!M96</f>
        <v>1.3652592453539967</v>
      </c>
      <c r="O37" s="232">
        <f>'DR2.2 Illerfissalik'!N96</f>
        <v>1.358894400387328</v>
      </c>
      <c r="P37" s="232">
        <f>'DR2.2 Illerfissalik'!O96</f>
        <v>0.51714365354318659</v>
      </c>
      <c r="Q37" s="232">
        <f>'DR2.2 Illerfissalik'!P96</f>
        <v>4.5301784050382707</v>
      </c>
      <c r="R37" s="232">
        <f>'DR2.2 Illerfissalik'!Q96</f>
        <v>6.1526784694398202</v>
      </c>
      <c r="S37" s="232"/>
      <c r="T37" s="232"/>
      <c r="U37" s="232"/>
      <c r="V37" s="232"/>
      <c r="W37" s="232"/>
      <c r="X37" s="232">
        <f>'DR2.2 Illerfissalik'!S97</f>
        <v>3.933956591619614E-2</v>
      </c>
      <c r="Y37" s="232">
        <f>'DR2.2 Illerfissalik'!T97</f>
        <v>1.0662469641518069E-2</v>
      </c>
      <c r="Z37" s="232">
        <f>'DR2.2 Illerfissalik'!U97</f>
        <v>2.1162552590294315E-2</v>
      </c>
      <c r="AA37" s="232">
        <f>'DR2.2 Illerfissalik'!V97</f>
        <v>3.6285882789287034E-5</v>
      </c>
      <c r="AB37" s="232">
        <f>'DR2.2 Illerfissalik'!W97</f>
        <v>1.3793538922025894E-3</v>
      </c>
      <c r="AC37" s="232">
        <f>'DR2.2 Illerfissalik'!X97</f>
        <v>9.0516550061994772E-4</v>
      </c>
      <c r="AD37" s="232">
        <f>'DR2.2 Illerfissalik'!Y97</f>
        <v>2.8055805819225677E-4</v>
      </c>
      <c r="AE37" s="232">
        <f>'DR2.2 Illerfissalik'!Z97</f>
        <v>1.1122311985483913E-3</v>
      </c>
      <c r="AF37" s="232">
        <f>'DR2.2 Illerfissalik'!AA97</f>
        <v>1.5799557771291328E-3</v>
      </c>
      <c r="AG37" s="232">
        <f>'DR2.2 Illerfissalik'!AB97</f>
        <v>2.6752854799349524E-3</v>
      </c>
      <c r="AH37" s="232">
        <f>'DR2.2 Illerfissalik'!AC97</f>
        <v>2.7644775906239885E-4</v>
      </c>
      <c r="AI37" s="232">
        <f>'DR2.2 Illerfissalik'!AD97</f>
        <v>5.6494019374024873E-3</v>
      </c>
      <c r="AJ37" s="232">
        <f>'DR2.2 Illerfissalik'!AE97</f>
        <v>1.229404090613475E-4</v>
      </c>
      <c r="AK37" s="232">
        <f>'DR2.2 Illerfissalik'!AF97</f>
        <v>6.8493208412754303E-3</v>
      </c>
      <c r="AL37" s="232">
        <f>'DR2.2 Illerfissalik'!AG97</f>
        <v>6.418009243723044E-3</v>
      </c>
      <c r="AM37" s="232" t="e">
        <f>'DR2.2 Illerfissalik'!AH97</f>
        <v>#DIV/0!</v>
      </c>
      <c r="AN37" s="232">
        <f>'DR2.2 Illerfissalik'!AI97</f>
        <v>1.4765588610980707E-3</v>
      </c>
      <c r="AO37" s="232">
        <f>'DR2.2 Illerfissalik'!AJ97</f>
        <v>7.6326398502520876E-3</v>
      </c>
      <c r="AP37" s="232" t="e">
        <f>'DR2.2 Illerfissalik'!AK97</f>
        <v>#DIV/0!</v>
      </c>
      <c r="AQ37" s="232">
        <f>'DR2.2 Illerfissalik'!AL97</f>
        <v>1.3645513515400387E-3</v>
      </c>
      <c r="AR37" s="232">
        <f>'DR2.2 Illerfissalik'!AM97</f>
        <v>1.8383836311075819E-3</v>
      </c>
      <c r="AS37" s="232">
        <f>'DR2.2 Illerfissalik'!AN97</f>
        <v>1.2169508853022482E-2</v>
      </c>
      <c r="AT37" s="232">
        <f>'DR2.2 Illerfissalik'!AO97</f>
        <v>1.332010493960506E-3</v>
      </c>
      <c r="AU37" s="232">
        <f>'DR2.2 Illerfissalik'!AP97</f>
        <v>2.1888677441858281E-4</v>
      </c>
      <c r="AV37" s="232">
        <f>'DR2.2 Illerfissalik'!AQ97</f>
        <v>2.4967870594477248E-3</v>
      </c>
      <c r="AW37" s="232">
        <f>'DR2.2 Illerfissalik'!AR97</f>
        <v>1.2789103215196662E-4</v>
      </c>
      <c r="AX37" s="232">
        <f>'DR2.2 Illerfissalik'!AS97</f>
        <v>4.1722388732406274E-4</v>
      </c>
      <c r="AY37" s="232">
        <f>'DR2.2 Illerfissalik'!AT97</f>
        <v>1.4217354694701534E-2</v>
      </c>
      <c r="AZ37" s="232">
        <f>'DR2.2 Illerfissalik'!AU97</f>
        <v>9.3657131751819778E-3</v>
      </c>
      <c r="BA37" s="232">
        <f>'DR2.2 Illerfissalik'!AV97</f>
        <v>9.3544197231235082E-4</v>
      </c>
      <c r="BB37" s="232">
        <f>'DR2.2 Illerfissalik'!AW97</f>
        <v>0.125963914944208</v>
      </c>
      <c r="BC37" s="64"/>
      <c r="BD37" s="64"/>
      <c r="BE37" s="64"/>
      <c r="BF37" s="64"/>
      <c r="BG37" s="64"/>
      <c r="BH37" s="64"/>
      <c r="BI37" s="64"/>
      <c r="BJ37" s="64"/>
    </row>
    <row r="38" spans="1:62" x14ac:dyDescent="0.25">
      <c r="B38" s="13" t="s">
        <v>225</v>
      </c>
      <c r="E38" s="232">
        <f>'DR2.2 Illerfissalik'!E97</f>
        <v>1426.7262504892715</v>
      </c>
      <c r="F38" s="232">
        <f>'DR2.2 Illerfissalik'!F97</f>
        <v>8.4466796745385864</v>
      </c>
      <c r="G38" s="232">
        <f>'DR2.2 Illerfissalik'!G97</f>
        <v>2.5677906210597712</v>
      </c>
      <c r="H38" s="232"/>
      <c r="I38" s="232">
        <f>'DR2.2 Illerfissalik'!H97</f>
        <v>0.86880133795254721</v>
      </c>
      <c r="J38" s="232">
        <f>'DR2.2 Illerfissalik'!I97</f>
        <v>0.2227695738339861</v>
      </c>
      <c r="K38" s="232">
        <f>'DR2.2 Illerfissalik'!J97</f>
        <v>1.8534428542987484</v>
      </c>
      <c r="L38" s="232">
        <f>'DR2.2 Illerfissalik'!K97</f>
        <v>4.9714743227284544</v>
      </c>
      <c r="M38" s="232" t="e">
        <f>'DR2.2 Illerfissalik'!L97</f>
        <v>#DIV/0!</v>
      </c>
      <c r="N38" s="232">
        <f>'DR2.2 Illerfissalik'!M97</f>
        <v>0.35717388338049005</v>
      </c>
      <c r="O38" s="232">
        <f>'DR2.2 Illerfissalik'!N97</f>
        <v>0.14480022299209061</v>
      </c>
      <c r="P38" s="232">
        <f>'DR2.2 Illerfissalik'!O97</f>
        <v>0.55506752146968097</v>
      </c>
      <c r="Q38" s="232">
        <f>'DR2.2 Illerfissalik'!P97</f>
        <v>3.9771794581827749</v>
      </c>
      <c r="R38" s="232">
        <f>'DR2.2 Illerfissalik'!Q97</f>
        <v>4.2540360664731338</v>
      </c>
      <c r="S38" s="232"/>
      <c r="T38" s="232"/>
      <c r="U38" s="232"/>
      <c r="V38" s="232"/>
      <c r="W38" s="232"/>
      <c r="BC38" s="64"/>
    </row>
    <row r="40" spans="1:62" ht="15" customHeight="1" x14ac:dyDescent="0.35">
      <c r="B40" s="13" t="s">
        <v>224</v>
      </c>
      <c r="C40" s="10" t="s">
        <v>223</v>
      </c>
      <c r="D40" s="10" t="s">
        <v>222</v>
      </c>
      <c r="E40" s="10" t="s">
        <v>221</v>
      </c>
      <c r="F40" s="10" t="s">
        <v>105</v>
      </c>
      <c r="G40" s="10" t="s">
        <v>94</v>
      </c>
      <c r="H40" s="10" t="s">
        <v>85</v>
      </c>
      <c r="I40" s="10" t="s">
        <v>99</v>
      </c>
      <c r="J40" s="10" t="s">
        <v>97</v>
      </c>
      <c r="K40" s="10" t="s">
        <v>220</v>
      </c>
      <c r="L40" s="10" t="s">
        <v>102</v>
      </c>
      <c r="M40" s="10" t="s">
        <v>113</v>
      </c>
      <c r="N40" s="10" t="s">
        <v>92</v>
      </c>
      <c r="O40" s="10" t="s">
        <v>89</v>
      </c>
      <c r="P40" s="10" t="s">
        <v>39</v>
      </c>
      <c r="Q40" s="10" t="s">
        <v>91</v>
      </c>
      <c r="R40" s="10" t="s">
        <v>106</v>
      </c>
      <c r="S40" s="10" t="s">
        <v>87</v>
      </c>
      <c r="T40" s="10" t="s">
        <v>111</v>
      </c>
      <c r="U40" s="10" t="s">
        <v>93</v>
      </c>
      <c r="V40" s="10" t="s">
        <v>88</v>
      </c>
      <c r="W40" s="10" t="s">
        <v>108</v>
      </c>
      <c r="X40" s="10" t="s">
        <v>112</v>
      </c>
      <c r="Y40" s="10" t="s">
        <v>95</v>
      </c>
    </row>
    <row r="41" spans="1:62" x14ac:dyDescent="0.25">
      <c r="A41" s="251"/>
      <c r="B41" t="s">
        <v>216</v>
      </c>
      <c r="C41" s="8">
        <f>AV21</f>
        <v>17.906690784921079</v>
      </c>
      <c r="D41" s="8">
        <f>AX21</f>
        <v>2.995508697456708</v>
      </c>
      <c r="E41" s="8">
        <f>AK21</f>
        <v>58.339744127874077</v>
      </c>
      <c r="F41" s="8" t="e">
        <f>AT21</f>
        <v>#DIV/0!</v>
      </c>
      <c r="G41" s="8">
        <f>AI21</f>
        <v>65.913923369350314</v>
      </c>
      <c r="H41" s="8">
        <f>Y21</f>
        <v>155.67137779573278</v>
      </c>
      <c r="I41" s="8" t="e">
        <f>AN21</f>
        <v>#DIV/0!</v>
      </c>
      <c r="J41" s="8">
        <f>AL21</f>
        <v>72.817221779060191</v>
      </c>
      <c r="L41" s="8">
        <f>AQ21</f>
        <v>7.3654766376272507</v>
      </c>
      <c r="M41" s="8">
        <f>BB21</f>
        <v>310.60200444035064</v>
      </c>
      <c r="N41" s="8" t="e">
        <f>AG21</f>
        <v>#DIV/0!</v>
      </c>
      <c r="O41" s="8" t="e">
        <f>AD21</f>
        <v>#DIV/0!</v>
      </c>
      <c r="P41" s="8">
        <f>N21</f>
        <v>5408.0974442323368</v>
      </c>
      <c r="Q41" s="8" t="e">
        <f>AF21</f>
        <v>#DIV/0!</v>
      </c>
      <c r="R41" s="8" t="e">
        <f>AU21</f>
        <v>#DIV/0!</v>
      </c>
      <c r="S41" s="8" t="e">
        <f>AB21</f>
        <v>#DIV/0!</v>
      </c>
      <c r="T41" s="8">
        <f>AZ21</f>
        <v>48.819380930498191</v>
      </c>
      <c r="U41" s="8" t="e">
        <f>AH21</f>
        <v>#DIV/0!</v>
      </c>
      <c r="V41" s="8" t="e">
        <f>AC21</f>
        <v>#DIV/0!</v>
      </c>
      <c r="W41" s="8" t="e">
        <f>AW21</f>
        <v>#DIV/0!</v>
      </c>
    </row>
    <row r="42" spans="1:62" ht="15" customHeight="1" x14ac:dyDescent="0.25">
      <c r="A42" s="251"/>
      <c r="B42" t="s">
        <v>215</v>
      </c>
      <c r="C42" s="8">
        <f>AV24</f>
        <v>0.77406251751734068</v>
      </c>
      <c r="D42" s="8">
        <f>AX24</f>
        <v>0.27097511569623145</v>
      </c>
      <c r="E42" s="8">
        <f>AK24</f>
        <v>8.6228204923706997</v>
      </c>
      <c r="F42" s="8">
        <f>AT24</f>
        <v>0.29788766696394503</v>
      </c>
      <c r="G42" s="8">
        <f>AI24</f>
        <v>8.376537489157279</v>
      </c>
      <c r="H42" s="8">
        <f>Y24</f>
        <v>15.588079882335668</v>
      </c>
      <c r="I42" s="8">
        <f>AN24</f>
        <v>1.9340858339376237</v>
      </c>
      <c r="J42" s="8">
        <f>AL24</f>
        <v>7.243565134414311</v>
      </c>
      <c r="L42" s="8">
        <f>AQ24</f>
        <v>1.2688794373445196</v>
      </c>
      <c r="M42" s="8">
        <f>BB24</f>
        <v>24.1931231265423</v>
      </c>
      <c r="N42" s="8">
        <f>AG24</f>
        <v>0.54661203729105134</v>
      </c>
      <c r="O42" s="8">
        <f>AD24</f>
        <v>0.20874533761183434</v>
      </c>
      <c r="P42" s="8">
        <f>N24</f>
        <v>149.50666159029032</v>
      </c>
      <c r="Q42" s="8">
        <f>AF24</f>
        <v>1.0101286379956149</v>
      </c>
      <c r="R42" s="8">
        <f>AU24</f>
        <v>0.13295252777319602</v>
      </c>
      <c r="S42" s="8">
        <f>AB24</f>
        <v>0.79836786776713042</v>
      </c>
      <c r="T42" s="8">
        <f>AZ24</f>
        <v>4.1625039897564919</v>
      </c>
      <c r="U42" s="8">
        <f>AH24</f>
        <v>0.13916362346129324</v>
      </c>
      <c r="V42" s="8">
        <f>AC24</f>
        <v>0.41885412544481748</v>
      </c>
      <c r="W42" s="8">
        <f>AW24</f>
        <v>5.5165888034579703E-2</v>
      </c>
      <c r="X42" s="8">
        <f>BA24</f>
        <v>0.38042815329312973</v>
      </c>
      <c r="Y42" s="8">
        <f>AJ24</f>
        <v>4.9237762454823183E-2</v>
      </c>
    </row>
    <row r="43" spans="1:62" ht="15" hidden="1" customHeight="1" x14ac:dyDescent="0.25">
      <c r="A43" s="251"/>
      <c r="B43" t="s">
        <v>214</v>
      </c>
      <c r="C43" s="8">
        <f>AV5</f>
        <v>1.3817811719113056</v>
      </c>
      <c r="D43" s="8">
        <f>AX5</f>
        <v>0.48371843934059539</v>
      </c>
      <c r="E43" s="8">
        <f>AK5</f>
        <v>15.392621055135759</v>
      </c>
      <c r="F43" s="8">
        <f>AT5</f>
        <v>0.53176011012074831</v>
      </c>
      <c r="G43" s="8">
        <f>AI5</f>
        <v>14.952980575070203</v>
      </c>
      <c r="H43" s="8">
        <f>Y5</f>
        <v>27.826325135525376</v>
      </c>
      <c r="I43" s="8">
        <f>AN5</f>
        <v>3.4525420488862713</v>
      </c>
      <c r="J43" s="8">
        <f>AL5</f>
        <v>12.930508445685925</v>
      </c>
      <c r="L43" s="8">
        <f>AQ5</f>
        <v>2.26508024386905</v>
      </c>
      <c r="M43" s="8">
        <f>BB5</f>
        <v>43.187211975083443</v>
      </c>
      <c r="N43" s="8">
        <f>AG5</f>
        <v>0.97575868147101563</v>
      </c>
      <c r="O43" s="8">
        <f>AD5</f>
        <v>0.37263188787569729</v>
      </c>
      <c r="P43" s="8">
        <f>N5</f>
        <v>266.88476109573469</v>
      </c>
      <c r="Q43" s="8">
        <f>AF5</f>
        <v>1.8031834659394725</v>
      </c>
      <c r="R43" s="8">
        <f>AU5</f>
        <v>0.2373339303706844</v>
      </c>
      <c r="S43" s="8">
        <f>AB5</f>
        <v>1.4251687208389889</v>
      </c>
      <c r="T43" s="8">
        <f>AZ5</f>
        <v>7.4304975514104541</v>
      </c>
      <c r="U43" s="8">
        <f>AH5</f>
        <v>0.24842137471081158</v>
      </c>
      <c r="V43" s="8">
        <f>AC5</f>
        <v>0.74769767456678238</v>
      </c>
      <c r="W43" s="8">
        <f>AW5</f>
        <v>9.8476781516864731E-2</v>
      </c>
      <c r="X43" s="8">
        <f>BA6</f>
        <v>0.14481442196232489</v>
      </c>
      <c r="Y43" s="8">
        <f>AJ6</f>
        <v>1.8742929635702781E-2</v>
      </c>
    </row>
    <row r="44" spans="1:62" hidden="1" x14ac:dyDescent="0.25">
      <c r="A44" s="251"/>
      <c r="B44" t="s">
        <v>213</v>
      </c>
      <c r="C44" s="8">
        <f>AV6</f>
        <v>0.29465594243390086</v>
      </c>
      <c r="D44" s="8">
        <f>AX6</f>
        <v>0.10314984421115536</v>
      </c>
      <c r="E44" s="8">
        <f>AK6</f>
        <v>3.2823773805336387</v>
      </c>
      <c r="F44" s="8">
        <f>AT6</f>
        <v>0.11339442133203524</v>
      </c>
      <c r="G44" s="8">
        <f>AI6</f>
        <v>3.1886268774734305</v>
      </c>
      <c r="H44" s="8">
        <f>Y6</f>
        <v>5.9337847583630756</v>
      </c>
      <c r="I44" s="8">
        <f>AN6</f>
        <v>0.73623237303204114</v>
      </c>
      <c r="J44" s="8">
        <f>AL6</f>
        <v>2.7573477115359495</v>
      </c>
      <c r="L44" s="8">
        <f>AQ6</f>
        <v>0.48301378504271997</v>
      </c>
      <c r="M44" s="8">
        <f>BB6</f>
        <v>9.209395021650856</v>
      </c>
      <c r="N44" s="8">
        <f>AG6</f>
        <v>0.20807425931213774</v>
      </c>
      <c r="O44" s="8">
        <f>AD6</f>
        <v>7.9461352010653269E-2</v>
      </c>
      <c r="P44" s="8">
        <f>N6</f>
        <v>56.911457762255509</v>
      </c>
      <c r="Q44" s="8">
        <f>AF6</f>
        <v>0.38451726969379174</v>
      </c>
      <c r="R44" s="8">
        <f>AU6</f>
        <v>5.060993328501124E-2</v>
      </c>
      <c r="S44" s="8">
        <f>AB6</f>
        <v>0.30390805802142179</v>
      </c>
      <c r="T44" s="8">
        <f>AZ6</f>
        <v>1.5845057837451682</v>
      </c>
      <c r="U44" s="8">
        <f>AH6</f>
        <v>5.2974259437107124E-2</v>
      </c>
      <c r="V44" s="8">
        <f>AC6</f>
        <v>0.15944171728029088</v>
      </c>
      <c r="W44" s="8">
        <f>AW6</f>
        <v>2.0999539909472488E-2</v>
      </c>
      <c r="X44" s="8">
        <f>BA23</f>
        <v>0</v>
      </c>
      <c r="Y44" s="8">
        <f>AJ23</f>
        <v>0</v>
      </c>
    </row>
    <row r="45" spans="1:62" ht="15" hidden="1" customHeight="1" x14ac:dyDescent="0.25">
      <c r="A45" s="251"/>
      <c r="B45" t="s">
        <v>212</v>
      </c>
      <c r="C45" s="8">
        <f t="shared" ref="C45:J45" si="20">C41+C42</f>
        <v>18.680753302438418</v>
      </c>
      <c r="D45" s="8">
        <f t="shared" si="20"/>
        <v>3.2664838131529397</v>
      </c>
      <c r="E45" s="8">
        <f t="shared" si="20"/>
        <v>66.962564620244777</v>
      </c>
      <c r="F45" s="8" t="e">
        <f t="shared" si="20"/>
        <v>#DIV/0!</v>
      </c>
      <c r="G45" s="8">
        <f t="shared" si="20"/>
        <v>74.290460858507601</v>
      </c>
      <c r="H45" s="8">
        <f t="shared" si="20"/>
        <v>171.25945767806846</v>
      </c>
      <c r="I45" s="8" t="e">
        <f t="shared" si="20"/>
        <v>#DIV/0!</v>
      </c>
      <c r="J45" s="8">
        <f t="shared" si="20"/>
        <v>80.060786913474502</v>
      </c>
      <c r="L45" s="8">
        <f t="shared" ref="L45:W45" si="21">L41+L42</f>
        <v>8.6343560749717696</v>
      </c>
      <c r="M45" s="8">
        <f t="shared" si="21"/>
        <v>334.79512756689292</v>
      </c>
      <c r="N45" s="8" t="e">
        <f t="shared" si="21"/>
        <v>#DIV/0!</v>
      </c>
      <c r="O45" s="8" t="e">
        <f t="shared" si="21"/>
        <v>#DIV/0!</v>
      </c>
      <c r="P45" s="8">
        <f t="shared" si="21"/>
        <v>5557.6041058226274</v>
      </c>
      <c r="Q45" s="8" t="e">
        <f t="shared" si="21"/>
        <v>#DIV/0!</v>
      </c>
      <c r="R45" s="8" t="e">
        <f t="shared" si="21"/>
        <v>#DIV/0!</v>
      </c>
      <c r="S45" s="8" t="e">
        <f t="shared" si="21"/>
        <v>#DIV/0!</v>
      </c>
      <c r="T45" s="8">
        <f t="shared" si="21"/>
        <v>52.981884920254686</v>
      </c>
      <c r="U45" s="8" t="e">
        <f t="shared" si="21"/>
        <v>#DIV/0!</v>
      </c>
      <c r="V45" s="8" t="e">
        <f t="shared" si="21"/>
        <v>#DIV/0!</v>
      </c>
      <c r="W45" s="8" t="e">
        <f t="shared" si="21"/>
        <v>#DIV/0!</v>
      </c>
      <c r="X45" s="8">
        <f>X42+X43</f>
        <v>0.52524257525545459</v>
      </c>
      <c r="Y45" s="8">
        <f>Y42+Y43</f>
        <v>6.7980692090525957E-2</v>
      </c>
    </row>
    <row r="46" spans="1:62" ht="15" customHeight="1" x14ac:dyDescent="0.25">
      <c r="A46" s="251"/>
      <c r="B46" t="s">
        <v>529</v>
      </c>
      <c r="C46" s="8">
        <f>AV25</f>
        <v>0.29465594243390086</v>
      </c>
      <c r="D46" s="8">
        <f>AX25</f>
        <v>0.10314984421115536</v>
      </c>
      <c r="E46" s="8">
        <f>AK25</f>
        <v>3.2823773805336387</v>
      </c>
      <c r="F46" s="8">
        <f>AT25</f>
        <v>0.11339442133203524</v>
      </c>
      <c r="G46" s="8">
        <f>AI25</f>
        <v>3.1886268774734305</v>
      </c>
      <c r="H46" s="8">
        <f>Y25</f>
        <v>5.9337847583630756</v>
      </c>
      <c r="I46" s="8">
        <f>AN25</f>
        <v>0.73623237303204114</v>
      </c>
      <c r="J46" s="8">
        <f>AL25</f>
        <v>2.7573477115359495</v>
      </c>
      <c r="L46" s="8">
        <f>AQ25</f>
        <v>0.48301378504271997</v>
      </c>
      <c r="M46" s="8">
        <f>BB25</f>
        <v>9.209395021650856</v>
      </c>
      <c r="N46" s="8">
        <f>AG25</f>
        <v>0.20807425931213774</v>
      </c>
      <c r="O46" s="8">
        <f>AD25</f>
        <v>7.9461352010653269E-2</v>
      </c>
      <c r="P46" s="8">
        <f>N25</f>
        <v>56.911457762255509</v>
      </c>
      <c r="Q46" s="8">
        <f>AF25</f>
        <v>0.38451726969379174</v>
      </c>
      <c r="R46" s="8">
        <f>AU25</f>
        <v>5.060993328501124E-2</v>
      </c>
      <c r="S46" s="8">
        <f>AB25</f>
        <v>0.30390805802142179</v>
      </c>
      <c r="T46" s="8">
        <f>AZ25</f>
        <v>1.5845057837451682</v>
      </c>
      <c r="U46" s="8">
        <f>AH25</f>
        <v>5.2974259437107124E-2</v>
      </c>
      <c r="V46" s="8">
        <f>AC25</f>
        <v>0.15944171728029088</v>
      </c>
      <c r="W46" s="8">
        <f>AW25</f>
        <v>2.0999539909472488E-2</v>
      </c>
      <c r="X46" s="8">
        <f>BA25</f>
        <v>0.14481442196232489</v>
      </c>
      <c r="Y46" s="8">
        <f>AJ25</f>
        <v>1.8742929635702781E-2</v>
      </c>
    </row>
    <row r="47" spans="1:62" ht="15" customHeight="1" x14ac:dyDescent="0.25">
      <c r="A47" s="251"/>
      <c r="B47" s="87" t="s">
        <v>530</v>
      </c>
      <c r="C47" s="8">
        <f>AV26</f>
        <v>1.8859011659780616</v>
      </c>
      <c r="D47" s="8">
        <f>AX26</f>
        <v>0.66019510708463525</v>
      </c>
      <c r="E47" s="8">
        <f>AK26</f>
        <v>21.008364121205666</v>
      </c>
      <c r="F47" s="8">
        <f>AT26</f>
        <v>0.72576398642788353</v>
      </c>
      <c r="G47" s="8">
        <f>AI26</f>
        <v>20.40832808741029</v>
      </c>
      <c r="H47" s="8">
        <f>Y26</f>
        <v>37.978299375279384</v>
      </c>
      <c r="I47" s="8">
        <f>AN26</f>
        <v>4.7121448807820681</v>
      </c>
      <c r="J47" s="8">
        <f>AL26</f>
        <v>17.64799047064562</v>
      </c>
      <c r="L47" s="8">
        <f>AQ26</f>
        <v>3.0914572870013814</v>
      </c>
      <c r="M47" s="8">
        <f>BB26</f>
        <v>58.943351577509787</v>
      </c>
      <c r="N47" s="8">
        <f>AG26</f>
        <v>1.3317480889930111</v>
      </c>
      <c r="O47" s="8">
        <f>AD26</f>
        <v>0.5085804656415539</v>
      </c>
      <c r="P47" s="8">
        <f>N26</f>
        <v>364.25324961985348</v>
      </c>
      <c r="Q47" s="8">
        <f>AF26</f>
        <v>2.4610451133762408</v>
      </c>
      <c r="R47" s="8">
        <f>AU26</f>
        <v>0.32392128732881575</v>
      </c>
      <c r="S47" s="8">
        <f>AB26</f>
        <v>1.9451179441300368</v>
      </c>
      <c r="T47" s="8">
        <f>AZ26</f>
        <v>10.141391618919521</v>
      </c>
      <c r="U47" s="8">
        <f>AH26</f>
        <v>0.33905380225506843</v>
      </c>
      <c r="V47" s="8">
        <f>AC26</f>
        <v>1.0204827978037403</v>
      </c>
      <c r="W47" s="8">
        <f>AW26</f>
        <v>0.13440440560319267</v>
      </c>
      <c r="X47" s="8">
        <f>BA26</f>
        <v>0.92686298797606081</v>
      </c>
      <c r="Y47" s="8">
        <f>AJ26</f>
        <v>0.11996131000054742</v>
      </c>
    </row>
    <row r="48" spans="1:62" hidden="1" x14ac:dyDescent="0.25">
      <c r="A48" s="251"/>
      <c r="B48" t="s">
        <v>211</v>
      </c>
      <c r="C48" s="8">
        <f t="shared" ref="C48:J48" si="22">C43+C44</f>
        <v>1.6764371143452064</v>
      </c>
      <c r="D48" s="8">
        <f t="shared" si="22"/>
        <v>0.58686828355175069</v>
      </c>
      <c r="E48" s="8">
        <f t="shared" si="22"/>
        <v>18.674998435669398</v>
      </c>
      <c r="F48" s="8">
        <f t="shared" si="22"/>
        <v>0.64515453145278356</v>
      </c>
      <c r="G48" s="8">
        <f t="shared" si="22"/>
        <v>18.141607452543635</v>
      </c>
      <c r="H48" s="8">
        <f t="shared" si="22"/>
        <v>33.760109893888455</v>
      </c>
      <c r="I48" s="8">
        <f t="shared" si="22"/>
        <v>4.1887744219183123</v>
      </c>
      <c r="J48" s="8">
        <f t="shared" si="22"/>
        <v>15.687856157221875</v>
      </c>
      <c r="L48" s="8">
        <f t="shared" ref="L48:W48" si="23">L43+L44</f>
        <v>2.7480940289117699</v>
      </c>
      <c r="M48" s="8">
        <f t="shared" si="23"/>
        <v>52.396606996734299</v>
      </c>
      <c r="N48" s="8">
        <f t="shared" si="23"/>
        <v>1.1838329407831534</v>
      </c>
      <c r="O48" s="8">
        <f t="shared" si="23"/>
        <v>0.45209323988635053</v>
      </c>
      <c r="P48" s="8">
        <f t="shared" si="23"/>
        <v>323.7962188579902</v>
      </c>
      <c r="Q48" s="8">
        <f t="shared" si="23"/>
        <v>2.1877007356332641</v>
      </c>
      <c r="R48" s="8">
        <f t="shared" si="23"/>
        <v>0.28794386365569563</v>
      </c>
      <c r="S48" s="8">
        <f t="shared" si="23"/>
        <v>1.7290767788604107</v>
      </c>
      <c r="T48" s="8">
        <f t="shared" si="23"/>
        <v>9.0150033351556225</v>
      </c>
      <c r="U48" s="8">
        <f t="shared" si="23"/>
        <v>0.3013956341479187</v>
      </c>
      <c r="V48" s="8">
        <f t="shared" si="23"/>
        <v>0.90713939184707326</v>
      </c>
      <c r="W48" s="8">
        <f t="shared" si="23"/>
        <v>0.11947632142633721</v>
      </c>
    </row>
    <row r="49" spans="1:56" ht="15" customHeight="1" x14ac:dyDescent="0.25">
      <c r="A49" s="251"/>
      <c r="B49" t="s">
        <v>210</v>
      </c>
      <c r="C49" s="8">
        <f>AV27</f>
        <v>0.26370017903414089</v>
      </c>
      <c r="D49" s="8">
        <f>AX27</f>
        <v>4.4065437366136918E-2</v>
      </c>
      <c r="E49" s="8">
        <f>AK27</f>
        <v>0.72339654488041782</v>
      </c>
      <c r="F49" s="8">
        <f>AT27</f>
        <v>0.14068136263508005</v>
      </c>
      <c r="G49" s="8">
        <f>AI27</f>
        <v>0.59666614206915214</v>
      </c>
      <c r="H49" s="8">
        <f>Y27</f>
        <v>1.1261253308627464</v>
      </c>
      <c r="I49" s="8">
        <f>AN27</f>
        <v>0.15594795501388722</v>
      </c>
      <c r="J49" s="8">
        <f>AL27</f>
        <v>0.67784322263625407</v>
      </c>
      <c r="L49" s="8">
        <f>AQ27</f>
        <v>0.14411819155374031</v>
      </c>
      <c r="M49" s="8">
        <f>BB27</f>
        <v>13.303780471361762</v>
      </c>
      <c r="N49" s="8">
        <f>AG27</f>
        <v>0.28255243367944188</v>
      </c>
      <c r="O49" s="8">
        <f>AD27</f>
        <v>2.9631365596364912E-2</v>
      </c>
      <c r="P49" s="8">
        <f>N27</f>
        <v>37.72320776710076</v>
      </c>
      <c r="Q49" s="8">
        <f>AF27</f>
        <v>0.16686830369392344</v>
      </c>
      <c r="R49" s="8">
        <f>AU27</f>
        <v>2.3117903220450806E-2</v>
      </c>
      <c r="S49" s="8">
        <f>AB27</f>
        <v>0.14568157382460922</v>
      </c>
      <c r="T49" s="8">
        <f>AZ27</f>
        <v>0.98916735078889495</v>
      </c>
      <c r="U49" s="8">
        <f>AH27</f>
        <v>2.9197253038658045E-2</v>
      </c>
      <c r="V49" s="8">
        <f>AC27</f>
        <v>9.5599784397236112E-2</v>
      </c>
      <c r="W49" s="8">
        <f>AW27</f>
        <v>1.3507314509549917E-2</v>
      </c>
      <c r="X49" s="8">
        <f>BA27</f>
        <v>9.8797458374114563E-2</v>
      </c>
      <c r="Y49" s="8">
        <f>AJ27</f>
        <v>1.2984450458974785E-2</v>
      </c>
    </row>
    <row r="50" spans="1:56" x14ac:dyDescent="0.25">
      <c r="B50" t="s">
        <v>531</v>
      </c>
      <c r="C50" s="8">
        <f t="shared" ref="C50:C51" si="24">AV28</f>
        <v>0.18725902945857895</v>
      </c>
      <c r="D50" s="8">
        <f t="shared" ref="D50:D51" si="25">AX28</f>
        <v>3.1291791549304442E-2</v>
      </c>
      <c r="E50" s="8">
        <f t="shared" ref="E50:E51" si="26">AK28</f>
        <v>0.51369906309566149</v>
      </c>
      <c r="F50" s="8">
        <f t="shared" ref="F50:F51" si="27">AT28</f>
        <v>9.9900787047037906E-2</v>
      </c>
      <c r="G50" s="8">
        <f t="shared" ref="G50:G51" si="28">AI28</f>
        <v>0.42370514530518516</v>
      </c>
      <c r="H50" s="8">
        <f t="shared" ref="H50:H51" si="29">Y28</f>
        <v>0.79968522311384937</v>
      </c>
      <c r="I50" s="8">
        <f t="shared" ref="I50:I51" si="30">AN28</f>
        <v>0.11074191458235538</v>
      </c>
      <c r="J50" s="8">
        <f t="shared" ref="J50:J51" si="31">AL28</f>
        <v>0.48135069327922847</v>
      </c>
      <c r="L50" s="8">
        <f t="shared" ref="L50:L51" si="32">AQ28</f>
        <v>0.10234135136550269</v>
      </c>
      <c r="M50" s="8">
        <f t="shared" ref="M50:M51" si="33">BB28</f>
        <v>9.4472936208157083</v>
      </c>
      <c r="N50" s="8">
        <f t="shared" ref="N50:N51" si="34">AG28</f>
        <v>0.20064641099512312</v>
      </c>
      <c r="O50" s="8">
        <f t="shared" ref="O50:O51" si="35">AD28</f>
        <v>2.1041854364419042E-2</v>
      </c>
      <c r="P50" s="8">
        <f t="shared" ref="P50:P51" si="36">N28</f>
        <v>26.788041253536832</v>
      </c>
      <c r="Q50" s="8">
        <f t="shared" ref="Q50:Q51" si="37">AF28</f>
        <v>0.1184966832846857</v>
      </c>
      <c r="R50" s="8">
        <f t="shared" ref="R50:R51" si="38">AU28</f>
        <v>1.6416508081393832E-2</v>
      </c>
      <c r="S50" s="8">
        <f t="shared" ref="S50:S51" si="39">AB28</f>
        <v>0.10345154191519421</v>
      </c>
      <c r="T50" s="8">
        <f t="shared" ref="T50:T51" si="40">AZ28</f>
        <v>0.70242848813864722</v>
      </c>
      <c r="U50" s="8">
        <f t="shared" ref="U50:U51" si="41">AH28</f>
        <v>2.0733581929680025E-2</v>
      </c>
      <c r="V50" s="8">
        <f t="shared" ref="V50:V51" si="42">AC28</f>
        <v>6.7887412546496967E-2</v>
      </c>
      <c r="W50" s="8">
        <f t="shared" ref="W50:W51" si="43">AW28</f>
        <v>9.5918274113974914E-3</v>
      </c>
      <c r="X50" s="8">
        <f t="shared" ref="X50:X51" si="44">BA28</f>
        <v>7.0158147923425493E-2</v>
      </c>
      <c r="Y50" s="8">
        <f t="shared" ref="Y50:Y51" si="45">AJ28</f>
        <v>9.2205306796011733E-3</v>
      </c>
    </row>
    <row r="51" spans="1:56" x14ac:dyDescent="0.25">
      <c r="B51" t="s">
        <v>532</v>
      </c>
      <c r="C51" s="8">
        <f t="shared" si="24"/>
        <v>0.35416280169907205</v>
      </c>
      <c r="D51" s="8">
        <f t="shared" si="25"/>
        <v>5.9182131816700422E-2</v>
      </c>
      <c r="E51" s="8">
        <f t="shared" si="26"/>
        <v>0.97155848741804374</v>
      </c>
      <c r="F51" s="8">
        <f t="shared" si="27"/>
        <v>0.18894225146215179</v>
      </c>
      <c r="G51" s="8">
        <f t="shared" si="28"/>
        <v>0.8013530871620248</v>
      </c>
      <c r="H51" s="8">
        <f t="shared" si="29"/>
        <v>1.5124438053225915</v>
      </c>
      <c r="I51" s="8">
        <f t="shared" si="30"/>
        <v>0.20944606434949925</v>
      </c>
      <c r="J51" s="8">
        <f t="shared" si="31"/>
        <v>0.91037805025722962</v>
      </c>
      <c r="L51" s="8">
        <f t="shared" si="32"/>
        <v>0.19355808814171477</v>
      </c>
      <c r="M51" s="8">
        <f t="shared" si="33"/>
        <v>17.867656298848644</v>
      </c>
      <c r="N51" s="8">
        <f t="shared" si="34"/>
        <v>0.37948234204970532</v>
      </c>
      <c r="O51" s="8">
        <f t="shared" si="35"/>
        <v>3.979643660545034E-2</v>
      </c>
      <c r="P51" s="8">
        <f t="shared" si="36"/>
        <v>50.664193709716358</v>
      </c>
      <c r="Q51" s="8">
        <f t="shared" si="37"/>
        <v>0.22411265008417053</v>
      </c>
      <c r="R51" s="8">
        <f t="shared" si="38"/>
        <v>3.1048524138100161E-2</v>
      </c>
      <c r="S51" s="8">
        <f t="shared" si="39"/>
        <v>0.19565779033837466</v>
      </c>
      <c r="T51" s="8">
        <f t="shared" si="40"/>
        <v>1.3285022467098424</v>
      </c>
      <c r="U51" s="8">
        <f t="shared" si="41"/>
        <v>3.9213401280054107E-2</v>
      </c>
      <c r="V51" s="8">
        <f t="shared" si="42"/>
        <v>0.1283953905832155</v>
      </c>
      <c r="W51" s="8">
        <f t="shared" si="43"/>
        <v>1.8141012902055616E-2</v>
      </c>
      <c r="X51" s="8">
        <f t="shared" si="44"/>
        <v>0.13269002996768425</v>
      </c>
      <c r="Y51" s="8">
        <f t="shared" si="45"/>
        <v>1.7438779791188297E-2</v>
      </c>
    </row>
    <row r="52" spans="1:56" ht="15" customHeight="1" x14ac:dyDescent="0.25">
      <c r="B52" t="s">
        <v>209</v>
      </c>
      <c r="C52" s="8">
        <f>AV9</f>
        <v>0.18625954809637058</v>
      </c>
      <c r="D52" s="8">
        <f>AX9</f>
        <v>3.1124773902496884E-2</v>
      </c>
      <c r="E52" s="8">
        <f>AK9</f>
        <v>0.51095723194961473</v>
      </c>
      <c r="F52" s="8">
        <f>AT9</f>
        <v>9.9367573909000431E-2</v>
      </c>
      <c r="G52" s="8">
        <f>AI9</f>
        <v>0.42144365010771062</v>
      </c>
      <c r="H52" s="8">
        <f>Y9</f>
        <v>0.7954169617731458</v>
      </c>
      <c r="I52" s="8">
        <f>AN9</f>
        <v>0.11015083771967829</v>
      </c>
      <c r="J52" s="8">
        <f>AL9</f>
        <v>0.47878151918914763</v>
      </c>
      <c r="L52" s="8">
        <f>AQ9</f>
        <v>0.10179511189406688</v>
      </c>
      <c r="M52" s="8">
        <f>BB9</f>
        <v>9.3968693826648639</v>
      </c>
      <c r="N52" s="8">
        <f>AG9</f>
        <v>0.19957547546393165</v>
      </c>
      <c r="O52" s="8">
        <f>AD9</f>
        <v>2.0929545007031331E-2</v>
      </c>
      <c r="P52" s="8">
        <f>N9</f>
        <v>26.645062044254423</v>
      </c>
      <c r="Q52" s="8">
        <f>AF9</f>
        <v>0.11786421591171585</v>
      </c>
      <c r="R52" s="8">
        <f>AU9</f>
        <v>1.6328886171212323E-2</v>
      </c>
      <c r="S52" s="8">
        <f>AB9</f>
        <v>0.10289937688296635</v>
      </c>
      <c r="T52" s="8">
        <f>AZ9</f>
        <v>0.69867932750159467</v>
      </c>
      <c r="U52" s="8">
        <f>AH9</f>
        <v>2.0622917953846916E-2</v>
      </c>
      <c r="V52" s="8">
        <f>AC9</f>
        <v>6.7525068451448775E-2</v>
      </c>
      <c r="W52" s="8">
        <f>AW9</f>
        <v>9.5406317347194198E-3</v>
      </c>
      <c r="X52" s="8" t="e">
        <f>BA35</f>
        <v>#DIV/0!</v>
      </c>
      <c r="Y52" s="8" t="e">
        <f>AJ35</f>
        <v>#DIV/0!</v>
      </c>
    </row>
    <row r="53" spans="1:56" ht="15" customHeight="1" x14ac:dyDescent="0.25">
      <c r="B53" t="s">
        <v>219</v>
      </c>
      <c r="C53" s="8">
        <f>AV35</f>
        <v>0.14325352627936816</v>
      </c>
      <c r="D53" s="8">
        <f>AX35</f>
        <v>2.3964069579653913E-2</v>
      </c>
      <c r="E53" s="8">
        <f>AK35</f>
        <v>0.46671795302299302</v>
      </c>
      <c r="F53" s="8" t="e">
        <f>AT35</f>
        <v>#DIV/0!</v>
      </c>
      <c r="G53" s="8">
        <f>AI35</f>
        <v>0.52731138695480695</v>
      </c>
      <c r="H53" s="8">
        <f>Y35</f>
        <v>1.2453710223658732</v>
      </c>
      <c r="I53" s="8" t="e">
        <f>AN35</f>
        <v>#DIV/0!</v>
      </c>
      <c r="J53" s="8">
        <f>AL35</f>
        <v>0.58253777423248465</v>
      </c>
      <c r="L53" s="8">
        <f>AQ35</f>
        <v>5.8923813101018574E-2</v>
      </c>
      <c r="M53" s="8">
        <f>BB35</f>
        <v>2.4848160355228117</v>
      </c>
      <c r="N53" s="8" t="e">
        <f>AG35</f>
        <v>#DIV/0!</v>
      </c>
      <c r="O53" s="8" t="e">
        <f>AD35</f>
        <v>#DIV/0!</v>
      </c>
      <c r="P53" s="8">
        <f>N36</f>
        <v>43.264779553858716</v>
      </c>
      <c r="Q53" s="8" t="e">
        <f>AF35</f>
        <v>#DIV/0!</v>
      </c>
      <c r="R53" s="8" t="e">
        <f>AU35</f>
        <v>#DIV/0!</v>
      </c>
      <c r="S53" s="8" t="e">
        <f>AB35</f>
        <v>#DIV/0!</v>
      </c>
      <c r="T53" s="8">
        <f>AZ35</f>
        <v>0.39055504744398206</v>
      </c>
      <c r="U53" s="8" t="e">
        <f>AH35</f>
        <v>#DIV/0!</v>
      </c>
      <c r="V53" s="8" t="e">
        <f>AC35</f>
        <v>#DIV/0!</v>
      </c>
      <c r="W53" s="8" t="e">
        <f>AW35</f>
        <v>#DIV/0!</v>
      </c>
      <c r="X53" s="8">
        <f>BA36</f>
        <v>3.4739793394605867E-3</v>
      </c>
      <c r="Y53" s="8">
        <f>AJ36</f>
        <v>4.4962752627175639E-4</v>
      </c>
    </row>
    <row r="54" spans="1:56" x14ac:dyDescent="0.25">
      <c r="B54" t="s">
        <v>218</v>
      </c>
      <c r="C54" s="8">
        <f>AV36</f>
        <v>7.0685546535618204E-3</v>
      </c>
      <c r="D54" s="8">
        <f>AX36</f>
        <v>2.474480254123862E-3</v>
      </c>
      <c r="E54" s="8">
        <f>AK36</f>
        <v>7.8741544176127221E-2</v>
      </c>
      <c r="F54" s="8">
        <f>AT36</f>
        <v>2.7202392660867769E-3</v>
      </c>
      <c r="G54" s="8">
        <f>AI36</f>
        <v>7.6492546415530605E-2</v>
      </c>
      <c r="H54" s="8">
        <f>Y36</f>
        <v>0.14234663492785593</v>
      </c>
      <c r="I54" s="8">
        <f>AN36</f>
        <v>1.766161144931222E-2</v>
      </c>
      <c r="J54" s="8">
        <f>AL36</f>
        <v>6.6146512562656135E-2</v>
      </c>
      <c r="L54" s="8">
        <f>AQ36</f>
        <v>1.1587104980121277E-2</v>
      </c>
      <c r="M54" s="8">
        <f>BB36</f>
        <v>0.22092584150541228</v>
      </c>
      <c r="N54" s="8">
        <f>AG36</f>
        <v>4.9915310100259735E-3</v>
      </c>
      <c r="O54" s="8">
        <f>AD36</f>
        <v>1.9062127337181323E-3</v>
      </c>
      <c r="P54" s="8">
        <f>N37</f>
        <v>1.3652592453539967</v>
      </c>
      <c r="Q54" s="8">
        <f>AF36</f>
        <v>9.2242542730278654E-3</v>
      </c>
      <c r="R54" s="8">
        <f>AU36</f>
        <v>1.2140908358516111E-3</v>
      </c>
      <c r="S54" s="8">
        <f>AB36</f>
        <v>7.2905053264423758E-3</v>
      </c>
      <c r="T54" s="8">
        <f>AZ36</f>
        <v>3.8010995599724318E-2</v>
      </c>
      <c r="U54" s="8">
        <f>AH36</f>
        <v>1.2708090831975993E-3</v>
      </c>
      <c r="V54" s="8">
        <f>AC36</f>
        <v>3.8248761703026379E-3</v>
      </c>
      <c r="W54" s="8">
        <f>AW36</f>
        <v>5.0376175794607236E-4</v>
      </c>
      <c r="X54" s="8">
        <f>BA37</f>
        <v>9.3544197231235082E-4</v>
      </c>
      <c r="Y54" s="8">
        <f>AJ37</f>
        <v>1.229404090613475E-4</v>
      </c>
    </row>
    <row r="55" spans="1:56" x14ac:dyDescent="0.25">
      <c r="B55" t="s">
        <v>528</v>
      </c>
      <c r="C55" s="8">
        <f>AV37</f>
        <v>2.4967870594477248E-3</v>
      </c>
      <c r="D55" s="8">
        <f>AX37</f>
        <v>4.1722388732406274E-4</v>
      </c>
      <c r="E55" s="8">
        <f>AK37</f>
        <v>6.8493208412754303E-3</v>
      </c>
      <c r="F55" s="8">
        <f>AT37</f>
        <v>1.332010493960506E-3</v>
      </c>
      <c r="G55" s="8">
        <f>AI37</f>
        <v>5.6494019374024873E-3</v>
      </c>
      <c r="H55" s="8">
        <f>Y37</f>
        <v>1.0662469641518069E-2</v>
      </c>
      <c r="I55" s="8">
        <f>AN37</f>
        <v>1.4765588610980707E-3</v>
      </c>
      <c r="J55" s="8">
        <f>AL37</f>
        <v>6.418009243723044E-3</v>
      </c>
      <c r="L55" s="8">
        <f>AQ37</f>
        <v>1.3645513515400387E-3</v>
      </c>
      <c r="M55" s="8">
        <f>BB37</f>
        <v>0.125963914944208</v>
      </c>
      <c r="N55" s="8">
        <f>AG37</f>
        <v>2.6752854799349524E-3</v>
      </c>
      <c r="O55" s="8">
        <f>AD37</f>
        <v>2.8055805819225677E-4</v>
      </c>
      <c r="P55" s="8">
        <f>N38</f>
        <v>0.35717388338049005</v>
      </c>
      <c r="Q55" s="8">
        <f>AF37</f>
        <v>1.5799557771291328E-3</v>
      </c>
      <c r="R55" s="8">
        <f>AU37</f>
        <v>2.1888677441858281E-4</v>
      </c>
      <c r="S55" s="8">
        <f>AB37</f>
        <v>1.3793538922025894E-3</v>
      </c>
      <c r="T55" s="8">
        <f>AZ37</f>
        <v>9.3657131751819778E-3</v>
      </c>
      <c r="U55" s="8">
        <f>AH37</f>
        <v>2.7644775906239885E-4</v>
      </c>
      <c r="V55" s="8">
        <f>AC37</f>
        <v>9.0516550061994772E-4</v>
      </c>
      <c r="W55" s="8">
        <f>AW37</f>
        <v>1.2789103215196662E-4</v>
      </c>
      <c r="X55" s="8">
        <f>BA24</f>
        <v>0.38042815329312973</v>
      </c>
      <c r="Y55" s="8">
        <f>AJ24</f>
        <v>4.9237762454823183E-2</v>
      </c>
    </row>
    <row r="56" spans="1:56" x14ac:dyDescent="0.25">
      <c r="B56"/>
      <c r="C56" s="8"/>
      <c r="D56" s="8"/>
      <c r="X56" s="8">
        <f>BA31</f>
        <v>8.9608926527314061</v>
      </c>
      <c r="Y56" s="8">
        <f>AJ31</f>
        <v>1.4869237959004966</v>
      </c>
    </row>
    <row r="57" spans="1:56" x14ac:dyDescent="0.25">
      <c r="B57" t="s">
        <v>21</v>
      </c>
      <c r="C57" s="8">
        <f>AV31</f>
        <v>44.552050429130432</v>
      </c>
      <c r="D57" s="8">
        <f>AX31</f>
        <v>29.002073204968241</v>
      </c>
      <c r="E57" s="8">
        <f>AK31</f>
        <v>197.74871866296894</v>
      </c>
      <c r="F57" s="8">
        <f>AT31</f>
        <v>5.9149252230767093</v>
      </c>
      <c r="G57" s="8">
        <f>AI31</f>
        <v>478.72215264320255</v>
      </c>
      <c r="H57" s="8">
        <f>Y31</f>
        <v>689.67805443456484</v>
      </c>
      <c r="I57" s="8">
        <f>AN31</f>
        <v>7.8580727222964466</v>
      </c>
      <c r="J57" s="8">
        <f>AL31</f>
        <v>206.06298561226521</v>
      </c>
      <c r="L57" s="8">
        <f>AQ31</f>
        <v>21.542420464932949</v>
      </c>
      <c r="M57" s="8">
        <f>BB31</f>
        <v>1495.1863869285862</v>
      </c>
      <c r="N57" s="8">
        <f>AG31</f>
        <v>26.117570022567055</v>
      </c>
      <c r="O57" s="8">
        <f>AD31</f>
        <v>1.7789032327890508</v>
      </c>
      <c r="P57" s="8">
        <f>N32</f>
        <v>832.46002639688072</v>
      </c>
      <c r="Q57" s="8">
        <f>AF31</f>
        <v>2.9450335112636363</v>
      </c>
      <c r="R57" s="8">
        <f>AU31</f>
        <v>3.2732999496271598</v>
      </c>
      <c r="S57" s="8">
        <f>AB31</f>
        <v>3.0026338662178751</v>
      </c>
      <c r="T57" s="8">
        <f>AZ31</f>
        <v>210.39756791496899</v>
      </c>
      <c r="U57" s="8">
        <f>AH31</f>
        <v>0.52443912560057848</v>
      </c>
      <c r="V57" s="8">
        <f>AC31</f>
        <v>1.688518086710213</v>
      </c>
      <c r="W57" s="8">
        <f>AW31</f>
        <v>0.26221956280028924</v>
      </c>
      <c r="X57" s="8">
        <f>BA32</f>
        <v>2.6519652747675284</v>
      </c>
      <c r="Y57" s="8">
        <f>AJ32</f>
        <v>0.37619365964605356</v>
      </c>
    </row>
    <row r="58" spans="1:56" x14ac:dyDescent="0.25">
      <c r="B58" t="s">
        <v>208</v>
      </c>
      <c r="C58" s="8">
        <f>AV32</f>
        <v>0.45847224122464547</v>
      </c>
      <c r="D58" s="8">
        <f>AX32</f>
        <v>0.83468177828309331</v>
      </c>
      <c r="E58" s="8">
        <f>AK32</f>
        <v>47.80307786314615</v>
      </c>
      <c r="F58" s="8">
        <f>AT32</f>
        <v>2.0513115269880999</v>
      </c>
      <c r="G58" s="8">
        <f>AI32</f>
        <v>31.389820945805582</v>
      </c>
      <c r="H58" s="8">
        <f>Y32</f>
        <v>59.00414197732561</v>
      </c>
      <c r="I58" s="8">
        <f>AN32</f>
        <v>0.38377093245074684</v>
      </c>
      <c r="J58" s="8">
        <f>AL32</f>
        <v>22.897638413043186</v>
      </c>
      <c r="L58" s="8">
        <f>AQ32</f>
        <v>4.4668113610879345</v>
      </c>
      <c r="M58" s="8">
        <f>BB32</f>
        <v>580.53542227729554</v>
      </c>
      <c r="N58" s="8">
        <f>AG32</f>
        <v>11.242445783667181</v>
      </c>
      <c r="O58" s="8">
        <f>AD32</f>
        <v>0.31820808051155636</v>
      </c>
      <c r="P58" s="8">
        <f>N33</f>
        <v>96.264282048750374</v>
      </c>
      <c r="Q58" s="8">
        <f>AF32</f>
        <v>0.27873647148862246</v>
      </c>
      <c r="R58" s="8">
        <f>AU32</f>
        <v>0.81964309477350528</v>
      </c>
      <c r="S58" s="8">
        <f>AB32</f>
        <v>0.31152899754610741</v>
      </c>
      <c r="T58" s="8">
        <f>AZ32</f>
        <v>32.463837058978264</v>
      </c>
      <c r="U58" s="8">
        <f>AH32</f>
        <v>6.5585052114969983E-2</v>
      </c>
      <c r="V58" s="8">
        <f>AC32</f>
        <v>0.26234020845987993</v>
      </c>
      <c r="W58" s="8">
        <f>AW32</f>
        <v>3.2792526057484991E-2</v>
      </c>
      <c r="X58" s="8">
        <f>BA33</f>
        <v>3.9447205180113039</v>
      </c>
      <c r="Y58" s="8">
        <f>AJ33</f>
        <v>0.77722936578102342</v>
      </c>
    </row>
    <row r="59" spans="1:56" x14ac:dyDescent="0.25">
      <c r="B59" t="s">
        <v>207</v>
      </c>
      <c r="C59" s="8">
        <f>AV33</f>
        <v>43.363801316605525</v>
      </c>
      <c r="D59" s="8">
        <f>AX33</f>
        <v>27.3543782957099</v>
      </c>
      <c r="E59" s="8">
        <f>AK33</f>
        <v>105.06989572236778</v>
      </c>
      <c r="F59" s="8">
        <f>AT33</f>
        <v>2.2726895982994741</v>
      </c>
      <c r="G59" s="8">
        <f>AI33</f>
        <v>417.86756236026292</v>
      </c>
      <c r="H59" s="8">
        <f>Y33</f>
        <v>574.69211176802321</v>
      </c>
      <c r="I59" s="8">
        <f>AN33</f>
        <v>7.1839757682669925</v>
      </c>
      <c r="J59" s="8">
        <f>AL33</f>
        <v>160.67318150079595</v>
      </c>
      <c r="L59" s="8">
        <f>AQ33</f>
        <v>12.781740026991272</v>
      </c>
      <c r="M59" s="8">
        <f>BB33</f>
        <v>427.12955531445078</v>
      </c>
      <c r="N59" s="8">
        <f>AG33</f>
        <v>5.6325176375648836</v>
      </c>
      <c r="O59" s="8">
        <f>AD33</f>
        <v>1.1284432323453539</v>
      </c>
      <c r="P59" s="8">
        <f>N34</f>
        <v>400.71261536518261</v>
      </c>
      <c r="Q59" s="8">
        <f>AF33</f>
        <v>2.4554304941526084</v>
      </c>
      <c r="R59" s="8">
        <f>AU33</f>
        <v>1.6814851410622258</v>
      </c>
      <c r="S59" s="8">
        <f>AB33</f>
        <v>2.4554304941526084</v>
      </c>
      <c r="T59" s="8">
        <f>AZ33</f>
        <v>148.56935531087504</v>
      </c>
      <c r="U59" s="8">
        <f>AH33</f>
        <v>0.40923841569210134</v>
      </c>
      <c r="V59" s="8">
        <f>AC33</f>
        <v>1.2277152470763042</v>
      </c>
      <c r="W59" s="8">
        <f>AW33</f>
        <v>0.20461920784605067</v>
      </c>
    </row>
    <row r="60" spans="1:56" s="13" customFormat="1" x14ac:dyDescent="0.25">
      <c r="A60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235" t="str">
        <f>X40</f>
        <v>Yb2O3</v>
      </c>
      <c r="Y60" s="235" t="str">
        <f>Y40</f>
        <v>Lu2O3</v>
      </c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66"/>
      <c r="BD60" s="66"/>
    </row>
    <row r="61" spans="1:56" x14ac:dyDescent="0.25">
      <c r="A61" s="13"/>
      <c r="B61" s="13" t="s">
        <v>217</v>
      </c>
      <c r="C61" s="235" t="str">
        <f t="shared" ref="C61:W61" si="46">C40</f>
        <v>ThO2</v>
      </c>
      <c r="D61" s="235" t="str">
        <f t="shared" si="46"/>
        <v>UO2</v>
      </c>
      <c r="E61" s="235" t="str">
        <f t="shared" si="46"/>
        <v>Nb2O5</v>
      </c>
      <c r="F61" s="235" t="str">
        <f t="shared" si="46"/>
        <v>Ta2O5</v>
      </c>
      <c r="G61" s="235" t="str">
        <f t="shared" si="46"/>
        <v>La2O3</v>
      </c>
      <c r="H61" s="235" t="str">
        <f t="shared" si="46"/>
        <v>Ce2O3</v>
      </c>
      <c r="I61" s="235" t="str">
        <f t="shared" si="46"/>
        <v>Pr2O3</v>
      </c>
      <c r="J61" s="235" t="str">
        <f t="shared" si="46"/>
        <v>Nd2O3</v>
      </c>
      <c r="K61" s="235" t="str">
        <f t="shared" si="46"/>
        <v>Pm2O3</v>
      </c>
      <c r="L61" s="235" t="str">
        <f t="shared" si="46"/>
        <v>Sm2O3</v>
      </c>
      <c r="M61" s="235" t="str">
        <f t="shared" si="46"/>
        <v>ZrO2</v>
      </c>
      <c r="N61" s="235" t="str">
        <f t="shared" si="46"/>
        <v>HfO2</v>
      </c>
      <c r="O61" s="235" t="str">
        <f t="shared" si="46"/>
        <v>Eu2O3</v>
      </c>
      <c r="P61" s="235" t="str">
        <f t="shared" si="46"/>
        <v>TiO2</v>
      </c>
      <c r="Q61" s="235" t="str">
        <f t="shared" si="46"/>
        <v>Gd2O3</v>
      </c>
      <c r="R61" s="235" t="str">
        <f t="shared" si="46"/>
        <v>Tb2O3</v>
      </c>
      <c r="S61" s="235" t="str">
        <f t="shared" si="46"/>
        <v>Dy2O3</v>
      </c>
      <c r="T61" s="235" t="str">
        <f t="shared" si="46"/>
        <v>Y2O3</v>
      </c>
      <c r="U61" s="235" t="str">
        <f t="shared" si="46"/>
        <v>Ho2O3</v>
      </c>
      <c r="V61" s="235" t="str">
        <f t="shared" si="46"/>
        <v>Er2O3</v>
      </c>
      <c r="W61" s="235" t="str">
        <f t="shared" si="46"/>
        <v>Tm2O3</v>
      </c>
      <c r="X61" s="232" t="e">
        <f>#REF!/X$56</f>
        <v>#REF!</v>
      </c>
      <c r="Y61" s="232" t="e">
        <f>#REF!/Y$56</f>
        <v>#REF!</v>
      </c>
      <c r="BC61" s="64"/>
      <c r="BD61" s="64"/>
    </row>
    <row r="62" spans="1:56" x14ac:dyDescent="0.25">
      <c r="A62" s="251" t="s">
        <v>521</v>
      </c>
      <c r="B62" t="s">
        <v>216</v>
      </c>
      <c r="C62" s="232">
        <f t="shared" ref="C62:W62" si="47">C41/C$57</f>
        <v>0.40192742224974587</v>
      </c>
      <c r="D62" s="232">
        <f t="shared" si="47"/>
        <v>0.10328601946096592</v>
      </c>
      <c r="E62" s="232">
        <f t="shared" si="47"/>
        <v>0.29501958102345449</v>
      </c>
      <c r="F62" s="232" t="e">
        <f t="shared" si="47"/>
        <v>#DIV/0!</v>
      </c>
      <c r="G62" s="232">
        <f t="shared" si="47"/>
        <v>0.13768722212961129</v>
      </c>
      <c r="H62" s="232">
        <f t="shared" si="47"/>
        <v>0.2257160087881302</v>
      </c>
      <c r="I62" s="232" t="e">
        <f t="shared" si="47"/>
        <v>#DIV/0!</v>
      </c>
      <c r="J62" s="232">
        <f t="shared" si="47"/>
        <v>0.35337361323141964</v>
      </c>
      <c r="K62" s="232" t="e">
        <f t="shared" si="47"/>
        <v>#DIV/0!</v>
      </c>
      <c r="L62" s="232">
        <f t="shared" si="47"/>
        <v>0.34190571340935788</v>
      </c>
      <c r="M62" s="232">
        <f t="shared" si="47"/>
        <v>0.20773463907626238</v>
      </c>
      <c r="N62" s="232" t="e">
        <f t="shared" si="47"/>
        <v>#DIV/0!</v>
      </c>
      <c r="O62" s="232" t="e">
        <f t="shared" si="47"/>
        <v>#DIV/0!</v>
      </c>
      <c r="P62" s="232">
        <f t="shared" si="47"/>
        <v>6.4965250855828973</v>
      </c>
      <c r="Q62" s="232" t="e">
        <f t="shared" si="47"/>
        <v>#DIV/0!</v>
      </c>
      <c r="R62" s="232" t="e">
        <f t="shared" si="47"/>
        <v>#DIV/0!</v>
      </c>
      <c r="S62" s="232" t="e">
        <f t="shared" si="47"/>
        <v>#DIV/0!</v>
      </c>
      <c r="T62" s="232">
        <f t="shared" si="47"/>
        <v>0.23203396034610188</v>
      </c>
      <c r="U62" s="232" t="e">
        <f t="shared" si="47"/>
        <v>#DIV/0!</v>
      </c>
      <c r="V62" s="232" t="e">
        <f t="shared" si="47"/>
        <v>#DIV/0!</v>
      </c>
      <c r="W62" s="232" t="e">
        <f t="shared" si="47"/>
        <v>#DIV/0!</v>
      </c>
      <c r="X62" s="232">
        <f>X44/X$56</f>
        <v>0</v>
      </c>
      <c r="Y62" s="232">
        <f>Y44/Y$56</f>
        <v>0</v>
      </c>
      <c r="BC62" s="64"/>
      <c r="BD62" s="64"/>
    </row>
    <row r="63" spans="1:56" hidden="1" x14ac:dyDescent="0.25">
      <c r="A63" s="251"/>
      <c r="B63" t="s">
        <v>215</v>
      </c>
      <c r="C63" s="232">
        <f t="shared" ref="C63:W63" si="48">C42/C$57</f>
        <v>1.7374341024969271E-2</v>
      </c>
      <c r="D63" s="232">
        <f t="shared" si="48"/>
        <v>9.343301555759527E-3</v>
      </c>
      <c r="E63" s="232">
        <f t="shared" si="48"/>
        <v>4.3604937370375164E-2</v>
      </c>
      <c r="F63" s="232">
        <f t="shared" si="48"/>
        <v>5.0362034299563922E-2</v>
      </c>
      <c r="G63" s="232">
        <f t="shared" si="48"/>
        <v>1.7497701835829632E-2</v>
      </c>
      <c r="H63" s="232">
        <f t="shared" si="48"/>
        <v>2.2601965920338897E-2</v>
      </c>
      <c r="I63" s="232">
        <f t="shared" si="48"/>
        <v>0.24612725057250495</v>
      </c>
      <c r="J63" s="232">
        <f t="shared" si="48"/>
        <v>3.5152189573939487E-2</v>
      </c>
      <c r="K63" s="232" t="e">
        <f t="shared" si="48"/>
        <v>#DIV/0!</v>
      </c>
      <c r="L63" s="232">
        <f t="shared" si="48"/>
        <v>5.8901433077588432E-2</v>
      </c>
      <c r="M63" s="232">
        <f t="shared" si="48"/>
        <v>1.6180673752815424E-2</v>
      </c>
      <c r="N63" s="232">
        <f t="shared" si="48"/>
        <v>2.092890099725004E-2</v>
      </c>
      <c r="O63" s="232">
        <f t="shared" si="48"/>
        <v>0.11734496501226391</v>
      </c>
      <c r="P63" s="232">
        <f t="shared" si="48"/>
        <v>0.1795962050422972</v>
      </c>
      <c r="Q63" s="232">
        <f t="shared" si="48"/>
        <v>0.34299393678620499</v>
      </c>
      <c r="R63" s="232">
        <f t="shared" si="48"/>
        <v>4.0617276088107897E-2</v>
      </c>
      <c r="S63" s="232">
        <f t="shared" si="48"/>
        <v>0.26588918374279064</v>
      </c>
      <c r="T63" s="232">
        <f t="shared" si="48"/>
        <v>1.9783992899759871E-2</v>
      </c>
      <c r="U63" s="232">
        <f t="shared" si="48"/>
        <v>0.26535705798442383</v>
      </c>
      <c r="V63" s="232">
        <f t="shared" si="48"/>
        <v>0.24806019475982202</v>
      </c>
      <c r="W63" s="232">
        <f t="shared" si="48"/>
        <v>0.21038052022302758</v>
      </c>
      <c r="X63" s="232">
        <f>X42/X$56</f>
        <v>4.2454269684524107E-2</v>
      </c>
      <c r="Y63" s="232">
        <f>Y42/Y$56</f>
        <v>3.3113843890704757E-2</v>
      </c>
      <c r="BC63" s="64"/>
      <c r="BD63" s="64"/>
    </row>
    <row r="64" spans="1:56" hidden="1" x14ac:dyDescent="0.25">
      <c r="A64" s="251"/>
      <c r="B64" t="s">
        <v>214</v>
      </c>
      <c r="C64" s="232">
        <f t="shared" ref="C64:W64" si="49">C43/C$57</f>
        <v>3.101498491319326E-2</v>
      </c>
      <c r="D64" s="232">
        <f t="shared" si="49"/>
        <v>1.6678753822941574E-2</v>
      </c>
      <c r="E64" s="232">
        <f t="shared" si="49"/>
        <v>7.7839296048082207E-2</v>
      </c>
      <c r="F64" s="232">
        <f t="shared" si="49"/>
        <v>8.9901408735670846E-2</v>
      </c>
      <c r="G64" s="232">
        <f t="shared" si="49"/>
        <v>3.1235196642790085E-2</v>
      </c>
      <c r="H64" s="232">
        <f t="shared" si="49"/>
        <v>4.0346832781766408E-2</v>
      </c>
      <c r="I64" s="232">
        <f t="shared" si="49"/>
        <v>0.43936244558924098</v>
      </c>
      <c r="J64" s="232">
        <f t="shared" si="49"/>
        <v>6.2750272239655833E-2</v>
      </c>
      <c r="K64" s="232" t="e">
        <f t="shared" si="49"/>
        <v>#DIV/0!</v>
      </c>
      <c r="L64" s="232">
        <f t="shared" si="49"/>
        <v>0.10514511345445973</v>
      </c>
      <c r="M64" s="232">
        <f t="shared" si="49"/>
        <v>2.8884166116438948E-2</v>
      </c>
      <c r="N64" s="232">
        <f t="shared" si="49"/>
        <v>3.736023989321767E-2</v>
      </c>
      <c r="O64" s="232">
        <f t="shared" si="49"/>
        <v>0.20947282629391084</v>
      </c>
      <c r="P64" s="232">
        <f t="shared" si="49"/>
        <v>0.32059768953818285</v>
      </c>
      <c r="Q64" s="232">
        <f t="shared" si="49"/>
        <v>0.61227943894117998</v>
      </c>
      <c r="R64" s="232">
        <f t="shared" si="49"/>
        <v>7.2506013510224621E-2</v>
      </c>
      <c r="S64" s="232">
        <f t="shared" si="49"/>
        <v>0.47463952794022635</v>
      </c>
      <c r="T64" s="232">
        <f t="shared" si="49"/>
        <v>3.5316461235965657E-2</v>
      </c>
      <c r="U64" s="232">
        <f t="shared" si="49"/>
        <v>0.47368962875590903</v>
      </c>
      <c r="V64" s="232">
        <f t="shared" si="49"/>
        <v>0.44281294968154156</v>
      </c>
      <c r="W64" s="232">
        <f t="shared" si="49"/>
        <v>0.37555085694298973</v>
      </c>
      <c r="X64" s="232">
        <f>X43/X$56</f>
        <v>1.6160713845643871E-2</v>
      </c>
      <c r="Y64" s="232">
        <f>Y43/Y$56</f>
        <v>1.2605171621691525E-2</v>
      </c>
      <c r="BC64" s="64"/>
      <c r="BD64" s="64"/>
    </row>
    <row r="65" spans="1:56" x14ac:dyDescent="0.25">
      <c r="A65" s="251"/>
      <c r="B65" t="s">
        <v>213</v>
      </c>
      <c r="C65" s="232">
        <f t="shared" ref="C65:W65" si="50">C44/C$57</f>
        <v>6.6137459352766303E-3</v>
      </c>
      <c r="D65" s="232">
        <f t="shared" si="50"/>
        <v>3.5566369163389719E-3</v>
      </c>
      <c r="E65" s="232">
        <f t="shared" si="50"/>
        <v>1.6598728946142633E-2</v>
      </c>
      <c r="F65" s="232">
        <f t="shared" si="50"/>
        <v>1.9170896850839978E-2</v>
      </c>
      <c r="G65" s="232">
        <f t="shared" si="50"/>
        <v>6.6607046694368306E-3</v>
      </c>
      <c r="H65" s="232">
        <f t="shared" si="50"/>
        <v>8.6037024379845041E-3</v>
      </c>
      <c r="I65" s="232">
        <f t="shared" si="50"/>
        <v>9.3691213997429676E-2</v>
      </c>
      <c r="J65" s="232">
        <f t="shared" si="50"/>
        <v>1.3381091724664536E-2</v>
      </c>
      <c r="K65" s="232" t="e">
        <f t="shared" si="50"/>
        <v>#DIV/0!</v>
      </c>
      <c r="L65" s="232">
        <f t="shared" si="50"/>
        <v>2.2421518781001258E-2</v>
      </c>
      <c r="M65" s="232">
        <f t="shared" si="50"/>
        <v>6.1593625397893086E-3</v>
      </c>
      <c r="N65" s="232">
        <f t="shared" si="50"/>
        <v>7.9668307247707133E-3</v>
      </c>
      <c r="O65" s="232">
        <f t="shared" si="50"/>
        <v>4.4668732141247447E-2</v>
      </c>
      <c r="P65" s="232">
        <f t="shared" si="50"/>
        <v>6.8365394082144912E-2</v>
      </c>
      <c r="Q65" s="232">
        <f t="shared" si="50"/>
        <v>0.130564650019485</v>
      </c>
      <c r="R65" s="232">
        <f t="shared" si="50"/>
        <v>1.5461440767374797E-2</v>
      </c>
      <c r="S65" s="232">
        <f t="shared" si="50"/>
        <v>0.10121382478251506</v>
      </c>
      <c r="T65" s="232">
        <f t="shared" si="50"/>
        <v>7.5310080788839606E-3</v>
      </c>
      <c r="U65" s="232">
        <f t="shared" si="50"/>
        <v>0.10101126489455174</v>
      </c>
      <c r="V65" s="232">
        <f t="shared" si="50"/>
        <v>9.442701178933513E-2</v>
      </c>
      <c r="W65" s="232">
        <f t="shared" si="50"/>
        <v>8.0083803379178406E-2</v>
      </c>
      <c r="X65" s="232" t="e">
        <f>#REF!/X$56</f>
        <v>#REF!</v>
      </c>
      <c r="Y65" s="232" t="e">
        <f>#REF!/Y$56</f>
        <v>#REF!</v>
      </c>
      <c r="BC65" s="64"/>
      <c r="BD65" s="64"/>
    </row>
    <row r="66" spans="1:56" hidden="1" x14ac:dyDescent="0.25">
      <c r="A66" s="251"/>
      <c r="B66" t="s">
        <v>212</v>
      </c>
      <c r="C66" s="232">
        <f t="shared" ref="C66:W66" si="51">C45/C$57</f>
        <v>0.41930176327471513</v>
      </c>
      <c r="D66" s="232">
        <f t="shared" si="51"/>
        <v>0.11262932101672546</v>
      </c>
      <c r="E66" s="232">
        <f t="shared" si="51"/>
        <v>0.33862451839382968</v>
      </c>
      <c r="F66" s="232" t="e">
        <f t="shared" si="51"/>
        <v>#DIV/0!</v>
      </c>
      <c r="G66" s="232">
        <f t="shared" si="51"/>
        <v>0.15518492396544095</v>
      </c>
      <c r="H66" s="232">
        <f t="shared" si="51"/>
        <v>0.24831797470846911</v>
      </c>
      <c r="I66" s="232" t="e">
        <f t="shared" si="51"/>
        <v>#DIV/0!</v>
      </c>
      <c r="J66" s="232">
        <f t="shared" si="51"/>
        <v>0.38852580280535909</v>
      </c>
      <c r="K66" s="232" t="e">
        <f t="shared" si="51"/>
        <v>#DIV/0!</v>
      </c>
      <c r="L66" s="232">
        <f t="shared" si="51"/>
        <v>0.40080714648694626</v>
      </c>
      <c r="M66" s="232">
        <f t="shared" si="51"/>
        <v>0.22391531282907778</v>
      </c>
      <c r="N66" s="232" t="e">
        <f t="shared" si="51"/>
        <v>#DIV/0!</v>
      </c>
      <c r="O66" s="232" t="e">
        <f t="shared" si="51"/>
        <v>#DIV/0!</v>
      </c>
      <c r="P66" s="232">
        <f t="shared" si="51"/>
        <v>6.6761212906251952</v>
      </c>
      <c r="Q66" s="232" t="e">
        <f t="shared" si="51"/>
        <v>#DIV/0!</v>
      </c>
      <c r="R66" s="232" t="e">
        <f t="shared" si="51"/>
        <v>#DIV/0!</v>
      </c>
      <c r="S66" s="232" t="e">
        <f t="shared" si="51"/>
        <v>#DIV/0!</v>
      </c>
      <c r="T66" s="232">
        <f t="shared" si="51"/>
        <v>0.25181795324586176</v>
      </c>
      <c r="U66" s="232" t="e">
        <f t="shared" si="51"/>
        <v>#DIV/0!</v>
      </c>
      <c r="V66" s="232" t="e">
        <f t="shared" si="51"/>
        <v>#DIV/0!</v>
      </c>
      <c r="W66" s="232" t="e">
        <f t="shared" si="51"/>
        <v>#DIV/0!</v>
      </c>
      <c r="X66" s="232">
        <f>X45/X$56</f>
        <v>5.8614983530167974E-2</v>
      </c>
      <c r="Y66" s="232">
        <f>Y45/Y$56</f>
        <v>4.5719015512396273E-2</v>
      </c>
      <c r="BC66" s="64"/>
      <c r="BD66" s="64"/>
    </row>
    <row r="67" spans="1:56" x14ac:dyDescent="0.25">
      <c r="A67" s="251"/>
      <c r="B67" t="s">
        <v>211</v>
      </c>
      <c r="C67" s="232">
        <f t="shared" ref="C67:W67" si="52">C48/C$57</f>
        <v>3.7628730848469891E-2</v>
      </c>
      <c r="D67" s="232">
        <f t="shared" si="52"/>
        <v>2.0235390739280542E-2</v>
      </c>
      <c r="E67" s="232">
        <f t="shared" si="52"/>
        <v>9.4438024994224851E-2</v>
      </c>
      <c r="F67" s="232">
        <f t="shared" si="52"/>
        <v>0.10907230558651083</v>
      </c>
      <c r="G67" s="232">
        <f t="shared" si="52"/>
        <v>3.7895901312226921E-2</v>
      </c>
      <c r="H67" s="232">
        <f t="shared" si="52"/>
        <v>4.8950535219750915E-2</v>
      </c>
      <c r="I67" s="232">
        <f t="shared" si="52"/>
        <v>0.53305365958667061</v>
      </c>
      <c r="J67" s="232">
        <f t="shared" si="52"/>
        <v>7.6131363964320367E-2</v>
      </c>
      <c r="K67" s="232" t="e">
        <f t="shared" si="52"/>
        <v>#DIV/0!</v>
      </c>
      <c r="L67" s="232">
        <f t="shared" si="52"/>
        <v>0.12756663223546097</v>
      </c>
      <c r="M67" s="232">
        <f t="shared" si="52"/>
        <v>3.5043528656228257E-2</v>
      </c>
      <c r="N67" s="232">
        <f t="shared" si="52"/>
        <v>4.5327070617988387E-2</v>
      </c>
      <c r="O67" s="232">
        <f t="shared" si="52"/>
        <v>0.25414155843515829</v>
      </c>
      <c r="P67" s="232">
        <f t="shared" si="52"/>
        <v>0.38896308362032778</v>
      </c>
      <c r="Q67" s="232">
        <f t="shared" si="52"/>
        <v>0.74284408896066489</v>
      </c>
      <c r="R67" s="232">
        <f t="shared" si="52"/>
        <v>8.7967454277599416E-2</v>
      </c>
      <c r="S67" s="232">
        <f t="shared" si="52"/>
        <v>0.57585335272274141</v>
      </c>
      <c r="T67" s="232">
        <f t="shared" si="52"/>
        <v>4.2847469314849618E-2</v>
      </c>
      <c r="U67" s="232">
        <f t="shared" si="52"/>
        <v>0.57470089365046073</v>
      </c>
      <c r="V67" s="232">
        <f t="shared" si="52"/>
        <v>0.53723996147087671</v>
      </c>
      <c r="W67" s="232">
        <f t="shared" si="52"/>
        <v>0.45563466032216809</v>
      </c>
      <c r="X67" s="232">
        <f>X55/X$56</f>
        <v>4.2454269684524107E-2</v>
      </c>
      <c r="Y67" s="232">
        <f>Y55/Y$56</f>
        <v>3.3113843890704757E-2</v>
      </c>
      <c r="BC67" s="64"/>
      <c r="BD67" s="64"/>
    </row>
    <row r="68" spans="1:56" hidden="1" x14ac:dyDescent="0.25">
      <c r="A68" s="251"/>
      <c r="B68" t="s">
        <v>210</v>
      </c>
      <c r="C68" s="232">
        <f t="shared" ref="C68:W68" si="53">C49/C$57</f>
        <v>5.9189235174172839E-3</v>
      </c>
      <c r="D68" s="232">
        <f t="shared" si="53"/>
        <v>1.5193892193399549E-3</v>
      </c>
      <c r="E68" s="232">
        <f t="shared" si="53"/>
        <v>3.6581604663306643E-3</v>
      </c>
      <c r="F68" s="232">
        <f t="shared" si="53"/>
        <v>2.3784132060743649E-2</v>
      </c>
      <c r="G68" s="232">
        <f t="shared" si="53"/>
        <v>1.2463725331588211E-3</v>
      </c>
      <c r="H68" s="232">
        <f t="shared" si="53"/>
        <v>1.6328275542796624E-3</v>
      </c>
      <c r="I68" s="232">
        <f t="shared" si="53"/>
        <v>1.9845572893643689E-2</v>
      </c>
      <c r="J68" s="232">
        <f t="shared" si="53"/>
        <v>3.2894952998094758E-3</v>
      </c>
      <c r="K68" s="232" t="e">
        <f t="shared" si="53"/>
        <v>#DIV/0!</v>
      </c>
      <c r="L68" s="232">
        <f t="shared" si="53"/>
        <v>6.6899720850002861E-3</v>
      </c>
      <c r="M68" s="232">
        <f t="shared" si="53"/>
        <v>8.8977405008952796E-3</v>
      </c>
      <c r="N68" s="232">
        <f t="shared" si="53"/>
        <v>1.0818480947320162E-2</v>
      </c>
      <c r="O68" s="232">
        <f t="shared" si="53"/>
        <v>1.6657098064804469E-2</v>
      </c>
      <c r="P68" s="232">
        <f t="shared" si="53"/>
        <v>4.5315338359701585E-2</v>
      </c>
      <c r="Q68" s="232">
        <f t="shared" si="53"/>
        <v>5.6660918477061624E-2</v>
      </c>
      <c r="R68" s="232">
        <f t="shared" si="53"/>
        <v>7.0625679211231513E-3</v>
      </c>
      <c r="S68" s="232">
        <f t="shared" si="53"/>
        <v>4.8517928031002355E-2</v>
      </c>
      <c r="T68" s="232">
        <f t="shared" si="53"/>
        <v>4.7014200809995174E-3</v>
      </c>
      <c r="U68" s="232">
        <f t="shared" si="53"/>
        <v>5.5673292882604558E-2</v>
      </c>
      <c r="V68" s="232">
        <f t="shared" si="53"/>
        <v>5.6617566107032849E-2</v>
      </c>
      <c r="W68" s="232">
        <f t="shared" si="53"/>
        <v>5.1511467585800649E-2</v>
      </c>
      <c r="X68" s="232">
        <f>X49/X$56</f>
        <v>1.1025403629179701E-2</v>
      </c>
      <c r="Y68" s="232">
        <f>Y49/Y$56</f>
        <v>8.7324249532984757E-3</v>
      </c>
      <c r="BC68" s="64"/>
      <c r="BD68" s="64"/>
    </row>
    <row r="69" spans="1:56" x14ac:dyDescent="0.25">
      <c r="B69" t="s">
        <v>209</v>
      </c>
      <c r="C69" s="232">
        <f t="shared" ref="C69:W69" si="54">C52/C$57</f>
        <v>4.1807177515355044E-3</v>
      </c>
      <c r="D69" s="232">
        <f t="shared" si="54"/>
        <v>1.0731913433404136E-3</v>
      </c>
      <c r="E69" s="232">
        <f t="shared" si="54"/>
        <v>2.583871265535023E-3</v>
      </c>
      <c r="F69" s="232">
        <f t="shared" si="54"/>
        <v>1.679946409488392E-2</v>
      </c>
      <c r="G69" s="232">
        <f t="shared" si="54"/>
        <v>8.8035125966234049E-4</v>
      </c>
      <c r="H69" s="232">
        <f t="shared" si="54"/>
        <v>1.1533163287691841E-3</v>
      </c>
      <c r="I69" s="232">
        <f t="shared" si="54"/>
        <v>1.4017538601690079E-2</v>
      </c>
      <c r="J69" s="232">
        <f t="shared" si="54"/>
        <v>2.3234717179631595E-3</v>
      </c>
      <c r="K69" s="232" t="e">
        <f t="shared" si="54"/>
        <v>#DIV/0!</v>
      </c>
      <c r="L69" s="232">
        <f t="shared" si="54"/>
        <v>4.7253330729372022E-3</v>
      </c>
      <c r="M69" s="232">
        <f t="shared" si="54"/>
        <v>6.2847478179412298E-3</v>
      </c>
      <c r="N69" s="232">
        <f t="shared" si="54"/>
        <v>7.6414258788810429E-3</v>
      </c>
      <c r="O69" s="232">
        <f t="shared" si="54"/>
        <v>1.176542074984988E-2</v>
      </c>
      <c r="P69" s="232">
        <f t="shared" si="54"/>
        <v>3.200761742228235E-2</v>
      </c>
      <c r="Q69" s="232">
        <f t="shared" si="54"/>
        <v>4.0021349658986877E-2</v>
      </c>
      <c r="R69" s="232">
        <f t="shared" si="54"/>
        <v>4.9885089733595111E-3</v>
      </c>
      <c r="S69" s="232">
        <f t="shared" si="54"/>
        <v>3.4269705021537859E-2</v>
      </c>
      <c r="T69" s="232">
        <f t="shared" si="54"/>
        <v>3.3207576229396436E-3</v>
      </c>
      <c r="U69" s="232">
        <f t="shared" si="54"/>
        <v>3.9323759321408205E-2</v>
      </c>
      <c r="V69" s="232">
        <f t="shared" si="54"/>
        <v>3.999072854647933E-2</v>
      </c>
      <c r="W69" s="232">
        <f t="shared" si="54"/>
        <v>3.638413409294608E-2</v>
      </c>
      <c r="X69" s="232"/>
      <c r="Y69" s="232"/>
      <c r="BC69" s="64"/>
      <c r="BD69" s="64"/>
    </row>
    <row r="70" spans="1:56" x14ac:dyDescent="0.25">
      <c r="B70"/>
      <c r="D70" s="232"/>
      <c r="E70" s="232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232"/>
      <c r="X70" s="232">
        <f t="shared" ref="X70:Y70" si="55">X57/X$56</f>
        <v>0.29594878295514143</v>
      </c>
      <c r="Y70" s="232">
        <f t="shared" si="55"/>
        <v>0.25300130422502703</v>
      </c>
      <c r="BC70" s="64"/>
      <c r="BD70" s="64"/>
    </row>
    <row r="71" spans="1:56" x14ac:dyDescent="0.25">
      <c r="B71" t="s">
        <v>208</v>
      </c>
      <c r="C71" s="232">
        <f t="shared" ref="C71:W71" si="56">C58/C$57</f>
        <v>1.0290710232381867E-2</v>
      </c>
      <c r="D71" s="232">
        <f t="shared" si="56"/>
        <v>2.8780072803212806E-2</v>
      </c>
      <c r="E71" s="232">
        <f t="shared" si="56"/>
        <v>0.24173647337062573</v>
      </c>
      <c r="F71" s="232">
        <f t="shared" si="56"/>
        <v>0.34680261366365828</v>
      </c>
      <c r="G71" s="232">
        <f t="shared" si="56"/>
        <v>6.5570019629320977E-2</v>
      </c>
      <c r="H71" s="232">
        <f t="shared" si="56"/>
        <v>8.555316730456268E-2</v>
      </c>
      <c r="I71" s="232">
        <f t="shared" si="56"/>
        <v>4.8837793440347985E-2</v>
      </c>
      <c r="J71" s="232">
        <f t="shared" si="56"/>
        <v>0.11111960910887764</v>
      </c>
      <c r="K71" s="232" t="e">
        <f t="shared" si="56"/>
        <v>#DIV/0!</v>
      </c>
      <c r="L71" s="232">
        <f t="shared" si="56"/>
        <v>0.20734955797372315</v>
      </c>
      <c r="M71" s="232">
        <f t="shared" si="56"/>
        <v>0.38826960127013471</v>
      </c>
      <c r="N71" s="232">
        <f t="shared" si="56"/>
        <v>0.43045527489552332</v>
      </c>
      <c r="O71" s="232">
        <f t="shared" si="56"/>
        <v>0.17887880276244947</v>
      </c>
      <c r="P71" s="232">
        <f t="shared" si="56"/>
        <v>0.11563832375881043</v>
      </c>
      <c r="Q71" s="232">
        <f t="shared" si="56"/>
        <v>9.4646281756238487E-2</v>
      </c>
      <c r="R71" s="232">
        <f t="shared" si="56"/>
        <v>0.25040268456511766</v>
      </c>
      <c r="S71" s="232">
        <f t="shared" si="56"/>
        <v>0.1037519096320958</v>
      </c>
      <c r="T71" s="232">
        <f t="shared" si="56"/>
        <v>0.15429758709044747</v>
      </c>
      <c r="U71" s="232">
        <f t="shared" si="56"/>
        <v>0.12505751175575075</v>
      </c>
      <c r="V71" s="232">
        <f t="shared" si="56"/>
        <v>0.15536712962962967</v>
      </c>
      <c r="W71" s="232">
        <f t="shared" si="56"/>
        <v>0.12505751175575075</v>
      </c>
      <c r="X71" s="232">
        <f t="shared" ref="X71:Y71" si="57">X58/X$56</f>
        <v>0.44021512932742224</v>
      </c>
      <c r="Y71" s="232">
        <f t="shared" si="57"/>
        <v>0.5227096155995844</v>
      </c>
      <c r="BC71" s="64"/>
      <c r="BD71" s="64"/>
    </row>
    <row r="72" spans="1:56" x14ac:dyDescent="0.25">
      <c r="B72" t="s">
        <v>207</v>
      </c>
      <c r="C72" s="232">
        <f t="shared" ref="C72:W72" si="58">C59/C$57</f>
        <v>0.9733289691253364</v>
      </c>
      <c r="D72" s="232">
        <f t="shared" si="58"/>
        <v>0.94318699571532427</v>
      </c>
      <c r="E72" s="232">
        <f t="shared" si="58"/>
        <v>0.53133034910553634</v>
      </c>
      <c r="F72" s="232">
        <f t="shared" si="58"/>
        <v>0.38422964155704259</v>
      </c>
      <c r="G72" s="232">
        <f t="shared" si="58"/>
        <v>0.87288119017066823</v>
      </c>
      <c r="H72" s="232">
        <f t="shared" si="58"/>
        <v>0.83327591486028463</v>
      </c>
      <c r="I72" s="232">
        <f t="shared" si="58"/>
        <v>0.91421599444902368</v>
      </c>
      <c r="J72" s="232">
        <f t="shared" si="58"/>
        <v>0.77972849429214719</v>
      </c>
      <c r="K72" s="232" t="e">
        <f t="shared" si="58"/>
        <v>#DIV/0!</v>
      </c>
      <c r="L72" s="232">
        <f t="shared" si="58"/>
        <v>0.59332887164641346</v>
      </c>
      <c r="M72" s="232">
        <f t="shared" si="58"/>
        <v>0.28566977271098681</v>
      </c>
      <c r="N72" s="232">
        <f t="shared" si="58"/>
        <v>0.21566009520403584</v>
      </c>
      <c r="O72" s="232">
        <f t="shared" si="58"/>
        <v>0.63434773266229094</v>
      </c>
      <c r="P72" s="232">
        <f t="shared" si="58"/>
        <v>0.48135958803881385</v>
      </c>
      <c r="Q72" s="232">
        <f t="shared" si="58"/>
        <v>0.83375298948603405</v>
      </c>
      <c r="R72" s="232">
        <f t="shared" si="58"/>
        <v>0.51369723732582251</v>
      </c>
      <c r="S72" s="232">
        <f t="shared" si="58"/>
        <v>0.81775887555863569</v>
      </c>
      <c r="T72" s="232">
        <f t="shared" si="58"/>
        <v>0.70613627706437421</v>
      </c>
      <c r="U72" s="232">
        <f t="shared" si="58"/>
        <v>0.78033540160347248</v>
      </c>
      <c r="V72" s="232">
        <f t="shared" si="58"/>
        <v>0.72709629629629624</v>
      </c>
      <c r="W72" s="232">
        <f t="shared" si="58"/>
        <v>0.78033540160347248</v>
      </c>
      <c r="BC72" s="64"/>
      <c r="BD72" s="64"/>
    </row>
    <row r="73" spans="1:56" x14ac:dyDescent="0.25">
      <c r="BC73" s="64"/>
      <c r="BD73" s="64"/>
    </row>
    <row r="74" spans="1:56" x14ac:dyDescent="0.25">
      <c r="BC74" s="64"/>
      <c r="BD74" s="64"/>
    </row>
    <row r="75" spans="1:56" x14ac:dyDescent="0.25">
      <c r="BC75" s="64"/>
      <c r="BD75" s="64"/>
    </row>
    <row r="76" spans="1:56" x14ac:dyDescent="0.25">
      <c r="BC76" s="64"/>
      <c r="BD76" s="64"/>
    </row>
    <row r="77" spans="1:56" x14ac:dyDescent="0.25">
      <c r="BC77" s="64"/>
      <c r="BD77" s="64"/>
    </row>
    <row r="78" spans="1:56" x14ac:dyDescent="0.25">
      <c r="BC78" s="64"/>
      <c r="BD78" s="64"/>
    </row>
    <row r="79" spans="1:56" x14ac:dyDescent="0.25">
      <c r="BC79" s="64"/>
      <c r="BD79" s="64"/>
    </row>
    <row r="80" spans="1:56" x14ac:dyDescent="0.25">
      <c r="BC80" s="64"/>
      <c r="BD80" s="64"/>
    </row>
    <row r="81" spans="55:56" x14ac:dyDescent="0.25">
      <c r="BC81" s="64"/>
      <c r="BD81" s="64"/>
    </row>
    <row r="82" spans="55:56" x14ac:dyDescent="0.25">
      <c r="BC82" s="64"/>
      <c r="BD82" s="64"/>
    </row>
    <row r="83" spans="55:56" x14ac:dyDescent="0.25">
      <c r="BC83" s="64"/>
      <c r="BD83" s="64"/>
    </row>
    <row r="84" spans="55:56" x14ac:dyDescent="0.25">
      <c r="BC84" s="64"/>
      <c r="BD84" s="64"/>
    </row>
    <row r="85" spans="55:56" x14ac:dyDescent="0.25">
      <c r="BC85" s="64"/>
      <c r="BD85" s="64"/>
    </row>
    <row r="86" spans="55:56" x14ac:dyDescent="0.25">
      <c r="BC86" s="64"/>
      <c r="BD86" s="64"/>
    </row>
    <row r="87" spans="55:56" x14ac:dyDescent="0.25">
      <c r="BC87" s="64"/>
      <c r="BD87" s="64"/>
    </row>
    <row r="88" spans="55:56" x14ac:dyDescent="0.25">
      <c r="BC88" s="64"/>
      <c r="BD88" s="64"/>
    </row>
    <row r="89" spans="55:56" x14ac:dyDescent="0.25">
      <c r="BC89" s="64"/>
      <c r="BD89" s="64"/>
    </row>
    <row r="90" spans="55:56" x14ac:dyDescent="0.25">
      <c r="BC90" s="64"/>
      <c r="BD90" s="64"/>
    </row>
    <row r="91" spans="55:56" x14ac:dyDescent="0.25">
      <c r="BC91" s="64"/>
      <c r="BD91" s="64"/>
    </row>
    <row r="92" spans="55:56" x14ac:dyDescent="0.25">
      <c r="BC92" s="64"/>
      <c r="BD92" s="64"/>
    </row>
  </sheetData>
  <mergeCells count="5">
    <mergeCell ref="A2:A8"/>
    <mergeCell ref="A41:A49"/>
    <mergeCell ref="A62:A68"/>
    <mergeCell ref="A10:A14"/>
    <mergeCell ref="A15:A19"/>
  </mergeCells>
  <phoneticPr fontId="1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E8A9C-46E5-4665-8D6B-1E0B941B3615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546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DR1-WR + Isocon data</vt:lpstr>
      <vt:lpstr>DR2-Estimate Summary</vt:lpstr>
      <vt:lpstr>DR2.1 Rock volumes</vt:lpstr>
      <vt:lpstr>DR2.2 Illerfissalik</vt:lpstr>
      <vt:lpstr>DR2.3 Ilimaussaq</vt:lpstr>
      <vt:lpstr>DR2.4 HFSE Plotting</vt:lpstr>
      <vt:lpstr>G49471</vt:lpstr>
      <vt:lpstr>'DR2-Estimate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Sokol</dc:creator>
  <cp:lastModifiedBy>Jennifer Olivarez</cp:lastModifiedBy>
  <cp:lastPrinted>2021-02-11T20:43:50Z</cp:lastPrinted>
  <dcterms:created xsi:type="dcterms:W3CDTF">2020-12-01T12:32:29Z</dcterms:created>
  <dcterms:modified xsi:type="dcterms:W3CDTF">2021-11-04T21:46:14Z</dcterms:modified>
</cp:coreProperties>
</file>