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Geology\Editorial\Dec-2021\G49148-aWhittington\1-Data Repo\"/>
    </mc:Choice>
  </mc:AlternateContent>
  <xr:revisionPtr revIDLastSave="0" documentId="13_ncr:1_{9A99C75B-1B64-4D68-B934-91508AA1C7A3}" xr6:coauthVersionLast="47" xr6:coauthVersionMax="47" xr10:uidLastSave="{00000000-0000-0000-0000-000000000000}"/>
  <bookViews>
    <workbookView xWindow="-120" yWindow="-120" windowWidth="20730" windowHeight="10215" tabRatio="500" xr2:uid="{00000000-000D-0000-FFFF-FFFF00000000}"/>
  </bookViews>
  <sheets>
    <sheet name="Whittington &amp; Sehlke supp data" sheetId="4" r:id="rId1"/>
    <sheet name="Analytical conditions" sheetId="5" r:id="rId2"/>
    <sheet name="G49148" sheetId="6" r:id="rId3"/>
  </sheets>
  <calcPr calcId="191029" iterate="1" iterateCount="10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7" i="4" l="1"/>
  <c r="B29" i="4"/>
  <c r="B59" i="4" s="1"/>
  <c r="B28" i="4"/>
  <c r="B58" i="4" s="1"/>
  <c r="B27" i="4"/>
  <c r="B57" i="4" s="1"/>
  <c r="B25" i="4"/>
  <c r="B23" i="4"/>
  <c r="B53" i="4" s="1"/>
  <c r="B21" i="4"/>
  <c r="B51" i="4" s="1"/>
  <c r="B17" i="4"/>
  <c r="AD17" i="4"/>
  <c r="AB17" i="4"/>
  <c r="Z17" i="4"/>
  <c r="X17" i="4"/>
  <c r="V17" i="4"/>
  <c r="T17" i="4"/>
  <c r="F17" i="4"/>
  <c r="H17" i="4"/>
  <c r="J17" i="4"/>
  <c r="L17" i="4"/>
  <c r="N17" i="4"/>
  <c r="R17" i="4"/>
  <c r="R31" i="4"/>
  <c r="R61" i="4" s="1"/>
  <c r="R30" i="4"/>
  <c r="R60" i="4" s="1"/>
  <c r="R29" i="4"/>
  <c r="R59" i="4" s="1"/>
  <c r="R28" i="4"/>
  <c r="R58" i="4" s="1"/>
  <c r="R27" i="4"/>
  <c r="R57" i="4" s="1"/>
  <c r="R26" i="4"/>
  <c r="R56" i="4" s="1"/>
  <c r="R25" i="4"/>
  <c r="R24" i="4"/>
  <c r="R54" i="4" s="1"/>
  <c r="R23" i="4"/>
  <c r="R53" i="4" s="1"/>
  <c r="R22" i="4"/>
  <c r="R21" i="4"/>
  <c r="R51" i="4" s="1"/>
  <c r="B32" i="4" l="1"/>
  <c r="B38" i="4" s="1"/>
  <c r="B44" i="4"/>
  <c r="B55" i="4"/>
  <c r="B62" i="4" s="1"/>
  <c r="B36" i="4"/>
  <c r="R52" i="4"/>
  <c r="R55" i="4"/>
  <c r="R32" i="4"/>
  <c r="Z21" i="4"/>
  <c r="Z51" i="4" s="1"/>
  <c r="Z22" i="4"/>
  <c r="Z23" i="4"/>
  <c r="Z53" i="4" s="1"/>
  <c r="Z24" i="4"/>
  <c r="Z54" i="4" s="1"/>
  <c r="Z25" i="4"/>
  <c r="Z55" i="4" s="1"/>
  <c r="Z26" i="4"/>
  <c r="Z56" i="4" s="1"/>
  <c r="Z27" i="4"/>
  <c r="Z57" i="4" s="1"/>
  <c r="Z28" i="4"/>
  <c r="Z58" i="4" s="1"/>
  <c r="Z29" i="4"/>
  <c r="Z59" i="4" s="1"/>
  <c r="Z30" i="4"/>
  <c r="Z60" i="4" s="1"/>
  <c r="Z31" i="4"/>
  <c r="AB21" i="4"/>
  <c r="AB51" i="4" s="1"/>
  <c r="AB22" i="4"/>
  <c r="AB52" i="4" s="1"/>
  <c r="AB23" i="4"/>
  <c r="AB53" i="4" s="1"/>
  <c r="AB24" i="4"/>
  <c r="AB54" i="4" s="1"/>
  <c r="AB25" i="4"/>
  <c r="AB55" i="4" s="1"/>
  <c r="AB26" i="4"/>
  <c r="AB56" i="4" s="1"/>
  <c r="AB27" i="4"/>
  <c r="AB57" i="4"/>
  <c r="AB28" i="4"/>
  <c r="AB58" i="4" s="1"/>
  <c r="AB29" i="4"/>
  <c r="AB59" i="4" s="1"/>
  <c r="AB30" i="4"/>
  <c r="AB60" i="4"/>
  <c r="AB31" i="4"/>
  <c r="AB61" i="4" s="1"/>
  <c r="AK21" i="4"/>
  <c r="AK51" i="4" s="1"/>
  <c r="AK22" i="4"/>
  <c r="AK52" i="4" s="1"/>
  <c r="AK23" i="4"/>
  <c r="AK53" i="4" s="1"/>
  <c r="AK24" i="4"/>
  <c r="AK54" i="4" s="1"/>
  <c r="AK25" i="4"/>
  <c r="AK55" i="4" s="1"/>
  <c r="AK26" i="4"/>
  <c r="AK56" i="4" s="1"/>
  <c r="AK27" i="4"/>
  <c r="AK57" i="4" s="1"/>
  <c r="AK28" i="4"/>
  <c r="AK58" i="4"/>
  <c r="AK29" i="4"/>
  <c r="AK59" i="4"/>
  <c r="AK30" i="4"/>
  <c r="AK31" i="4"/>
  <c r="AK61" i="4" s="1"/>
  <c r="AD21" i="4"/>
  <c r="AD51" i="4" s="1"/>
  <c r="AD22" i="4"/>
  <c r="AD52" i="4" s="1"/>
  <c r="AD23" i="4"/>
  <c r="AD53" i="4" s="1"/>
  <c r="AD24" i="4"/>
  <c r="AD54" i="4" s="1"/>
  <c r="AD25" i="4"/>
  <c r="AD55" i="4"/>
  <c r="AD26" i="4"/>
  <c r="AD56" i="4"/>
  <c r="AD27" i="4"/>
  <c r="AD57" i="4" s="1"/>
  <c r="AD28" i="4"/>
  <c r="AD58" i="4" s="1"/>
  <c r="AD29" i="4"/>
  <c r="AD59" i="4" s="1"/>
  <c r="AD30" i="4"/>
  <c r="AD31" i="4"/>
  <c r="X21" i="4"/>
  <c r="X51" i="4" s="1"/>
  <c r="X22" i="4"/>
  <c r="X52" i="4" s="1"/>
  <c r="X23" i="4"/>
  <c r="X53" i="4" s="1"/>
  <c r="X24" i="4"/>
  <c r="X54" i="4" s="1"/>
  <c r="X25" i="4"/>
  <c r="X55" i="4" s="1"/>
  <c r="X26" i="4"/>
  <c r="X56" i="4" s="1"/>
  <c r="X27" i="4"/>
  <c r="X28" i="4"/>
  <c r="X58" i="4" s="1"/>
  <c r="X29" i="4"/>
  <c r="X30" i="4"/>
  <c r="X31" i="4"/>
  <c r="X61" i="4" s="1"/>
  <c r="V21" i="4"/>
  <c r="V51" i="4" s="1"/>
  <c r="V22" i="4"/>
  <c r="V23" i="4"/>
  <c r="V53" i="4" s="1"/>
  <c r="V24" i="4"/>
  <c r="V54" i="4" s="1"/>
  <c r="V25" i="4"/>
  <c r="V55" i="4" s="1"/>
  <c r="V26" i="4"/>
  <c r="V56" i="4" s="1"/>
  <c r="V27" i="4"/>
  <c r="V57" i="4" s="1"/>
  <c r="V28" i="4"/>
  <c r="V29" i="4"/>
  <c r="V59" i="4" s="1"/>
  <c r="V30" i="4"/>
  <c r="V31" i="4"/>
  <c r="V61" i="4" s="1"/>
  <c r="T21" i="4"/>
  <c r="T51" i="4" s="1"/>
  <c r="T22" i="4"/>
  <c r="T52" i="4" s="1"/>
  <c r="T23" i="4"/>
  <c r="T53" i="4" s="1"/>
  <c r="T24" i="4"/>
  <c r="T54" i="4"/>
  <c r="T25" i="4"/>
  <c r="T26" i="4"/>
  <c r="T27" i="4"/>
  <c r="T57" i="4" s="1"/>
  <c r="T28" i="4"/>
  <c r="T29" i="4"/>
  <c r="T59" i="4" s="1"/>
  <c r="T30" i="4"/>
  <c r="T60" i="4" s="1"/>
  <c r="T31" i="4"/>
  <c r="T61" i="4" s="1"/>
  <c r="N21" i="4"/>
  <c r="N51" i="4" s="1"/>
  <c r="N22" i="4"/>
  <c r="N52" i="4" s="1"/>
  <c r="N23" i="4"/>
  <c r="N53" i="4" s="1"/>
  <c r="N24" i="4"/>
  <c r="N25" i="4"/>
  <c r="N55" i="4" s="1"/>
  <c r="N26" i="4"/>
  <c r="N27" i="4"/>
  <c r="N57" i="4" s="1"/>
  <c r="N28" i="4"/>
  <c r="N58" i="4" s="1"/>
  <c r="N29" i="4"/>
  <c r="N59" i="4"/>
  <c r="N30" i="4"/>
  <c r="N60" i="4" s="1"/>
  <c r="N31" i="4"/>
  <c r="L21" i="4"/>
  <c r="L22" i="4"/>
  <c r="L23" i="4"/>
  <c r="L53" i="4"/>
  <c r="L24" i="4"/>
  <c r="L25" i="4"/>
  <c r="L55" i="4" s="1"/>
  <c r="L26" i="4"/>
  <c r="L56" i="4" s="1"/>
  <c r="L27" i="4"/>
  <c r="L57" i="4"/>
  <c r="L28" i="4"/>
  <c r="L58" i="4" s="1"/>
  <c r="L29" i="4"/>
  <c r="L30" i="4"/>
  <c r="L60" i="4" s="1"/>
  <c r="L31" i="4"/>
  <c r="J21" i="4"/>
  <c r="J51" i="4" s="1"/>
  <c r="J22" i="4"/>
  <c r="J23" i="4"/>
  <c r="J53" i="4" s="1"/>
  <c r="J24" i="4"/>
  <c r="J54" i="4" s="1"/>
  <c r="J25" i="4"/>
  <c r="J55" i="4"/>
  <c r="J26" i="4"/>
  <c r="J56" i="4" s="1"/>
  <c r="J27" i="4"/>
  <c r="J57" i="4" s="1"/>
  <c r="J28" i="4"/>
  <c r="J58" i="4" s="1"/>
  <c r="J29" i="4"/>
  <c r="J59" i="4" s="1"/>
  <c r="J30" i="4"/>
  <c r="J31" i="4"/>
  <c r="J61" i="4" s="1"/>
  <c r="H21" i="4"/>
  <c r="H51" i="4"/>
  <c r="H22" i="4"/>
  <c r="H52" i="4" s="1"/>
  <c r="H23" i="4"/>
  <c r="H53" i="4" s="1"/>
  <c r="H24" i="4"/>
  <c r="H54" i="4" s="1"/>
  <c r="H25" i="4"/>
  <c r="H55" i="4" s="1"/>
  <c r="H26" i="4"/>
  <c r="H27" i="4"/>
  <c r="H28" i="4"/>
  <c r="H29" i="4"/>
  <c r="H59" i="4"/>
  <c r="H30" i="4"/>
  <c r="H60" i="4" s="1"/>
  <c r="H31" i="4"/>
  <c r="H61" i="4" s="1"/>
  <c r="F21" i="4"/>
  <c r="F51" i="4"/>
  <c r="F22" i="4"/>
  <c r="F52" i="4" s="1"/>
  <c r="F23" i="4"/>
  <c r="F24" i="4"/>
  <c r="F25" i="4"/>
  <c r="F55" i="4" s="1"/>
  <c r="F26" i="4"/>
  <c r="F27" i="4"/>
  <c r="F57" i="4" s="1"/>
  <c r="F28" i="4"/>
  <c r="F58" i="4" s="1"/>
  <c r="F29" i="4"/>
  <c r="F59" i="4" s="1"/>
  <c r="F30" i="4"/>
  <c r="F60" i="4"/>
  <c r="F31" i="4"/>
  <c r="D21" i="4"/>
  <c r="D22" i="4"/>
  <c r="D52" i="4" s="1"/>
  <c r="D23" i="4"/>
  <c r="D53" i="4" s="1"/>
  <c r="D24" i="4"/>
  <c r="D25" i="4"/>
  <c r="D55" i="4" s="1"/>
  <c r="D26" i="4"/>
  <c r="D56" i="4" s="1"/>
  <c r="D27" i="4"/>
  <c r="D57" i="4" s="1"/>
  <c r="D28" i="4"/>
  <c r="D58" i="4" s="1"/>
  <c r="D29" i="4"/>
  <c r="D59" i="4" s="1"/>
  <c r="D30" i="4"/>
  <c r="D31" i="4"/>
  <c r="D61" i="4" s="1"/>
  <c r="AK17" i="4"/>
  <c r="L32" i="4" l="1"/>
  <c r="L47" i="4" s="1"/>
  <c r="J32" i="4"/>
  <c r="J38" i="4" s="1"/>
  <c r="L37" i="4"/>
  <c r="AB32" i="4"/>
  <c r="L46" i="4"/>
  <c r="R62" i="4"/>
  <c r="R65" i="4" s="1"/>
  <c r="Z32" i="4"/>
  <c r="Z46" i="4"/>
  <c r="B43" i="4"/>
  <c r="B47" i="4"/>
  <c r="B40" i="4"/>
  <c r="B42" i="4"/>
  <c r="B65" i="4"/>
  <c r="R44" i="4"/>
  <c r="R47" i="4"/>
  <c r="R36" i="4"/>
  <c r="R43" i="4"/>
  <c r="R42" i="4"/>
  <c r="R41" i="4"/>
  <c r="R45" i="4"/>
  <c r="R46" i="4"/>
  <c r="R39" i="4"/>
  <c r="R40" i="4"/>
  <c r="R38" i="4"/>
  <c r="R37" i="4"/>
  <c r="L41" i="4"/>
  <c r="F32" i="4"/>
  <c r="F40" i="4" s="1"/>
  <c r="H57" i="4"/>
  <c r="J52" i="4"/>
  <c r="J37" i="4"/>
  <c r="J40" i="4"/>
  <c r="J41" i="4"/>
  <c r="H56" i="4"/>
  <c r="J36" i="4"/>
  <c r="L54" i="4"/>
  <c r="L39" i="4"/>
  <c r="N56" i="4"/>
  <c r="N41" i="4"/>
  <c r="V52" i="4"/>
  <c r="L43" i="4"/>
  <c r="L40" i="4"/>
  <c r="J42" i="4"/>
  <c r="L45" i="4"/>
  <c r="H58" i="4"/>
  <c r="L38" i="4"/>
  <c r="L61" i="4"/>
  <c r="N32" i="4"/>
  <c r="N54" i="4"/>
  <c r="J60" i="4"/>
  <c r="J45" i="4"/>
  <c r="J44" i="4"/>
  <c r="T42" i="4"/>
  <c r="L42" i="4"/>
  <c r="J46" i="4"/>
  <c r="F39" i="4"/>
  <c r="AD32" i="4"/>
  <c r="AD41" i="4" s="1"/>
  <c r="J43" i="4"/>
  <c r="T41" i="4"/>
  <c r="T56" i="4"/>
  <c r="X60" i="4"/>
  <c r="T32" i="4"/>
  <c r="T43" i="4" s="1"/>
  <c r="X59" i="4"/>
  <c r="V32" i="4"/>
  <c r="V43" i="4" s="1"/>
  <c r="V58" i="4"/>
  <c r="F56" i="4"/>
  <c r="X57" i="4"/>
  <c r="D54" i="4"/>
  <c r="L44" i="4"/>
  <c r="L52" i="4"/>
  <c r="H32" i="4"/>
  <c r="T58" i="4"/>
  <c r="AK32" i="4"/>
  <c r="V60" i="4"/>
  <c r="J47" i="4"/>
  <c r="D60" i="4"/>
  <c r="F54" i="4"/>
  <c r="D51" i="4"/>
  <c r="F61" i="4"/>
  <c r="F53" i="4"/>
  <c r="L59" i="4"/>
  <c r="L51" i="4"/>
  <c r="N61" i="4"/>
  <c r="T55" i="4"/>
  <c r="AD61" i="4"/>
  <c r="AD60" i="4"/>
  <c r="L36" i="4"/>
  <c r="D32" i="4"/>
  <c r="D43" i="4" s="1"/>
  <c r="X32" i="4"/>
  <c r="X40" i="4" s="1"/>
  <c r="AK60" i="4"/>
  <c r="AK62" i="4" s="1"/>
  <c r="AK65" i="4" s="1"/>
  <c r="AB62" i="4"/>
  <c r="Z44" i="4"/>
  <c r="Z36" i="4"/>
  <c r="Z61" i="4"/>
  <c r="Z43" i="4"/>
  <c r="Z52" i="4"/>
  <c r="X62" i="4" l="1"/>
  <c r="AD62" i="4"/>
  <c r="V62" i="4"/>
  <c r="J62" i="4"/>
  <c r="T62" i="4"/>
  <c r="H62" i="4"/>
  <c r="N62" i="4"/>
  <c r="L62" i="4"/>
  <c r="Z47" i="4"/>
  <c r="Z45" i="4"/>
  <c r="Z38" i="4"/>
  <c r="Z41" i="4"/>
  <c r="Z40" i="4"/>
  <c r="Z42" i="4"/>
  <c r="Z39" i="4"/>
  <c r="Z62" i="4"/>
  <c r="Z65" i="4" s="1"/>
  <c r="AB44" i="4"/>
  <c r="AB41" i="4"/>
  <c r="AB40" i="4"/>
  <c r="AB37" i="4"/>
  <c r="AB39" i="4"/>
  <c r="AB38" i="4"/>
  <c r="AB36" i="4"/>
  <c r="AB45" i="4"/>
  <c r="AB47" i="4"/>
  <c r="AB46" i="4"/>
  <c r="AB43" i="4"/>
  <c r="D46" i="4"/>
  <c r="Z37" i="4"/>
  <c r="J39" i="4"/>
  <c r="AB42" i="4"/>
  <c r="B69" i="4"/>
  <c r="B76" i="4"/>
  <c r="B75" i="4"/>
  <c r="B77" i="4"/>
  <c r="B71" i="4"/>
  <c r="B73" i="4"/>
  <c r="R77" i="4"/>
  <c r="R74" i="4"/>
  <c r="R76" i="4"/>
  <c r="R75" i="4"/>
  <c r="R69" i="4"/>
  <c r="R73" i="4"/>
  <c r="R78" i="4"/>
  <c r="R70" i="4"/>
  <c r="R72" i="4"/>
  <c r="R71" i="4"/>
  <c r="R79" i="4"/>
  <c r="H65" i="4"/>
  <c r="AD65" i="4"/>
  <c r="T65" i="4"/>
  <c r="V65" i="4"/>
  <c r="N65" i="4"/>
  <c r="AK77" i="4"/>
  <c r="AK79" i="4"/>
  <c r="AK69" i="4"/>
  <c r="AK70" i="4"/>
  <c r="AK71" i="4"/>
  <c r="AK73" i="4"/>
  <c r="AK72" i="4"/>
  <c r="AK74" i="4"/>
  <c r="AK75" i="4"/>
  <c r="AK78" i="4"/>
  <c r="AK76" i="4"/>
  <c r="AK45" i="4"/>
  <c r="AK41" i="4"/>
  <c r="AK37" i="4"/>
  <c r="AK46" i="4"/>
  <c r="AK38" i="4"/>
  <c r="AK39" i="4"/>
  <c r="AK40" i="4"/>
  <c r="AK36" i="4"/>
  <c r="AK47" i="4"/>
  <c r="AK44" i="4"/>
  <c r="H47" i="4"/>
  <c r="H39" i="4"/>
  <c r="H44" i="4"/>
  <c r="H40" i="4"/>
  <c r="H36" i="4"/>
  <c r="H45" i="4"/>
  <c r="H37" i="4"/>
  <c r="H46" i="4"/>
  <c r="H38" i="4"/>
  <c r="AK42" i="4"/>
  <c r="AB65" i="4"/>
  <c r="H41" i="4"/>
  <c r="V40" i="4"/>
  <c r="V41" i="4"/>
  <c r="V47" i="4"/>
  <c r="V46" i="4"/>
  <c r="V42" i="4"/>
  <c r="V38" i="4"/>
  <c r="V39" i="4"/>
  <c r="L65" i="4"/>
  <c r="H42" i="4"/>
  <c r="X36" i="4"/>
  <c r="X47" i="4"/>
  <c r="X39" i="4"/>
  <c r="X42" i="4"/>
  <c r="X43" i="4"/>
  <c r="X38" i="4"/>
  <c r="V36" i="4"/>
  <c r="D47" i="4"/>
  <c r="D44" i="4"/>
  <c r="D41" i="4"/>
  <c r="D37" i="4"/>
  <c r="D40" i="4"/>
  <c r="D36" i="4"/>
  <c r="X65" i="4"/>
  <c r="F62" i="4"/>
  <c r="D62" i="4"/>
  <c r="X45" i="4"/>
  <c r="AK43" i="4"/>
  <c r="D42" i="4"/>
  <c r="X44" i="4"/>
  <c r="J65" i="4"/>
  <c r="N44" i="4"/>
  <c r="N36" i="4"/>
  <c r="N45" i="4"/>
  <c r="N37" i="4"/>
  <c r="N47" i="4"/>
  <c r="N46" i="4"/>
  <c r="N39" i="4"/>
  <c r="N43" i="4"/>
  <c r="N42" i="4"/>
  <c r="N38" i="4"/>
  <c r="V44" i="4"/>
  <c r="D38" i="4"/>
  <c r="D39" i="4"/>
  <c r="T40" i="4"/>
  <c r="T44" i="4"/>
  <c r="T36" i="4"/>
  <c r="T45" i="4"/>
  <c r="T37" i="4"/>
  <c r="T46" i="4"/>
  <c r="T38" i="4"/>
  <c r="T39" i="4"/>
  <c r="T47" i="4"/>
  <c r="X41" i="4"/>
  <c r="H43" i="4"/>
  <c r="V37" i="4"/>
  <c r="F47" i="4"/>
  <c r="F43" i="4"/>
  <c r="F44" i="4"/>
  <c r="F36" i="4"/>
  <c r="F38" i="4"/>
  <c r="F37" i="4"/>
  <c r="F46" i="4"/>
  <c r="F45" i="4"/>
  <c r="F42" i="4"/>
  <c r="F41" i="4"/>
  <c r="D45" i="4"/>
  <c r="X37" i="4"/>
  <c r="V45" i="4"/>
  <c r="X46" i="4"/>
  <c r="AD47" i="4"/>
  <c r="AD37" i="4"/>
  <c r="AD45" i="4"/>
  <c r="AD46" i="4"/>
  <c r="AD42" i="4"/>
  <c r="AD38" i="4"/>
  <c r="AD43" i="4"/>
  <c r="AD39" i="4"/>
  <c r="AD40" i="4"/>
  <c r="AD36" i="4"/>
  <c r="AD44" i="4"/>
  <c r="N40" i="4"/>
  <c r="B84" i="4" l="1"/>
  <c r="B82" i="4"/>
  <c r="B83" i="4"/>
  <c r="R84" i="4"/>
  <c r="R82" i="4"/>
  <c r="R83" i="4"/>
  <c r="B80" i="4"/>
  <c r="R80" i="4"/>
  <c r="D65" i="4"/>
  <c r="N75" i="4"/>
  <c r="N77" i="4"/>
  <c r="N78" i="4"/>
  <c r="N71" i="4"/>
  <c r="N69" i="4"/>
  <c r="N70" i="4"/>
  <c r="N73" i="4"/>
  <c r="N72" i="4"/>
  <c r="N79" i="4"/>
  <c r="N76" i="4"/>
  <c r="N74" i="4"/>
  <c r="H77" i="4"/>
  <c r="H78" i="4"/>
  <c r="H79" i="4"/>
  <c r="H69" i="4"/>
  <c r="H70" i="4"/>
  <c r="H71" i="4"/>
  <c r="H72" i="4"/>
  <c r="H73" i="4"/>
  <c r="H76" i="4"/>
  <c r="H75" i="4"/>
  <c r="H74" i="4"/>
  <c r="AB76" i="4"/>
  <c r="AB77" i="4"/>
  <c r="AB78" i="4"/>
  <c r="AB79" i="4"/>
  <c r="AB69" i="4"/>
  <c r="AB70" i="4"/>
  <c r="AB72" i="4"/>
  <c r="AB71" i="4"/>
  <c r="AB73" i="4"/>
  <c r="AB74" i="4"/>
  <c r="AB75" i="4"/>
  <c r="AB82" i="4" s="1"/>
  <c r="J71" i="4"/>
  <c r="J72" i="4"/>
  <c r="J73" i="4"/>
  <c r="J74" i="4"/>
  <c r="J79" i="4"/>
  <c r="J75" i="4"/>
  <c r="J76" i="4"/>
  <c r="J78" i="4"/>
  <c r="J70" i="4"/>
  <c r="J77" i="4"/>
  <c r="J69" i="4"/>
  <c r="F65" i="4"/>
  <c r="L73" i="4"/>
  <c r="L74" i="4"/>
  <c r="L75" i="4"/>
  <c r="L76" i="4"/>
  <c r="L77" i="4"/>
  <c r="L79" i="4"/>
  <c r="L78" i="4"/>
  <c r="L72" i="4"/>
  <c r="L69" i="4"/>
  <c r="L71" i="4"/>
  <c r="L70" i="4"/>
  <c r="X71" i="4"/>
  <c r="X74" i="4"/>
  <c r="X70" i="4"/>
  <c r="X72" i="4"/>
  <c r="X75" i="4"/>
  <c r="X79" i="4"/>
  <c r="X77" i="4"/>
  <c r="X78" i="4"/>
  <c r="X73" i="4"/>
  <c r="X69" i="4"/>
  <c r="X76" i="4"/>
  <c r="X83" i="4" s="1"/>
  <c r="AK80" i="4"/>
  <c r="AK84" i="4" s="1"/>
  <c r="V71" i="4"/>
  <c r="V72" i="4"/>
  <c r="V73" i="4"/>
  <c r="V74" i="4"/>
  <c r="V77" i="4"/>
  <c r="V75" i="4"/>
  <c r="V78" i="4"/>
  <c r="V79" i="4"/>
  <c r="V70" i="4"/>
  <c r="V69" i="4"/>
  <c r="V76" i="4"/>
  <c r="V83" i="4" s="1"/>
  <c r="T77" i="4"/>
  <c r="T78" i="4"/>
  <c r="T79" i="4"/>
  <c r="T69" i="4"/>
  <c r="T70" i="4"/>
  <c r="T72" i="4"/>
  <c r="T73" i="4"/>
  <c r="T71" i="4"/>
  <c r="T74" i="4"/>
  <c r="T75" i="4"/>
  <c r="T76" i="4"/>
  <c r="Z69" i="4"/>
  <c r="Z71" i="4"/>
  <c r="Z72" i="4"/>
  <c r="Z73" i="4"/>
  <c r="Z74" i="4"/>
  <c r="Z75" i="4"/>
  <c r="Z76" i="4"/>
  <c r="Z83" i="4" s="1"/>
  <c r="Z77" i="4"/>
  <c r="Z78" i="4"/>
  <c r="Z79" i="4"/>
  <c r="Z70" i="4"/>
  <c r="AD75" i="4"/>
  <c r="AD77" i="4"/>
  <c r="AD69" i="4"/>
  <c r="AD70" i="4"/>
  <c r="AD71" i="4"/>
  <c r="AD72" i="4"/>
  <c r="AD74" i="4"/>
  <c r="AD79" i="4"/>
  <c r="AD78" i="4"/>
  <c r="AD73" i="4"/>
  <c r="AD76" i="4"/>
  <c r="N82" i="4" l="1"/>
  <c r="AD82" i="4"/>
  <c r="T83" i="4"/>
  <c r="X84" i="4"/>
  <c r="T82" i="4"/>
  <c r="T84" i="4"/>
  <c r="V82" i="4"/>
  <c r="J83" i="4"/>
  <c r="Z82" i="4"/>
  <c r="X82" i="4"/>
  <c r="AB83" i="4"/>
  <c r="Z84" i="4"/>
  <c r="AB84" i="4"/>
  <c r="V84" i="4"/>
  <c r="L83" i="4"/>
  <c r="AD83" i="4"/>
  <c r="AD84" i="4"/>
  <c r="H84" i="4"/>
  <c r="J82" i="4"/>
  <c r="L82" i="4"/>
  <c r="H83" i="4"/>
  <c r="L84" i="4"/>
  <c r="J84" i="4"/>
  <c r="N83" i="4"/>
  <c r="H82" i="4"/>
  <c r="X80" i="4"/>
  <c r="N84" i="4"/>
  <c r="AD80" i="4"/>
  <c r="N80" i="4"/>
  <c r="V80" i="4"/>
  <c r="T80" i="4"/>
  <c r="D73" i="4"/>
  <c r="D74" i="4"/>
  <c r="D75" i="4"/>
  <c r="D77" i="4"/>
  <c r="D76" i="4"/>
  <c r="D79" i="4"/>
  <c r="D69" i="4"/>
  <c r="D72" i="4"/>
  <c r="D71" i="4"/>
  <c r="D78" i="4"/>
  <c r="D70" i="4"/>
  <c r="H80" i="4"/>
  <c r="F75" i="4"/>
  <c r="F77" i="4"/>
  <c r="F78" i="4"/>
  <c r="F71" i="4"/>
  <c r="F70" i="4"/>
  <c r="F69" i="4"/>
  <c r="F73" i="4"/>
  <c r="F74" i="4"/>
  <c r="F76" i="4"/>
  <c r="F83" i="4" s="1"/>
  <c r="F79" i="4"/>
  <c r="F72" i="4"/>
  <c r="J80" i="4"/>
  <c r="L80" i="4"/>
  <c r="AB80" i="4"/>
  <c r="Z80" i="4"/>
  <c r="D84" i="4" l="1"/>
  <c r="D82" i="4"/>
  <c r="F84" i="4"/>
  <c r="F82" i="4"/>
  <c r="D83" i="4"/>
  <c r="F80" i="4"/>
  <c r="D80" i="4"/>
</calcChain>
</file>

<file path=xl/sharedStrings.xml><?xml version="1.0" encoding="utf-8"?>
<sst xmlns="http://schemas.openxmlformats.org/spreadsheetml/2006/main" count="262" uniqueCount="79">
  <si>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</si>
  <si>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</si>
  <si>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</si>
  <si>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</si>
  <si>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</si>
  <si>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</si>
  <si>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</si>
  <si>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</si>
  <si>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</si>
  <si>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</si>
  <si>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P2O5</t>
  </si>
  <si>
    <t>Mg#</t>
  </si>
  <si>
    <t>FLIR</t>
  </si>
  <si>
    <t>DSC</t>
  </si>
  <si>
    <t>#cations per #oxygen</t>
  </si>
  <si>
    <t>X Si</t>
  </si>
  <si>
    <t>X Ti</t>
  </si>
  <si>
    <t>X Al</t>
  </si>
  <si>
    <t>X Cr</t>
  </si>
  <si>
    <t>X Fe</t>
  </si>
  <si>
    <t>X Mn</t>
  </si>
  <si>
    <t>X Mg</t>
  </si>
  <si>
    <t>X Ca</t>
  </si>
  <si>
    <t>X Na</t>
  </si>
  <si>
    <t>X K</t>
  </si>
  <si>
    <t>X P</t>
  </si>
  <si>
    <t>Sum</t>
  </si>
  <si>
    <t>Number of anions</t>
  </si>
  <si>
    <t>Mole fractions</t>
  </si>
  <si>
    <t>Mole proportions</t>
  </si>
  <si>
    <t>Number of oxygen</t>
  </si>
  <si>
    <t>Sum of cations</t>
  </si>
  <si>
    <t>Oxygen renormalization factor (ORF)</t>
  </si>
  <si>
    <t>Type of experiment</t>
  </si>
  <si>
    <t>Pyroxene</t>
  </si>
  <si>
    <t>Starting melt</t>
  </si>
  <si>
    <t>Komatiite</t>
  </si>
  <si>
    <t>Ferrosilite</t>
  </si>
  <si>
    <t>Bronzite</t>
  </si>
  <si>
    <t>Trydimite</t>
  </si>
  <si>
    <t>Pigeonite</t>
  </si>
  <si>
    <t>Augite</t>
  </si>
  <si>
    <t>Spinel</t>
  </si>
  <si>
    <t>Olivine</t>
  </si>
  <si>
    <t>wt%</t>
  </si>
  <si>
    <t>Putirka 2008</t>
  </si>
  <si>
    <t>Control Calculation</t>
  </si>
  <si>
    <t>Glass</t>
  </si>
  <si>
    <t>na</t>
  </si>
  <si>
    <t>Cations in formula</t>
  </si>
  <si>
    <t>1σ (n = 13)</t>
  </si>
  <si>
    <t>1σ (n = 7)</t>
  </si>
  <si>
    <t>1σ (n = 4)</t>
  </si>
  <si>
    <t>1σ (n = 8)</t>
  </si>
  <si>
    <t>1σ (n = 6)</t>
  </si>
  <si>
    <t>1σ (n = 2)</t>
  </si>
  <si>
    <t>1σ (n = 3)</t>
  </si>
  <si>
    <t>(n = 1)</t>
  </si>
  <si>
    <t>Si</t>
  </si>
  <si>
    <t>Ti</t>
  </si>
  <si>
    <t>Al</t>
  </si>
  <si>
    <t>Cr</t>
  </si>
  <si>
    <t>Fe</t>
  </si>
  <si>
    <t>Mn</t>
  </si>
  <si>
    <t>Mg</t>
  </si>
  <si>
    <t>Ca</t>
  </si>
  <si>
    <t>Na</t>
  </si>
  <si>
    <t>K</t>
  </si>
  <si>
    <t>P</t>
  </si>
  <si>
    <t>Ca#</t>
  </si>
  <si>
    <t>NBO/T</t>
  </si>
  <si>
    <t>Starting Glass</t>
  </si>
  <si>
    <t>nm</t>
  </si>
  <si>
    <t>Phase</t>
  </si>
  <si>
    <t xml:space="preserve">Electron microprobe analyses of phases from FLIR experiments, and from DSC experiments pyx 150714 and kom 151021. </t>
  </si>
  <si>
    <t>Analyses were made using a 20 μm beam diameter, 15 kV accelerating potential, and 25 nA beam current.</t>
  </si>
  <si>
    <t>Data obtained on a JEOL JXA-8200 at Washington University in St. Louis, using five wavelength dispersive spectrometers (WDS).</t>
  </si>
  <si>
    <t xml:space="preserve">Microprobe calibrated using oxide and silicate standards, with data corrected using CITZAF. </t>
  </si>
  <si>
    <t>Whittington, A.G., and Sehlke, A., 2021, Spontaneous reheating of crystallizing lava: Geology, v. 49, https://doi.org/10.1130/G49148.1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</si>
</sst>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sz val="12"/>
      <color rgb="FF000000"/>
      <name val="Arial"/>
      <family val="2"/>
    </font>
    <font>
      <i/>
      <sz val="12"/>
      <color theme="1"/>
      <name val="Arial"/>
      <family val="2"/>
    </font>
    <font>
      <i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9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8">
    <xf numFmtId="0" fontId="0" fillId="0" borderId="0" xfId="0"/>
    <xf numFmtId="2" fontId="0" fillId="0" borderId="0" xfId="0" applyNumberFormat="1" applyFont="1" applyFill="1"/>
    <xf numFmtId="2" fontId="0" fillId="0" borderId="0" xfId="0" applyNumberFormat="1" applyFont="1" applyFill="1" applyAlignment="1">
      <alignment horizontal="right"/>
    </xf>
    <xf numFmtId="0" fontId="0" fillId="0" borderId="0" xfId="0" applyFont="1"/>
    <xf numFmtId="164" fontId="0" fillId="0" borderId="0" xfId="0" applyNumberFormat="1" applyFont="1"/>
    <xf numFmtId="0" fontId="1" fillId="0" borderId="4" xfId="0" applyFont="1" applyBorder="1"/>
    <xf numFmtId="164" fontId="0" fillId="0" borderId="4" xfId="0" applyNumberFormat="1" applyFont="1" applyBorder="1"/>
    <xf numFmtId="0" fontId="0" fillId="0" borderId="0" xfId="0" applyBorder="1" applyAlignment="1">
      <alignment vertical="center"/>
    </xf>
    <xf numFmtId="164" fontId="0" fillId="0" borderId="0" xfId="0" applyNumberFormat="1" applyFont="1" applyBorder="1" applyAlignment="1">
      <alignment vertical="center"/>
    </xf>
    <xf numFmtId="164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164" fontId="0" fillId="0" borderId="3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2" fontId="0" fillId="0" borderId="2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0" fillId="0" borderId="1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>
      <alignment vertical="center"/>
    </xf>
    <xf numFmtId="2" fontId="0" fillId="0" borderId="0" xfId="0" applyNumberFormat="1" applyFont="1" applyFill="1" applyAlignment="1">
      <alignment vertical="center"/>
    </xf>
    <xf numFmtId="2" fontId="0" fillId="0" borderId="3" xfId="0" applyNumberFormat="1" applyFont="1" applyFill="1" applyBorder="1" applyAlignment="1">
      <alignment vertical="center"/>
    </xf>
    <xf numFmtId="2" fontId="1" fillId="0" borderId="4" xfId="0" applyNumberFormat="1" applyFont="1" applyFill="1" applyBorder="1" applyAlignment="1">
      <alignment vertical="center"/>
    </xf>
    <xf numFmtId="2" fontId="0" fillId="0" borderId="4" xfId="0" applyNumberFormat="1" applyFont="1" applyFill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2" fontId="0" fillId="0" borderId="0" xfId="0" applyNumberFormat="1" applyFont="1" applyAlignment="1">
      <alignment vertical="center"/>
    </xf>
    <xf numFmtId="0" fontId="1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2" fontId="0" fillId="0" borderId="0" xfId="0" applyNumberFormat="1" applyFont="1" applyBorder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0" borderId="3" xfId="0" applyNumberFormat="1" applyFont="1" applyBorder="1" applyAlignment="1">
      <alignment vertical="center"/>
    </xf>
    <xf numFmtId="2" fontId="0" fillId="0" borderId="3" xfId="0" applyNumberFormat="1" applyFont="1" applyBorder="1" applyAlignment="1">
      <alignment vertical="center"/>
    </xf>
    <xf numFmtId="2" fontId="0" fillId="0" borderId="0" xfId="0" applyNumberFormat="1" applyFont="1" applyAlignment="1">
      <alignment horizontal="right" vertical="center"/>
    </xf>
    <xf numFmtId="0" fontId="0" fillId="0" borderId="2" xfId="0" applyBorder="1" applyAlignment="1">
      <alignment vertical="center"/>
    </xf>
    <xf numFmtId="164" fontId="0" fillId="0" borderId="2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2" fontId="0" fillId="0" borderId="0" xfId="0" applyNumberFormat="1" applyFont="1" applyFill="1" applyAlignment="1">
      <alignment horizontal="left"/>
    </xf>
    <xf numFmtId="2" fontId="0" fillId="0" borderId="2" xfId="0" applyNumberFormat="1" applyFont="1" applyFill="1" applyBorder="1" applyAlignment="1">
      <alignment horizontal="left" vertical="center"/>
    </xf>
    <xf numFmtId="2" fontId="0" fillId="0" borderId="0" xfId="0" applyNumberFormat="1" applyFont="1" applyFill="1" applyBorder="1" applyAlignment="1">
      <alignment horizontal="left" vertical="center"/>
    </xf>
    <xf numFmtId="2" fontId="0" fillId="0" borderId="3" xfId="0" applyNumberFormat="1" applyFont="1" applyFill="1" applyBorder="1" applyAlignment="1">
      <alignment horizontal="left" vertical="center"/>
    </xf>
    <xf numFmtId="2" fontId="0" fillId="0" borderId="0" xfId="0" applyNumberFormat="1" applyFont="1" applyFill="1" applyAlignment="1">
      <alignment horizontal="left" vertical="center"/>
    </xf>
    <xf numFmtId="2" fontId="0" fillId="0" borderId="4" xfId="0" applyNumberFormat="1" applyFont="1" applyFill="1" applyBorder="1" applyAlignment="1">
      <alignment horizontal="left" vertical="center"/>
    </xf>
    <xf numFmtId="164" fontId="0" fillId="0" borderId="0" xfId="0" applyNumberFormat="1" applyFont="1" applyBorder="1" applyAlignment="1">
      <alignment horizontal="left" vertical="center"/>
    </xf>
    <xf numFmtId="164" fontId="0" fillId="0" borderId="3" xfId="0" applyNumberFormat="1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2" fontId="0" fillId="0" borderId="0" xfId="0" applyNumberFormat="1" applyFont="1" applyAlignment="1">
      <alignment horizontal="left" vertical="center"/>
    </xf>
    <xf numFmtId="164" fontId="0" fillId="0" borderId="2" xfId="0" applyNumberFormat="1" applyFont="1" applyBorder="1" applyAlignment="1">
      <alignment horizontal="left" vertical="center"/>
    </xf>
    <xf numFmtId="164" fontId="0" fillId="0" borderId="0" xfId="0" applyNumberFormat="1" applyFont="1" applyAlignment="1">
      <alignment horizontal="left"/>
    </xf>
    <xf numFmtId="164" fontId="0" fillId="0" borderId="4" xfId="0" applyNumberFormat="1" applyFont="1" applyBorder="1" applyAlignment="1">
      <alignment horizontal="left"/>
    </xf>
    <xf numFmtId="0" fontId="0" fillId="0" borderId="0" xfId="0" applyFont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2" fontId="5" fillId="0" borderId="1" xfId="0" applyNumberFormat="1" applyFont="1" applyFill="1" applyBorder="1" applyAlignment="1">
      <alignment horizontal="left" vertical="center"/>
    </xf>
    <xf numFmtId="2" fontId="0" fillId="0" borderId="0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2" fontId="0" fillId="0" borderId="0" xfId="0" applyNumberFormat="1" applyFont="1" applyBorder="1" applyAlignment="1">
      <alignment horizontal="left" vertical="center"/>
    </xf>
    <xf numFmtId="164" fontId="0" fillId="0" borderId="0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vertical="center"/>
    </xf>
    <xf numFmtId="2" fontId="0" fillId="0" borderId="2" xfId="0" applyNumberFormat="1" applyFont="1" applyBorder="1" applyAlignment="1">
      <alignment vertical="center"/>
    </xf>
    <xf numFmtId="0" fontId="0" fillId="0" borderId="2" xfId="0" applyBorder="1"/>
    <xf numFmtId="0" fontId="0" fillId="0" borderId="1" xfId="0" applyBorder="1"/>
  </cellXfs>
  <cellStyles count="1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85"/>
  <sheetViews>
    <sheetView tabSelected="1" zoomScale="88" workbookViewId="0">
      <selection activeCell="AE1" sqref="AE1:AE1048576"/>
    </sheetView>
  </sheetViews>
  <sheetFormatPr defaultColWidth="11.5546875" defaultRowHeight="15" x14ac:dyDescent="0.2"/>
  <cols>
    <col min="1" max="1" width="16.6640625" customWidth="1"/>
    <col min="2" max="2" width="11.6640625" style="1" customWidth="1"/>
    <col min="3" max="3" width="9.6640625" style="41" customWidth="1"/>
    <col min="4" max="4" width="10.6640625" style="1"/>
    <col min="5" max="5" width="9.6640625" style="41" customWidth="1"/>
    <col min="6" max="6" width="10.6640625" style="1"/>
    <col min="7" max="7" width="9.6640625" style="41" customWidth="1"/>
    <col min="8" max="8" width="10.6640625" style="1"/>
    <col min="9" max="9" width="9.6640625" style="41" customWidth="1"/>
    <col min="10" max="10" width="10.6640625" style="1"/>
    <col min="11" max="11" width="9.6640625" style="41" customWidth="1"/>
    <col min="12" max="12" width="10.6640625" style="1"/>
    <col min="13" max="13" width="9.6640625" style="41" customWidth="1"/>
    <col min="14" max="14" width="10.6640625" style="1"/>
    <col min="15" max="15" width="9.6640625" style="41" customWidth="1"/>
    <col min="16" max="16" width="9.6640625" style="59" customWidth="1"/>
    <col min="17" max="17" width="16.6640625" style="1" customWidth="1"/>
    <col min="18" max="18" width="11.6640625" style="1" customWidth="1"/>
    <col min="19" max="19" width="9.6640625" style="1" customWidth="1"/>
    <col min="20" max="20" width="10.6640625" style="1"/>
    <col min="21" max="21" width="9.6640625" style="1" customWidth="1"/>
    <col min="22" max="22" width="10.6640625" style="41"/>
    <col min="23" max="23" width="9.6640625" style="1" customWidth="1"/>
    <col min="24" max="24" width="10.6640625" style="41"/>
    <col min="25" max="25" width="9.6640625" style="41" customWidth="1"/>
    <col min="26" max="26" width="10.6640625" style="41"/>
    <col min="27" max="27" width="9.6640625" style="1" customWidth="1"/>
    <col min="28" max="28" width="10.6640625" style="41"/>
    <col min="29" max="29" width="9.6640625" style="1" customWidth="1"/>
    <col min="30" max="30" width="10.6640625" style="41"/>
    <col min="31" max="31" width="9.6640625" style="1" customWidth="1"/>
    <col min="32" max="34" width="10.6640625" style="1"/>
    <col min="35" max="36" width="10.6640625" style="3"/>
  </cols>
  <sheetData>
    <row r="1" spans="1:37" x14ac:dyDescent="0.2">
      <c r="B1" s="2"/>
      <c r="D1" s="2"/>
      <c r="F1" s="2"/>
      <c r="H1" s="2"/>
      <c r="J1" s="2"/>
      <c r="L1" s="2"/>
      <c r="N1" s="2"/>
      <c r="Q1"/>
      <c r="R1" s="2"/>
      <c r="S1" s="2"/>
      <c r="T1" s="2"/>
      <c r="U1" s="2"/>
      <c r="V1" s="2"/>
      <c r="W1" s="41"/>
      <c r="X1" s="2"/>
      <c r="AA1" s="41"/>
      <c r="AB1" s="2"/>
      <c r="AC1" s="41"/>
      <c r="AD1" s="2"/>
      <c r="AE1" s="41"/>
      <c r="AF1" s="2"/>
      <c r="AG1" s="2"/>
      <c r="AH1" s="2"/>
      <c r="AI1" s="2"/>
      <c r="AK1" s="3"/>
    </row>
    <row r="2" spans="1:37" s="11" customFormat="1" ht="15.95" customHeight="1" x14ac:dyDescent="0.2">
      <c r="A2" s="14" t="s">
        <v>33</v>
      </c>
      <c r="B2" s="15"/>
      <c r="C2" s="42"/>
      <c r="D2" s="15" t="s">
        <v>12</v>
      </c>
      <c r="E2" s="42"/>
      <c r="F2" s="15" t="s">
        <v>12</v>
      </c>
      <c r="G2" s="42"/>
      <c r="H2" s="15" t="s">
        <v>12</v>
      </c>
      <c r="I2" s="42"/>
      <c r="J2" s="15" t="s">
        <v>13</v>
      </c>
      <c r="K2" s="42"/>
      <c r="L2" s="15" t="s">
        <v>13</v>
      </c>
      <c r="M2" s="42"/>
      <c r="N2" s="15" t="s">
        <v>13</v>
      </c>
      <c r="O2" s="42"/>
      <c r="P2" s="43"/>
      <c r="Q2" s="14" t="s">
        <v>33</v>
      </c>
      <c r="R2" s="15"/>
      <c r="S2" s="15"/>
      <c r="T2" s="15" t="s">
        <v>12</v>
      </c>
      <c r="U2" s="15"/>
      <c r="V2" s="15" t="s">
        <v>12</v>
      </c>
      <c r="W2" s="42"/>
      <c r="X2" s="15" t="s">
        <v>12</v>
      </c>
      <c r="Y2" s="42"/>
      <c r="Z2" s="15" t="s">
        <v>13</v>
      </c>
      <c r="AA2" s="42"/>
      <c r="AB2" s="15" t="s">
        <v>13</v>
      </c>
      <c r="AC2" s="42"/>
      <c r="AD2" s="15" t="s">
        <v>13</v>
      </c>
      <c r="AE2" s="42"/>
      <c r="AF2" s="16"/>
      <c r="AG2" s="16"/>
      <c r="AH2" s="16"/>
      <c r="AI2" s="16"/>
      <c r="AJ2" s="10"/>
      <c r="AK2" s="10" t="s">
        <v>45</v>
      </c>
    </row>
    <row r="3" spans="1:37" s="11" customFormat="1" ht="15.95" customHeight="1" x14ac:dyDescent="0.2">
      <c r="A3" s="40" t="s">
        <v>35</v>
      </c>
      <c r="B3" s="19" t="s">
        <v>34</v>
      </c>
      <c r="C3" s="43"/>
      <c r="D3" s="19" t="s">
        <v>34</v>
      </c>
      <c r="E3" s="43"/>
      <c r="F3" s="19" t="s">
        <v>34</v>
      </c>
      <c r="G3" s="43"/>
      <c r="H3" s="19" t="s">
        <v>34</v>
      </c>
      <c r="I3" s="43"/>
      <c r="J3" s="19" t="s">
        <v>34</v>
      </c>
      <c r="K3" s="43"/>
      <c r="L3" s="19" t="s">
        <v>34</v>
      </c>
      <c r="M3" s="43"/>
      <c r="N3" s="19" t="s">
        <v>34</v>
      </c>
      <c r="O3" s="43"/>
      <c r="P3" s="43"/>
      <c r="Q3" s="40" t="s">
        <v>35</v>
      </c>
      <c r="R3" s="19" t="s">
        <v>36</v>
      </c>
      <c r="S3" s="19"/>
      <c r="T3" s="19" t="s">
        <v>36</v>
      </c>
      <c r="U3" s="19"/>
      <c r="V3" s="19" t="s">
        <v>36</v>
      </c>
      <c r="W3" s="43"/>
      <c r="X3" s="19" t="s">
        <v>36</v>
      </c>
      <c r="Y3" s="43"/>
      <c r="Z3" s="19" t="s">
        <v>36</v>
      </c>
      <c r="AA3" s="43"/>
      <c r="AB3" s="19" t="s">
        <v>36</v>
      </c>
      <c r="AC3" s="43"/>
      <c r="AD3" s="19" t="s">
        <v>36</v>
      </c>
      <c r="AE3" s="43"/>
      <c r="AF3" s="16"/>
      <c r="AG3" s="16"/>
      <c r="AH3" s="16"/>
      <c r="AI3" s="16"/>
      <c r="AJ3" s="10"/>
      <c r="AK3" s="10" t="s">
        <v>46</v>
      </c>
    </row>
    <row r="4" spans="1:37" s="11" customFormat="1" ht="15.95" customHeight="1" x14ac:dyDescent="0.2">
      <c r="A4" s="40" t="s">
        <v>73</v>
      </c>
      <c r="B4" s="19" t="s">
        <v>71</v>
      </c>
      <c r="C4" s="43"/>
      <c r="D4" s="19" t="s">
        <v>38</v>
      </c>
      <c r="E4" s="43"/>
      <c r="F4" s="19" t="s">
        <v>37</v>
      </c>
      <c r="G4" s="43"/>
      <c r="H4" s="19" t="s">
        <v>37</v>
      </c>
      <c r="I4" s="43"/>
      <c r="J4" s="19" t="s">
        <v>38</v>
      </c>
      <c r="K4" s="43"/>
      <c r="L4" s="19" t="s">
        <v>37</v>
      </c>
      <c r="M4" s="43"/>
      <c r="N4" s="19" t="s">
        <v>39</v>
      </c>
      <c r="O4" s="43"/>
      <c r="P4" s="43"/>
      <c r="Q4" s="40" t="s">
        <v>73</v>
      </c>
      <c r="R4" s="19" t="s">
        <v>71</v>
      </c>
      <c r="S4" s="19"/>
      <c r="T4" s="19" t="s">
        <v>40</v>
      </c>
      <c r="U4" s="19"/>
      <c r="V4" s="19" t="s">
        <v>41</v>
      </c>
      <c r="W4" s="43"/>
      <c r="X4" s="19" t="s">
        <v>42</v>
      </c>
      <c r="Y4" s="43"/>
      <c r="Z4" s="19" t="s">
        <v>47</v>
      </c>
      <c r="AA4" s="43"/>
      <c r="AB4" s="19" t="s">
        <v>41</v>
      </c>
      <c r="AC4" s="43"/>
      <c r="AD4" s="19" t="s">
        <v>43</v>
      </c>
      <c r="AE4" s="43"/>
      <c r="AF4" s="16"/>
      <c r="AG4" s="16"/>
      <c r="AH4" s="16"/>
      <c r="AI4" s="16"/>
      <c r="AJ4" s="10"/>
      <c r="AK4" s="10"/>
    </row>
    <row r="5" spans="1:37" s="11" customFormat="1" ht="15.95" customHeight="1" x14ac:dyDescent="0.2">
      <c r="A5" s="17"/>
      <c r="B5" s="18" t="s">
        <v>44</v>
      </c>
      <c r="C5" s="64" t="s">
        <v>54</v>
      </c>
      <c r="D5" s="18" t="s">
        <v>44</v>
      </c>
      <c r="E5" s="64" t="s">
        <v>50</v>
      </c>
      <c r="F5" s="18" t="s">
        <v>44</v>
      </c>
      <c r="G5" s="64" t="s">
        <v>51</v>
      </c>
      <c r="H5" s="18" t="s">
        <v>44</v>
      </c>
      <c r="I5" s="64" t="s">
        <v>52</v>
      </c>
      <c r="J5" s="18" t="s">
        <v>44</v>
      </c>
      <c r="K5" s="64" t="s">
        <v>53</v>
      </c>
      <c r="L5" s="18" t="s">
        <v>44</v>
      </c>
      <c r="M5" s="64" t="s">
        <v>54</v>
      </c>
      <c r="N5" s="18" t="s">
        <v>44</v>
      </c>
      <c r="O5" s="64" t="s">
        <v>55</v>
      </c>
      <c r="P5" s="60"/>
      <c r="Q5" s="17"/>
      <c r="R5" s="18" t="s">
        <v>44</v>
      </c>
      <c r="S5" s="58" t="s">
        <v>52</v>
      </c>
      <c r="T5" s="18" t="s">
        <v>44</v>
      </c>
      <c r="U5" s="58" t="s">
        <v>52</v>
      </c>
      <c r="V5" s="18" t="s">
        <v>44</v>
      </c>
      <c r="W5" s="58" t="s">
        <v>56</v>
      </c>
      <c r="X5" s="18" t="s">
        <v>44</v>
      </c>
      <c r="Y5" s="58" t="s">
        <v>56</v>
      </c>
      <c r="Z5" s="18" t="s">
        <v>44</v>
      </c>
      <c r="AA5" s="64" t="s">
        <v>55</v>
      </c>
      <c r="AB5" s="18" t="s">
        <v>44</v>
      </c>
      <c r="AC5" s="58" t="s">
        <v>57</v>
      </c>
      <c r="AD5" s="18" t="s">
        <v>44</v>
      </c>
      <c r="AE5" s="64" t="s">
        <v>52</v>
      </c>
      <c r="AF5" s="19"/>
      <c r="AG5" s="19"/>
      <c r="AH5" s="19"/>
      <c r="AI5" s="19"/>
      <c r="AJ5" s="10"/>
      <c r="AK5" s="10"/>
    </row>
    <row r="6" spans="1:37" s="11" customFormat="1" ht="15.95" customHeight="1" x14ac:dyDescent="0.2">
      <c r="A6" s="7" t="s">
        <v>0</v>
      </c>
      <c r="B6" s="20">
        <v>52.43</v>
      </c>
      <c r="C6" s="43">
        <v>0.7</v>
      </c>
      <c r="D6" s="20">
        <v>55.863076923076918</v>
      </c>
      <c r="E6" s="43">
        <v>0.42219908930019828</v>
      </c>
      <c r="F6" s="20">
        <v>42.954285714285703</v>
      </c>
      <c r="G6" s="43">
        <v>1.8735516855340151</v>
      </c>
      <c r="H6" s="20">
        <v>46.222499999999997</v>
      </c>
      <c r="I6" s="43">
        <v>1.6192185615289858</v>
      </c>
      <c r="J6" s="20">
        <v>54.051250000000003</v>
      </c>
      <c r="K6" s="43">
        <v>1.2013734699441769</v>
      </c>
      <c r="L6" s="20">
        <v>43.27</v>
      </c>
      <c r="M6" s="43">
        <v>0.86334234229533802</v>
      </c>
      <c r="N6" s="20">
        <v>97.314999999999998</v>
      </c>
      <c r="O6" s="43">
        <v>0.20506096654409317</v>
      </c>
      <c r="P6" s="43"/>
      <c r="Q6" s="7" t="s">
        <v>0</v>
      </c>
      <c r="R6" s="20">
        <v>49.65</v>
      </c>
      <c r="S6" s="43">
        <v>0.22</v>
      </c>
      <c r="T6" s="20">
        <v>50.594999999999999</v>
      </c>
      <c r="U6" s="43">
        <v>0.71537868759606404</v>
      </c>
      <c r="V6" s="20">
        <v>49.976666666666667</v>
      </c>
      <c r="W6" s="43">
        <v>0.73785725810168268</v>
      </c>
      <c r="X6" s="20">
        <v>3.2566666666666664</v>
      </c>
      <c r="Y6" s="43">
        <v>0.74527399883085599</v>
      </c>
      <c r="Z6" s="19">
        <v>52.740349999999999</v>
      </c>
      <c r="AA6" s="43">
        <v>0.21998091962713201</v>
      </c>
      <c r="AB6" s="20">
        <v>50.624600000000001</v>
      </c>
      <c r="AC6" s="43" t="s">
        <v>48</v>
      </c>
      <c r="AD6" s="20">
        <v>40.760325000000002</v>
      </c>
      <c r="AE6" s="43">
        <v>0.33656066689379954</v>
      </c>
      <c r="AF6" s="21"/>
      <c r="AG6" s="21"/>
      <c r="AH6" s="21"/>
      <c r="AI6" s="21"/>
      <c r="AJ6" s="10"/>
      <c r="AK6" s="27">
        <v>55.7</v>
      </c>
    </row>
    <row r="7" spans="1:37" s="11" customFormat="1" ht="15.95" customHeight="1" x14ac:dyDescent="0.2">
      <c r="A7" s="7" t="s">
        <v>1</v>
      </c>
      <c r="B7" s="19" t="s">
        <v>72</v>
      </c>
      <c r="C7" s="43" t="s">
        <v>72</v>
      </c>
      <c r="D7" s="20">
        <v>0.02</v>
      </c>
      <c r="E7" s="43">
        <v>9.6076892283052228E-3</v>
      </c>
      <c r="F7" s="20">
        <v>4.2857142857142899E-2</v>
      </c>
      <c r="G7" s="43">
        <v>1.0301575072754263E-2</v>
      </c>
      <c r="H7" s="20">
        <v>2.5000000000000001E-2</v>
      </c>
      <c r="I7" s="43">
        <v>4.9999999999999992E-3</v>
      </c>
      <c r="J7" s="20">
        <v>7.5000000000000006E-3</v>
      </c>
      <c r="K7" s="43">
        <v>8.864052604279183E-3</v>
      </c>
      <c r="L7" s="20">
        <v>5.1666666666666666E-2</v>
      </c>
      <c r="M7" s="43">
        <v>2.2286019533928999E-2</v>
      </c>
      <c r="N7" s="20">
        <v>0.02</v>
      </c>
      <c r="O7" s="43">
        <v>0</v>
      </c>
      <c r="P7" s="43"/>
      <c r="Q7" s="7" t="s">
        <v>1</v>
      </c>
      <c r="R7" s="20">
        <v>0.36</v>
      </c>
      <c r="S7" s="43">
        <v>0.02</v>
      </c>
      <c r="T7" s="20">
        <v>0.35249999999999998</v>
      </c>
      <c r="U7" s="43">
        <v>2.2173557826083441E-2</v>
      </c>
      <c r="V7" s="20">
        <v>0.37333333333333335</v>
      </c>
      <c r="W7" s="43">
        <v>5.7735026918962623E-3</v>
      </c>
      <c r="X7" s="20">
        <v>0.21666666666666667</v>
      </c>
      <c r="Y7" s="43">
        <v>2.8867513459481398E-2</v>
      </c>
      <c r="Z7" s="19">
        <v>0.51258899999999996</v>
      </c>
      <c r="AA7" s="43">
        <v>3.5204018208153498E-2</v>
      </c>
      <c r="AB7" s="20">
        <v>0.51101600000000003</v>
      </c>
      <c r="AC7" s="43" t="s">
        <v>48</v>
      </c>
      <c r="AD7" s="20">
        <v>2.6371000000000002E-2</v>
      </c>
      <c r="AE7" s="43">
        <v>1.73811849615228E-2</v>
      </c>
      <c r="AF7" s="21"/>
      <c r="AG7" s="21"/>
      <c r="AH7" s="21"/>
      <c r="AI7" s="21"/>
      <c r="AJ7" s="10"/>
      <c r="AK7" s="27">
        <v>0.03</v>
      </c>
    </row>
    <row r="8" spans="1:37" s="11" customFormat="1" ht="15.95" customHeight="1" x14ac:dyDescent="0.2">
      <c r="A8" s="7" t="s">
        <v>2</v>
      </c>
      <c r="B8" s="20">
        <v>0.56000000000000005</v>
      </c>
      <c r="C8" s="43">
        <v>0.02</v>
      </c>
      <c r="D8" s="20">
        <v>0.38</v>
      </c>
      <c r="E8" s="43">
        <v>5.7512540438519014E-2</v>
      </c>
      <c r="F8" s="20">
        <v>0.74285714285714299</v>
      </c>
      <c r="G8" s="43">
        <v>0.10360836779696397</v>
      </c>
      <c r="H8" s="20">
        <v>0.60250000000000004</v>
      </c>
      <c r="I8" s="43">
        <v>0.10108783309577864</v>
      </c>
      <c r="J8" s="20">
        <v>7.6250000000000012E-2</v>
      </c>
      <c r="K8" s="43">
        <v>4.1382363393117121E-2</v>
      </c>
      <c r="L8" s="20">
        <v>0.51833333333333331</v>
      </c>
      <c r="M8" s="43">
        <v>7.8591772258085099E-2</v>
      </c>
      <c r="N8" s="20">
        <v>0.28000000000000003</v>
      </c>
      <c r="O8" s="43">
        <v>1.4142135623730925E-2</v>
      </c>
      <c r="P8" s="43"/>
      <c r="Q8" s="7" t="s">
        <v>2</v>
      </c>
      <c r="R8" s="20">
        <v>10.47</v>
      </c>
      <c r="S8" s="43">
        <v>0.05</v>
      </c>
      <c r="T8" s="20">
        <v>9.6000000000000014</v>
      </c>
      <c r="U8" s="43">
        <v>0.71498251726877904</v>
      </c>
      <c r="V8" s="20">
        <v>10.426666666666666</v>
      </c>
      <c r="W8" s="43">
        <v>1.0585997040115465</v>
      </c>
      <c r="X8" s="20">
        <v>9.9233333333333338</v>
      </c>
      <c r="Y8" s="43">
        <v>0.29704096238285599</v>
      </c>
      <c r="Z8" s="19">
        <v>13.830450000000001</v>
      </c>
      <c r="AA8" s="43">
        <v>0.17260476528763699</v>
      </c>
      <c r="AB8" s="20">
        <v>12.1751</v>
      </c>
      <c r="AC8" s="43" t="s">
        <v>48</v>
      </c>
      <c r="AD8" s="20">
        <v>0.23940275</v>
      </c>
      <c r="AE8" s="43">
        <v>7.6207318705292446E-2</v>
      </c>
      <c r="AF8" s="21"/>
      <c r="AG8" s="21"/>
      <c r="AH8" s="21"/>
      <c r="AI8" s="21"/>
      <c r="AJ8" s="10"/>
      <c r="AK8" s="27">
        <v>1.88</v>
      </c>
    </row>
    <row r="9" spans="1:37" s="11" customFormat="1" ht="15.95" customHeight="1" x14ac:dyDescent="0.2">
      <c r="A9" s="7" t="s">
        <v>3</v>
      </c>
      <c r="B9" s="19" t="s">
        <v>72</v>
      </c>
      <c r="C9" s="43" t="s">
        <v>72</v>
      </c>
      <c r="D9" s="20">
        <v>1.1538461538461537E-2</v>
      </c>
      <c r="E9" s="43">
        <v>1.2307692307692311E-2</v>
      </c>
      <c r="F9" s="20">
        <v>1.4285714285714299E-2</v>
      </c>
      <c r="G9" s="43">
        <v>1.1780301787479028E-2</v>
      </c>
      <c r="H9" s="20">
        <v>5.0000000000000001E-3</v>
      </c>
      <c r="I9" s="43">
        <v>8.6602540378443865E-3</v>
      </c>
      <c r="J9" s="20">
        <v>5.0000000000000001E-3</v>
      </c>
      <c r="K9" s="43">
        <v>7.5592894601845453E-3</v>
      </c>
      <c r="L9" s="20">
        <v>5.3333333333333337E-2</v>
      </c>
      <c r="M9" s="43">
        <v>1.96638416050035E-2</v>
      </c>
      <c r="N9" s="20">
        <v>5.0000000000000001E-3</v>
      </c>
      <c r="O9" s="43">
        <v>7.0710678118654753E-3</v>
      </c>
      <c r="P9" s="43"/>
      <c r="Q9" s="7" t="s">
        <v>3</v>
      </c>
      <c r="R9" s="20">
        <v>0.17</v>
      </c>
      <c r="S9" s="43">
        <v>0.02</v>
      </c>
      <c r="T9" s="20">
        <v>0.17749999999999999</v>
      </c>
      <c r="U9" s="43">
        <v>8.7702147446152484E-2</v>
      </c>
      <c r="V9" s="20">
        <v>0.13</v>
      </c>
      <c r="W9" s="43">
        <v>5.2915026221291815E-2</v>
      </c>
      <c r="X9" s="20">
        <v>20.02</v>
      </c>
      <c r="Y9" s="43">
        <v>2.1307979725914898</v>
      </c>
      <c r="Z9" s="19">
        <v>0.184584</v>
      </c>
      <c r="AA9" s="43">
        <v>5.3824968183919996E-3</v>
      </c>
      <c r="AB9" s="20">
        <v>0.24483199999999999</v>
      </c>
      <c r="AC9" s="43" t="s">
        <v>48</v>
      </c>
      <c r="AD9" s="20">
        <v>0.25781124999999999</v>
      </c>
      <c r="AE9" s="43">
        <v>2.6701476855222828E-2</v>
      </c>
      <c r="AF9" s="21"/>
      <c r="AG9" s="21"/>
      <c r="AH9" s="21"/>
      <c r="AI9" s="21"/>
      <c r="AJ9" s="10"/>
      <c r="AK9" s="27">
        <v>0</v>
      </c>
    </row>
    <row r="10" spans="1:37" s="11" customFormat="1" ht="15.95" customHeight="1" x14ac:dyDescent="0.2">
      <c r="A10" s="7" t="s">
        <v>4</v>
      </c>
      <c r="B10" s="20">
        <v>24.39</v>
      </c>
      <c r="C10" s="43">
        <v>0.43</v>
      </c>
      <c r="D10" s="20">
        <v>13.886923076923077</v>
      </c>
      <c r="E10" s="43">
        <v>1.138152244888345</v>
      </c>
      <c r="F10" s="20">
        <v>48.928571428571402</v>
      </c>
      <c r="G10" s="43">
        <v>2.2859473095504237</v>
      </c>
      <c r="H10" s="20">
        <v>41.375</v>
      </c>
      <c r="I10" s="43">
        <v>3.4347525383934157</v>
      </c>
      <c r="J10" s="20">
        <v>14.427499999999998</v>
      </c>
      <c r="K10" s="43">
        <v>1.2331579669403958</v>
      </c>
      <c r="L10" s="20">
        <v>49.42166666666666</v>
      </c>
      <c r="M10" s="43">
        <v>1.33604515891742</v>
      </c>
      <c r="N10" s="20">
        <v>1.71</v>
      </c>
      <c r="O10" s="43">
        <v>0.2969848480983508</v>
      </c>
      <c r="P10" s="43"/>
      <c r="Q10" s="7" t="s">
        <v>4</v>
      </c>
      <c r="R10" s="20">
        <v>10.92</v>
      </c>
      <c r="S10" s="43">
        <v>0.13</v>
      </c>
      <c r="T10" s="20">
        <v>9.1724999999999994</v>
      </c>
      <c r="U10" s="43">
        <v>0.33559648389099694</v>
      </c>
      <c r="V10" s="20">
        <v>11.443333333333333</v>
      </c>
      <c r="W10" s="43">
        <v>0.87214295464294866</v>
      </c>
      <c r="X10" s="20">
        <v>46.49666666666667</v>
      </c>
      <c r="Y10" s="43">
        <v>3.4868371532569902</v>
      </c>
      <c r="Z10" s="19">
        <v>11.221450000000001</v>
      </c>
      <c r="AA10" s="43">
        <v>4.2214274836837699E-2</v>
      </c>
      <c r="AB10" s="20">
        <v>12.7067</v>
      </c>
      <c r="AC10" s="43" t="s">
        <v>48</v>
      </c>
      <c r="AD10" s="20">
        <v>10.000039999999998</v>
      </c>
      <c r="AE10" s="43">
        <v>1.089111091578816</v>
      </c>
      <c r="AF10" s="21"/>
      <c r="AG10" s="21"/>
      <c r="AH10" s="21"/>
      <c r="AI10" s="21"/>
      <c r="AJ10" s="10"/>
      <c r="AK10" s="27">
        <v>13.82</v>
      </c>
    </row>
    <row r="11" spans="1:37" s="11" customFormat="1" ht="15.95" customHeight="1" x14ac:dyDescent="0.2">
      <c r="A11" s="7" t="s">
        <v>5</v>
      </c>
      <c r="B11" s="19" t="s">
        <v>72</v>
      </c>
      <c r="C11" s="43" t="s">
        <v>72</v>
      </c>
      <c r="D11" s="20">
        <v>3.8461538461538464E-3</v>
      </c>
      <c r="E11" s="43">
        <v>6.2492603112584318E-3</v>
      </c>
      <c r="F11" s="20">
        <v>5.7142857142857099E-3</v>
      </c>
      <c r="G11" s="43">
        <v>9.0350790290525118E-3</v>
      </c>
      <c r="H11" s="20">
        <v>2.5000000000000001E-3</v>
      </c>
      <c r="I11" s="43">
        <v>4.3301270189221933E-3</v>
      </c>
      <c r="J11" s="20">
        <v>5.0000000000000001E-3</v>
      </c>
      <c r="K11" s="43">
        <v>5.345224838248488E-3</v>
      </c>
      <c r="L11" s="20">
        <v>1.6666666666666668E-3</v>
      </c>
      <c r="M11" s="43">
        <v>4.0824829046386298E-3</v>
      </c>
      <c r="N11" s="20">
        <v>5.0000000000000001E-3</v>
      </c>
      <c r="O11" s="43">
        <v>7.0710678118654753E-3</v>
      </c>
      <c r="P11" s="43"/>
      <c r="Q11" s="7" t="s">
        <v>5</v>
      </c>
      <c r="R11" s="20">
        <v>0.11</v>
      </c>
      <c r="S11" s="43">
        <v>0.03</v>
      </c>
      <c r="T11" s="20">
        <v>0.13500000000000001</v>
      </c>
      <c r="U11" s="43">
        <v>5.7735026918962632E-3</v>
      </c>
      <c r="V11" s="20">
        <v>0.12</v>
      </c>
      <c r="W11" s="43">
        <v>2.0000000000000111E-2</v>
      </c>
      <c r="X11" s="20">
        <v>0.20666666666666667</v>
      </c>
      <c r="Y11" s="43">
        <v>2.88675134594811E-2</v>
      </c>
      <c r="Z11" s="19">
        <v>0.1084335</v>
      </c>
      <c r="AA11" s="43">
        <v>9.4702811204314293E-3</v>
      </c>
      <c r="AB11" s="20">
        <v>0.16006799999999999</v>
      </c>
      <c r="AC11" s="43" t="s">
        <v>48</v>
      </c>
      <c r="AD11" s="20">
        <v>0.12116225</v>
      </c>
      <c r="AE11" s="43">
        <v>1.7557434861524258E-2</v>
      </c>
      <c r="AF11" s="21"/>
      <c r="AG11" s="21"/>
      <c r="AH11" s="21"/>
      <c r="AI11" s="21"/>
      <c r="AJ11" s="10"/>
      <c r="AK11" s="27">
        <v>0</v>
      </c>
    </row>
    <row r="12" spans="1:37" s="11" customFormat="1" ht="15.95" customHeight="1" x14ac:dyDescent="0.2">
      <c r="A12" s="7" t="s">
        <v>6</v>
      </c>
      <c r="B12" s="20">
        <v>20.93</v>
      </c>
      <c r="C12" s="43">
        <v>0.15</v>
      </c>
      <c r="D12" s="20">
        <v>31.568461538461538</v>
      </c>
      <c r="E12" s="43">
        <v>0.85652110444919183</v>
      </c>
      <c r="F12" s="20">
        <v>2.97571428571429</v>
      </c>
      <c r="G12" s="43">
        <v>0.41116062703582468</v>
      </c>
      <c r="H12" s="20">
        <v>7.6875</v>
      </c>
      <c r="I12" s="43">
        <v>1.8489236733840595</v>
      </c>
      <c r="J12" s="20">
        <v>31.367500000000003</v>
      </c>
      <c r="K12" s="43">
        <v>1.2633826476114491</v>
      </c>
      <c r="L12" s="20">
        <v>1.5883333333333336</v>
      </c>
      <c r="M12" s="43">
        <v>0.51793500235711698</v>
      </c>
      <c r="N12" s="20">
        <v>0.255</v>
      </c>
      <c r="O12" s="43">
        <v>6.363961030678926E-2</v>
      </c>
      <c r="P12" s="43"/>
      <c r="Q12" s="7" t="s">
        <v>6</v>
      </c>
      <c r="R12" s="20">
        <v>17.03</v>
      </c>
      <c r="S12" s="43">
        <v>0.06</v>
      </c>
      <c r="T12" s="20">
        <v>22.42</v>
      </c>
      <c r="U12" s="43">
        <v>1.5213371311667467</v>
      </c>
      <c r="V12" s="20">
        <v>13.896666666666667</v>
      </c>
      <c r="W12" s="43">
        <v>2.1662486776299228</v>
      </c>
      <c r="X12" s="20">
        <v>12.969999999999999</v>
      </c>
      <c r="Y12" s="43">
        <v>0.536749476012786</v>
      </c>
      <c r="Z12" s="19">
        <v>6.2421600000000002</v>
      </c>
      <c r="AA12" s="43">
        <v>4.9638896039294299E-3</v>
      </c>
      <c r="AB12" s="20">
        <v>8.5531400000000009</v>
      </c>
      <c r="AC12" s="43" t="s">
        <v>48</v>
      </c>
      <c r="AD12" s="20">
        <v>47.888075000000001</v>
      </c>
      <c r="AE12" s="43">
        <v>1.4577743912668155</v>
      </c>
      <c r="AF12" s="21"/>
      <c r="AG12" s="21"/>
      <c r="AH12" s="21"/>
      <c r="AI12" s="21"/>
      <c r="AJ12" s="10"/>
      <c r="AK12" s="27">
        <v>27.7</v>
      </c>
    </row>
    <row r="13" spans="1:37" s="11" customFormat="1" ht="15.95" customHeight="1" x14ac:dyDescent="0.2">
      <c r="A13" s="7" t="s">
        <v>7</v>
      </c>
      <c r="B13" s="20">
        <v>0.03</v>
      </c>
      <c r="C13" s="43">
        <v>0.01</v>
      </c>
      <c r="D13" s="20">
        <v>1.5384615384615385E-3</v>
      </c>
      <c r="E13" s="43">
        <v>3.6080121229410999E-3</v>
      </c>
      <c r="F13" s="20">
        <v>1.5714285714285701E-2</v>
      </c>
      <c r="G13" s="43">
        <v>3.4582052676886299E-2</v>
      </c>
      <c r="H13" s="20">
        <v>2.5000000000000001E-3</v>
      </c>
      <c r="I13" s="43">
        <v>4.3301270189221933E-3</v>
      </c>
      <c r="J13" s="20">
        <v>0</v>
      </c>
      <c r="K13" s="43">
        <v>0</v>
      </c>
      <c r="L13" s="20">
        <v>1.6666666666666668E-3</v>
      </c>
      <c r="M13" s="43">
        <v>4.0824829046386298E-3</v>
      </c>
      <c r="N13" s="20">
        <v>0</v>
      </c>
      <c r="O13" s="43">
        <v>0</v>
      </c>
      <c r="P13" s="43"/>
      <c r="Q13" s="7" t="s">
        <v>7</v>
      </c>
      <c r="R13" s="20">
        <v>9.4600000000000009</v>
      </c>
      <c r="S13" s="43">
        <v>0.13</v>
      </c>
      <c r="T13" s="20">
        <v>7.7000000000000011</v>
      </c>
      <c r="U13" s="43">
        <v>0.65048699705169588</v>
      </c>
      <c r="V13" s="20">
        <v>12.796666666666667</v>
      </c>
      <c r="W13" s="43">
        <v>0.26312227829154466</v>
      </c>
      <c r="X13" s="20">
        <v>0.66666666666666663</v>
      </c>
      <c r="Y13" s="43">
        <v>0.14047538337137</v>
      </c>
      <c r="Z13" s="19">
        <v>12.906700000000001</v>
      </c>
      <c r="AA13" s="43">
        <v>1.5980613254815201E-2</v>
      </c>
      <c r="AB13" s="20">
        <v>15.2014</v>
      </c>
      <c r="AC13" s="43" t="s">
        <v>48</v>
      </c>
      <c r="AD13" s="20">
        <v>0.32865500000000003</v>
      </c>
      <c r="AE13" s="43">
        <v>0.12198026718831734</v>
      </c>
      <c r="AF13" s="21"/>
      <c r="AG13" s="21"/>
      <c r="AH13" s="21"/>
      <c r="AI13" s="21"/>
      <c r="AJ13" s="10"/>
      <c r="AK13" s="27">
        <v>1.47</v>
      </c>
    </row>
    <row r="14" spans="1:37" s="11" customFormat="1" ht="15.95" customHeight="1" x14ac:dyDescent="0.2">
      <c r="A14" s="7" t="s">
        <v>8</v>
      </c>
      <c r="B14" s="20">
        <v>0.09</v>
      </c>
      <c r="C14" s="43">
        <v>0.01</v>
      </c>
      <c r="D14" s="20">
        <v>1.5384615384615385E-3</v>
      </c>
      <c r="E14" s="43">
        <v>3.6080121229410999E-3</v>
      </c>
      <c r="F14" s="20">
        <v>1.28571428571429E-2</v>
      </c>
      <c r="G14" s="43">
        <v>8.8063057185271115E-3</v>
      </c>
      <c r="H14" s="20">
        <v>5.0000000000000001E-3</v>
      </c>
      <c r="I14" s="43">
        <v>8.6602540378443865E-3</v>
      </c>
      <c r="J14" s="20">
        <v>3.7499999999999999E-3</v>
      </c>
      <c r="K14" s="43">
        <v>7.4402380914284499E-3</v>
      </c>
      <c r="L14" s="20">
        <v>0</v>
      </c>
      <c r="M14" s="43">
        <v>0</v>
      </c>
      <c r="N14" s="20">
        <v>1.4999999999999999E-2</v>
      </c>
      <c r="O14" s="43">
        <v>7.0710678118654771E-3</v>
      </c>
      <c r="P14" s="43"/>
      <c r="Q14" s="7" t="s">
        <v>8</v>
      </c>
      <c r="R14" s="20">
        <v>0.43</v>
      </c>
      <c r="S14" s="43">
        <v>0.02</v>
      </c>
      <c r="T14" s="20">
        <v>0.22499999999999998</v>
      </c>
      <c r="U14" s="43">
        <v>5.7445626465380428E-2</v>
      </c>
      <c r="V14" s="20">
        <v>0.40666666666666668</v>
      </c>
      <c r="W14" s="43">
        <v>0.15143755588800739</v>
      </c>
      <c r="X14" s="20">
        <v>4.6666666666666669E-2</v>
      </c>
      <c r="Y14" s="43">
        <v>2.5166114784235801E-2</v>
      </c>
      <c r="Z14" s="19">
        <v>0.46424599999999999</v>
      </c>
      <c r="AA14" s="43">
        <v>1.6567511883200801E-2</v>
      </c>
      <c r="AB14" s="20">
        <v>0.35858400000000001</v>
      </c>
      <c r="AC14" s="43" t="s">
        <v>48</v>
      </c>
      <c r="AD14" s="20">
        <v>8.1429999999999992E-3</v>
      </c>
      <c r="AE14" s="43">
        <v>1.4361325356665382E-2</v>
      </c>
      <c r="AF14" s="21"/>
      <c r="AG14" s="21"/>
      <c r="AH14" s="21"/>
      <c r="AI14" s="21"/>
      <c r="AJ14" s="10"/>
      <c r="AK14" s="27">
        <v>0.44</v>
      </c>
    </row>
    <row r="15" spans="1:37" s="11" customFormat="1" ht="15.95" customHeight="1" x14ac:dyDescent="0.2">
      <c r="A15" s="7" t="s">
        <v>9</v>
      </c>
      <c r="B15" s="19" t="s">
        <v>72</v>
      </c>
      <c r="C15" s="43" t="s">
        <v>72</v>
      </c>
      <c r="D15" s="20">
        <v>6.1538461538461538E-3</v>
      </c>
      <c r="E15" s="43">
        <v>8.3559849932309371E-3</v>
      </c>
      <c r="F15" s="20">
        <v>0.14285714285714299</v>
      </c>
      <c r="G15" s="43">
        <v>2.1189138534559126E-2</v>
      </c>
      <c r="H15" s="20">
        <v>0.12</v>
      </c>
      <c r="I15" s="43">
        <v>7.0710678118654771E-3</v>
      </c>
      <c r="J15" s="20">
        <v>4.2499999999999996E-2</v>
      </c>
      <c r="K15" s="43">
        <v>1.581138830084192E-2</v>
      </c>
      <c r="L15" s="20">
        <v>7.166666666666667E-2</v>
      </c>
      <c r="M15" s="43">
        <v>1.1690451944500101E-2</v>
      </c>
      <c r="N15" s="20">
        <v>0.15</v>
      </c>
      <c r="O15" s="43">
        <v>0</v>
      </c>
      <c r="P15" s="43"/>
      <c r="Q15" s="7" t="s">
        <v>9</v>
      </c>
      <c r="R15" s="20">
        <v>0.14000000000000001</v>
      </c>
      <c r="S15" s="43">
        <v>0.02</v>
      </c>
      <c r="T15" s="20">
        <v>8.7500000000000008E-2</v>
      </c>
      <c r="U15" s="43">
        <v>2.7537852736430463E-2</v>
      </c>
      <c r="V15" s="20">
        <v>0.17333333333333334</v>
      </c>
      <c r="W15" s="43">
        <v>4.932882862316243E-2</v>
      </c>
      <c r="X15" s="20">
        <v>2.6666666666666668E-2</v>
      </c>
      <c r="Y15" s="43">
        <v>5.7735026918962398E-3</v>
      </c>
      <c r="Z15" s="19">
        <v>0.1891285</v>
      </c>
      <c r="AA15" s="43">
        <v>5.1979419485023099E-3</v>
      </c>
      <c r="AB15" s="20">
        <v>0.16103899999999999</v>
      </c>
      <c r="AC15" s="43" t="s">
        <v>48</v>
      </c>
      <c r="AD15" s="20">
        <v>2.2679999999999996E-3</v>
      </c>
      <c r="AE15" s="43">
        <v>5.9636796247507003E-3</v>
      </c>
      <c r="AF15" s="21"/>
      <c r="AG15" s="21"/>
      <c r="AH15" s="21"/>
      <c r="AI15" s="21"/>
      <c r="AJ15" s="10"/>
      <c r="AK15" s="27">
        <v>0</v>
      </c>
    </row>
    <row r="16" spans="1:37" s="11" customFormat="1" ht="15.95" customHeight="1" x14ac:dyDescent="0.2">
      <c r="A16" s="7" t="s">
        <v>10</v>
      </c>
      <c r="B16" s="19" t="s">
        <v>72</v>
      </c>
      <c r="C16" s="43" t="s">
        <v>72</v>
      </c>
      <c r="D16" s="20">
        <v>2.0769230769230766E-2</v>
      </c>
      <c r="E16" s="43">
        <v>1.4390989949130554E-2</v>
      </c>
      <c r="F16" s="20">
        <v>1.7142857142857099E-2</v>
      </c>
      <c r="G16" s="43">
        <v>1.3850513878332367E-2</v>
      </c>
      <c r="H16" s="20">
        <v>1.2500000000000001E-2</v>
      </c>
      <c r="I16" s="43">
        <v>1.6393596310755005E-2</v>
      </c>
      <c r="J16" s="20">
        <v>3.8750000000000007E-2</v>
      </c>
      <c r="K16" s="43">
        <v>9.9103120896511278E-3</v>
      </c>
      <c r="L16" s="20">
        <v>3.3333333333333335E-3</v>
      </c>
      <c r="M16" s="43">
        <v>5.1639777949432199E-3</v>
      </c>
      <c r="N16" s="20">
        <v>5.0000000000000001E-3</v>
      </c>
      <c r="O16" s="43">
        <v>7.0710678118654753E-3</v>
      </c>
      <c r="P16" s="43"/>
      <c r="Q16" s="7" t="s">
        <v>10</v>
      </c>
      <c r="R16" s="20">
        <v>0.04</v>
      </c>
      <c r="S16" s="43">
        <v>0.02</v>
      </c>
      <c r="T16" s="20">
        <v>4.5000000000000005E-2</v>
      </c>
      <c r="U16" s="43">
        <v>5.7735026918962588E-3</v>
      </c>
      <c r="V16" s="20">
        <v>3.3333333333333333E-2</v>
      </c>
      <c r="W16" s="43">
        <v>1.1547005383792499E-2</v>
      </c>
      <c r="X16" s="20">
        <v>3.3333333333333335E-3</v>
      </c>
      <c r="Y16" s="43">
        <v>5.7735026918962597E-3</v>
      </c>
      <c r="Z16" s="19">
        <v>6.3368499999999994E-2</v>
      </c>
      <c r="AA16" s="43">
        <v>3.03652865044939E-2</v>
      </c>
      <c r="AB16" s="20">
        <v>9.3530000000000002E-2</v>
      </c>
      <c r="AC16" s="43" t="s">
        <v>48</v>
      </c>
      <c r="AD16" s="20">
        <v>3.7486500000000006E-2</v>
      </c>
      <c r="AE16" s="43">
        <v>3.5465076009129501E-2</v>
      </c>
      <c r="AF16" s="21"/>
      <c r="AG16" s="21"/>
      <c r="AH16" s="21"/>
      <c r="AI16" s="21"/>
      <c r="AJ16" s="10"/>
      <c r="AK16" s="27">
        <v>0</v>
      </c>
    </row>
    <row r="17" spans="1:37" s="11" customFormat="1" ht="15.95" customHeight="1" thickBot="1" x14ac:dyDescent="0.25">
      <c r="A17" s="12" t="s">
        <v>26</v>
      </c>
      <c r="B17" s="22">
        <f>SUM(B6:B16)</f>
        <v>98.43</v>
      </c>
      <c r="C17" s="44">
        <v>1.32</v>
      </c>
      <c r="D17" s="22">
        <f>SUM(D6:D16)</f>
        <v>101.76384615384616</v>
      </c>
      <c r="E17" s="44">
        <v>0.34253320143139365</v>
      </c>
      <c r="F17" s="22">
        <f>SUM(F6:F16)</f>
        <v>95.852857142857104</v>
      </c>
      <c r="G17" s="44">
        <v>1.1708570034162937</v>
      </c>
      <c r="H17" s="22">
        <f>SUM(H6:H16)</f>
        <v>96.059999999999988</v>
      </c>
      <c r="I17" s="44">
        <v>0.86468202247993919</v>
      </c>
      <c r="J17" s="22">
        <f>SUM(J6:J16)</f>
        <v>100.02500000000001</v>
      </c>
      <c r="K17" s="44">
        <v>0.77451828346951945</v>
      </c>
      <c r="L17" s="22">
        <f>SUM(L6:L16)</f>
        <v>94.981666666666669</v>
      </c>
      <c r="M17" s="44">
        <v>0.95469366814701195</v>
      </c>
      <c r="N17" s="22">
        <f>SUM(N6:N16)</f>
        <v>99.759999999999977</v>
      </c>
      <c r="O17" s="44">
        <v>0.45254833995939081</v>
      </c>
      <c r="P17" s="43"/>
      <c r="Q17" s="12" t="s">
        <v>26</v>
      </c>
      <c r="R17" s="22">
        <f>SUM(R6:R16)</f>
        <v>98.78</v>
      </c>
      <c r="S17" s="44">
        <v>0.71</v>
      </c>
      <c r="T17" s="22">
        <f>SUM(T6:T16)</f>
        <v>100.51000000000002</v>
      </c>
      <c r="U17" s="44">
        <v>0.37291643389191848</v>
      </c>
      <c r="V17" s="22">
        <f>SUM(V6:V16)</f>
        <v>99.776666666666671</v>
      </c>
      <c r="W17" s="44">
        <v>1.2911622671066598</v>
      </c>
      <c r="X17" s="22">
        <f>SUM(X6:X16)</f>
        <v>93.833333333333329</v>
      </c>
      <c r="Y17" s="44">
        <v>1.61167614612862</v>
      </c>
      <c r="Z17" s="22">
        <f>SUM(Z6:Z16)</f>
        <v>98.463459499999999</v>
      </c>
      <c r="AA17" s="44">
        <v>0.38657527727468599</v>
      </c>
      <c r="AB17" s="22">
        <f>SUM(AB6:AB16)</f>
        <v>100.79000899999998</v>
      </c>
      <c r="AC17" s="44" t="s">
        <v>48</v>
      </c>
      <c r="AD17" s="22">
        <f>SUM(AD6:AD16)</f>
        <v>99.669739750000005</v>
      </c>
      <c r="AE17" s="44">
        <v>0.70807189547860816</v>
      </c>
      <c r="AF17" s="21"/>
      <c r="AG17" s="21"/>
      <c r="AH17" s="21"/>
      <c r="AI17" s="21"/>
      <c r="AJ17" s="10"/>
      <c r="AK17" s="27">
        <f>SUM(AK6:AK16)</f>
        <v>101.04</v>
      </c>
    </row>
    <row r="18" spans="1:37" s="11" customFormat="1" ht="15.95" customHeight="1" x14ac:dyDescent="0.2">
      <c r="A18" s="7"/>
      <c r="B18" s="20"/>
      <c r="C18" s="43"/>
      <c r="D18" s="20"/>
      <c r="E18" s="43"/>
      <c r="F18" s="20"/>
      <c r="G18" s="43"/>
      <c r="H18" s="20"/>
      <c r="I18" s="43"/>
      <c r="J18" s="20"/>
      <c r="K18" s="43"/>
      <c r="L18" s="20"/>
      <c r="M18" s="43"/>
      <c r="N18" s="20"/>
      <c r="O18" s="43"/>
      <c r="P18" s="43"/>
      <c r="Q18" s="7"/>
      <c r="R18" s="20"/>
      <c r="S18" s="20"/>
      <c r="T18" s="20"/>
      <c r="U18" s="20"/>
      <c r="V18" s="20"/>
      <c r="W18" s="43"/>
      <c r="X18" s="20"/>
      <c r="Y18" s="43"/>
      <c r="Z18" s="43"/>
      <c r="AA18" s="43"/>
      <c r="AB18" s="20"/>
      <c r="AC18" s="43"/>
      <c r="AD18" s="20"/>
      <c r="AE18" s="45"/>
      <c r="AF18" s="21"/>
      <c r="AG18" s="21"/>
      <c r="AH18" s="21"/>
      <c r="AI18" s="21"/>
      <c r="AJ18" s="10"/>
      <c r="AK18" s="10"/>
    </row>
    <row r="19" spans="1:37" s="11" customFormat="1" ht="15.95" customHeight="1" x14ac:dyDescent="0.2">
      <c r="B19" s="21"/>
      <c r="C19" s="45"/>
      <c r="D19" s="21"/>
      <c r="E19" s="45"/>
      <c r="F19" s="21"/>
      <c r="G19" s="45"/>
      <c r="H19" s="21"/>
      <c r="I19" s="45"/>
      <c r="J19" s="21"/>
      <c r="K19" s="45"/>
      <c r="L19" s="21"/>
      <c r="M19" s="45"/>
      <c r="N19" s="21"/>
      <c r="O19" s="45"/>
      <c r="P19" s="43"/>
      <c r="R19" s="21"/>
      <c r="S19" s="21"/>
      <c r="T19" s="21"/>
      <c r="U19" s="21"/>
      <c r="V19" s="21"/>
      <c r="W19" s="45"/>
      <c r="X19" s="21"/>
      <c r="Y19" s="45"/>
      <c r="Z19" s="45"/>
      <c r="AA19" s="45"/>
      <c r="AB19" s="21"/>
      <c r="AC19" s="45"/>
      <c r="AD19" s="21"/>
      <c r="AE19" s="45"/>
      <c r="AF19" s="21"/>
      <c r="AG19" s="21"/>
      <c r="AH19" s="21"/>
      <c r="AI19" s="21"/>
      <c r="AJ19" s="10"/>
      <c r="AK19" s="10"/>
    </row>
    <row r="20" spans="1:37" s="11" customFormat="1" ht="15.95" customHeight="1" x14ac:dyDescent="0.2">
      <c r="A20" s="23" t="s">
        <v>29</v>
      </c>
      <c r="B20" s="24"/>
      <c r="C20" s="46"/>
      <c r="D20" s="24"/>
      <c r="E20" s="46"/>
      <c r="F20" s="24"/>
      <c r="G20" s="46"/>
      <c r="H20" s="24"/>
      <c r="I20" s="46"/>
      <c r="J20" s="24"/>
      <c r="K20" s="46"/>
      <c r="L20" s="24"/>
      <c r="M20" s="46"/>
      <c r="N20" s="24"/>
      <c r="O20" s="46"/>
      <c r="P20" s="43"/>
      <c r="Q20" s="23" t="s">
        <v>29</v>
      </c>
      <c r="R20" s="24"/>
      <c r="S20" s="46"/>
      <c r="T20" s="24"/>
      <c r="U20" s="46"/>
      <c r="V20" s="24"/>
      <c r="W20" s="46"/>
      <c r="X20" s="24"/>
      <c r="Y20" s="46"/>
      <c r="Z20" s="46"/>
      <c r="AA20" s="46"/>
      <c r="AB20" s="24"/>
      <c r="AC20" s="46"/>
      <c r="AD20" s="24"/>
      <c r="AE20" s="46"/>
      <c r="AF20" s="21"/>
      <c r="AG20" s="21"/>
      <c r="AH20" s="21"/>
      <c r="AI20" s="21"/>
      <c r="AJ20" s="10"/>
      <c r="AK20" s="10"/>
    </row>
    <row r="21" spans="1:37" s="11" customFormat="1" ht="15.95" customHeight="1" x14ac:dyDescent="0.2">
      <c r="A21" s="7" t="s">
        <v>0</v>
      </c>
      <c r="B21" s="8">
        <f t="shared" ref="B21" si="0">B6/60.08439</f>
        <v>0.87260601297608253</v>
      </c>
      <c r="C21"/>
      <c r="D21" s="8">
        <f t="shared" ref="D21:N21" si="1">D6/60.08439</f>
        <v>0.92974359768114345</v>
      </c>
      <c r="E21"/>
      <c r="F21" s="8">
        <f t="shared" si="1"/>
        <v>0.71489925610105565</v>
      </c>
      <c r="G21"/>
      <c r="H21" s="8">
        <f t="shared" si="1"/>
        <v>0.76929298941039426</v>
      </c>
      <c r="I21"/>
      <c r="J21" s="8">
        <f t="shared" si="1"/>
        <v>0.89958889488600957</v>
      </c>
      <c r="K21"/>
      <c r="L21" s="8">
        <f t="shared" si="1"/>
        <v>0.72015377038861517</v>
      </c>
      <c r="M21"/>
      <c r="N21" s="8">
        <f t="shared" si="1"/>
        <v>1.619638644912597</v>
      </c>
      <c r="O21"/>
      <c r="P21" s="47"/>
      <c r="Q21" s="7" t="s">
        <v>0</v>
      </c>
      <c r="R21" s="8">
        <f t="shared" ref="R21" si="2">R6/60.08439</f>
        <v>0.82633775594626158</v>
      </c>
      <c r="S21"/>
      <c r="T21" s="8">
        <f t="shared" ref="T21:AD21" si="3">T6/60.08439</f>
        <v>0.84206563468481577</v>
      </c>
      <c r="U21"/>
      <c r="V21" s="8">
        <f t="shared" si="3"/>
        <v>0.8317745535348976</v>
      </c>
      <c r="W21"/>
      <c r="X21" s="8">
        <f t="shared" si="3"/>
        <v>5.4201543307116316E-2</v>
      </c>
      <c r="Y21"/>
      <c r="Z21" s="8">
        <f t="shared" ref="Z21" si="4">Z6/60.08439</f>
        <v>0.87777124807291873</v>
      </c>
      <c r="AA21"/>
      <c r="AB21" s="8">
        <f t="shared" si="3"/>
        <v>0.84255827511937798</v>
      </c>
      <c r="AC21"/>
      <c r="AD21" s="8">
        <f t="shared" si="3"/>
        <v>0.67838460205720663</v>
      </c>
      <c r="AE21"/>
      <c r="AF21" s="9"/>
      <c r="AG21" s="9"/>
      <c r="AH21" s="9"/>
      <c r="AI21" s="9"/>
      <c r="AJ21" s="10"/>
      <c r="AK21" s="9">
        <f t="shared" ref="AK21" si="5">AK6/60.08439</f>
        <v>0.92702946638885741</v>
      </c>
    </row>
    <row r="22" spans="1:37" s="11" customFormat="1" ht="15.95" customHeight="1" x14ac:dyDescent="0.2">
      <c r="A22" s="7" t="s">
        <v>1</v>
      </c>
      <c r="B22" s="19" t="s">
        <v>72</v>
      </c>
      <c r="C22"/>
      <c r="D22" s="8">
        <f t="shared" ref="D22:N22" si="6">D7/79.866</f>
        <v>2.5041945258307664E-4</v>
      </c>
      <c r="E22"/>
      <c r="F22" s="8">
        <f t="shared" si="6"/>
        <v>5.3661311267802188E-4</v>
      </c>
      <c r="G22"/>
      <c r="H22" s="8">
        <f t="shared" si="6"/>
        <v>3.1302431572884581E-4</v>
      </c>
      <c r="I22"/>
      <c r="J22" s="8">
        <f t="shared" si="6"/>
        <v>9.3907294718653759E-5</v>
      </c>
      <c r="K22"/>
      <c r="L22" s="8">
        <f t="shared" si="6"/>
        <v>6.4691691917294803E-4</v>
      </c>
      <c r="M22"/>
      <c r="N22" s="8">
        <f t="shared" si="6"/>
        <v>2.5041945258307664E-4</v>
      </c>
      <c r="O22"/>
      <c r="P22" s="47"/>
      <c r="Q22" s="7" t="s">
        <v>1</v>
      </c>
      <c r="R22" s="8">
        <f t="shared" ref="R22" si="7">R7/79.866</f>
        <v>4.50755014649538E-3</v>
      </c>
      <c r="S22"/>
      <c r="T22" s="8">
        <f t="shared" ref="T22:AD22" si="8">T7/79.866</f>
        <v>4.4136428517767261E-3</v>
      </c>
      <c r="U22"/>
      <c r="V22" s="8">
        <f t="shared" si="8"/>
        <v>4.6744964482174313E-3</v>
      </c>
      <c r="W22"/>
      <c r="X22" s="8">
        <f t="shared" si="8"/>
        <v>2.7128774029833306E-3</v>
      </c>
      <c r="Y22"/>
      <c r="Z22" s="8">
        <f t="shared" ref="Z22" si="9">Z7/79.866</f>
        <v>6.4181128390053332E-3</v>
      </c>
      <c r="AA22"/>
      <c r="AB22" s="8">
        <f t="shared" si="8"/>
        <v>6.3984173490596753E-3</v>
      </c>
      <c r="AC22"/>
      <c r="AD22" s="8">
        <f t="shared" si="8"/>
        <v>3.3019056920341575E-4</v>
      </c>
      <c r="AE22"/>
      <c r="AF22" s="9"/>
      <c r="AG22" s="9"/>
      <c r="AH22" s="9"/>
      <c r="AI22" s="9"/>
      <c r="AJ22" s="10"/>
      <c r="AK22" s="9">
        <f t="shared" ref="AK22" si="10">AK7/79.866</f>
        <v>3.7562917887461498E-4</v>
      </c>
    </row>
    <row r="23" spans="1:37" s="11" customFormat="1" ht="15.95" customHeight="1" x14ac:dyDescent="0.2">
      <c r="A23" s="7" t="s">
        <v>2</v>
      </c>
      <c r="B23" s="8">
        <f t="shared" ref="B23" si="11">B8/101.96137</f>
        <v>5.4922761434060769E-3</v>
      </c>
      <c r="C23"/>
      <c r="D23" s="8">
        <f t="shared" ref="D23:N23" si="12">D8/101.96137</f>
        <v>3.7269016687398373E-3</v>
      </c>
      <c r="E23"/>
      <c r="F23" s="8">
        <f t="shared" si="12"/>
        <v>7.2856724351305106E-3</v>
      </c>
      <c r="G23"/>
      <c r="H23" s="8">
        <f t="shared" si="12"/>
        <v>5.9091006721467164E-3</v>
      </c>
      <c r="I23"/>
      <c r="J23" s="8">
        <f t="shared" si="12"/>
        <v>7.4783224274055956E-4</v>
      </c>
      <c r="K23"/>
      <c r="L23" s="8">
        <f t="shared" si="12"/>
        <v>5.0836246446407428E-3</v>
      </c>
      <c r="M23"/>
      <c r="N23" s="8">
        <f t="shared" si="12"/>
        <v>2.7461380717030384E-3</v>
      </c>
      <c r="O23"/>
      <c r="P23" s="47"/>
      <c r="Q23" s="7" t="s">
        <v>2</v>
      </c>
      <c r="R23" s="8">
        <f t="shared" ref="R23" si="13">R8/101.96137</f>
        <v>0.1026859486097529</v>
      </c>
      <c r="S23"/>
      <c r="T23" s="8">
        <f t="shared" ref="T23:AD23" si="14">T8/101.96137</f>
        <v>9.4153305315532745E-2</v>
      </c>
      <c r="U23"/>
      <c r="V23" s="8">
        <f t="shared" si="14"/>
        <v>0.10226095105103693</v>
      </c>
      <c r="W23"/>
      <c r="X23" s="8">
        <f t="shared" si="14"/>
        <v>9.7324440945951718E-2</v>
      </c>
      <c r="Y23"/>
      <c r="Z23" s="8">
        <f t="shared" ref="Z23" si="15">Z8/101.96137</f>
        <v>0.13564401890637601</v>
      </c>
      <c r="AA23"/>
      <c r="AB23" s="8">
        <f t="shared" si="14"/>
        <v>0.11940894870282735</v>
      </c>
      <c r="AC23"/>
      <c r="AD23" s="8">
        <f t="shared" si="14"/>
        <v>2.3479750223050159E-3</v>
      </c>
      <c r="AE23"/>
      <c r="AF23" s="9"/>
      <c r="AG23" s="9"/>
      <c r="AH23" s="9"/>
      <c r="AI23" s="9"/>
      <c r="AJ23" s="10"/>
      <c r="AK23" s="9">
        <f t="shared" ref="AK23" si="16">AK8/101.96137</f>
        <v>1.8438355624291827E-2</v>
      </c>
    </row>
    <row r="24" spans="1:37" s="11" customFormat="1" ht="15.95" customHeight="1" x14ac:dyDescent="0.2">
      <c r="A24" s="7" t="s">
        <v>3</v>
      </c>
      <c r="B24" s="19" t="s">
        <v>72</v>
      </c>
      <c r="C24"/>
      <c r="D24" s="8">
        <f t="shared" ref="D24:N24" si="17">D9/151.9904</f>
        <v>7.5915725851511269E-5</v>
      </c>
      <c r="E24"/>
      <c r="F24" s="8">
        <f t="shared" si="17"/>
        <v>9.3990898673299757E-5</v>
      </c>
      <c r="G24"/>
      <c r="H24" s="8">
        <f t="shared" si="17"/>
        <v>3.2896814535654886E-5</v>
      </c>
      <c r="I24"/>
      <c r="J24" s="8">
        <f t="shared" si="17"/>
        <v>3.2896814535654886E-5</v>
      </c>
      <c r="K24"/>
      <c r="L24" s="8">
        <f t="shared" si="17"/>
        <v>3.5089935504698547E-4</v>
      </c>
      <c r="M24"/>
      <c r="N24" s="8">
        <f t="shared" si="17"/>
        <v>3.2896814535654886E-5</v>
      </c>
      <c r="O24"/>
      <c r="P24" s="47"/>
      <c r="Q24" s="7" t="s">
        <v>3</v>
      </c>
      <c r="R24" s="8">
        <f t="shared" ref="R24" si="18">R9/151.9904</f>
        <v>1.1184916942122661E-3</v>
      </c>
      <c r="S24"/>
      <c r="T24" s="8">
        <f t="shared" ref="T24:AD24" si="19">T9/151.9904</f>
        <v>1.1678369160157483E-3</v>
      </c>
      <c r="U24"/>
      <c r="V24" s="8">
        <f t="shared" si="19"/>
        <v>8.5531717792702703E-4</v>
      </c>
      <c r="W24"/>
      <c r="X24" s="8">
        <f t="shared" si="19"/>
        <v>0.13171884540076215</v>
      </c>
      <c r="Y24"/>
      <c r="Z24" s="8">
        <f t="shared" ref="Z24" si="20">Z9/151.9904</f>
        <v>1.2144451228498642E-3</v>
      </c>
      <c r="AA24"/>
      <c r="AB24" s="8">
        <f t="shared" si="19"/>
        <v>1.6108385792786913E-3</v>
      </c>
      <c r="AC24"/>
      <c r="AD24" s="8">
        <f t="shared" si="19"/>
        <v>1.696233775291071E-3</v>
      </c>
      <c r="AE24"/>
      <c r="AF24" s="9"/>
      <c r="AG24" s="9"/>
      <c r="AH24" s="9"/>
      <c r="AI24" s="9"/>
      <c r="AJ24" s="10"/>
      <c r="AK24" s="9">
        <f t="shared" ref="AK24" si="21">AK9/151.9904</f>
        <v>0</v>
      </c>
    </row>
    <row r="25" spans="1:37" s="11" customFormat="1" ht="15.95" customHeight="1" x14ac:dyDescent="0.2">
      <c r="A25" s="7" t="s">
        <v>4</v>
      </c>
      <c r="B25" s="8">
        <f t="shared" ref="B25" si="22">B10/71.8446</f>
        <v>0.33948271686389792</v>
      </c>
      <c r="C25"/>
      <c r="D25" s="8">
        <f t="shared" ref="D25:N25" si="23">D10/71.8446</f>
        <v>0.19329111828756895</v>
      </c>
      <c r="E25"/>
      <c r="F25" s="8">
        <f t="shared" si="23"/>
        <v>0.68103338912836042</v>
      </c>
      <c r="G25"/>
      <c r="H25" s="8">
        <f t="shared" si="23"/>
        <v>0.57589575277752258</v>
      </c>
      <c r="I25"/>
      <c r="J25" s="8">
        <f t="shared" si="23"/>
        <v>0.20081537095341889</v>
      </c>
      <c r="K25"/>
      <c r="L25" s="8">
        <f t="shared" si="23"/>
        <v>0.68789674751709462</v>
      </c>
      <c r="M25"/>
      <c r="N25" s="8">
        <f t="shared" si="23"/>
        <v>2.3801371293040812E-2</v>
      </c>
      <c r="O25"/>
      <c r="P25" s="47"/>
      <c r="Q25" s="7" t="s">
        <v>4</v>
      </c>
      <c r="R25" s="8">
        <f t="shared" ref="R25" si="24">R10/71.8446</f>
        <v>0.15199472194152377</v>
      </c>
      <c r="S25"/>
      <c r="T25" s="8">
        <f t="shared" ref="T25:AD25" si="25">T10/71.8446</f>
        <v>0.12767139075170575</v>
      </c>
      <c r="U25"/>
      <c r="V25" s="8">
        <f t="shared" si="25"/>
        <v>0.1592789622787702</v>
      </c>
      <c r="W25"/>
      <c r="X25" s="8">
        <f t="shared" si="25"/>
        <v>0.64718387556847234</v>
      </c>
      <c r="Y25"/>
      <c r="Z25" s="8">
        <f t="shared" ref="Z25" si="26">Z10/71.8446</f>
        <v>0.15619058356508353</v>
      </c>
      <c r="AA25"/>
      <c r="AB25" s="8">
        <f t="shared" si="25"/>
        <v>0.17686367521010626</v>
      </c>
      <c r="AC25"/>
      <c r="AD25" s="8">
        <f t="shared" si="25"/>
        <v>0.13918986256447943</v>
      </c>
      <c r="AE25"/>
      <c r="AF25" s="9"/>
      <c r="AG25" s="9"/>
      <c r="AH25" s="9"/>
      <c r="AI25" s="9"/>
      <c r="AJ25" s="10"/>
      <c r="AK25" s="9">
        <f t="shared" ref="AK25" si="27">AK10/71.8446</f>
        <v>0.19235962062562809</v>
      </c>
    </row>
    <row r="26" spans="1:37" s="11" customFormat="1" ht="15.95" customHeight="1" x14ac:dyDescent="0.2">
      <c r="A26" s="7" t="s">
        <v>5</v>
      </c>
      <c r="B26" s="19" t="s">
        <v>72</v>
      </c>
      <c r="C26"/>
      <c r="D26" s="8">
        <f t="shared" ref="D26:N26" si="28">D11/70.93748</f>
        <v>5.421892413085222E-5</v>
      </c>
      <c r="E26"/>
      <c r="F26" s="8">
        <f t="shared" si="28"/>
        <v>8.0553830137266083E-5</v>
      </c>
      <c r="G26"/>
      <c r="H26" s="8">
        <f t="shared" si="28"/>
        <v>3.5242300685053942E-5</v>
      </c>
      <c r="I26"/>
      <c r="J26" s="8">
        <f t="shared" si="28"/>
        <v>7.0484601370107884E-5</v>
      </c>
      <c r="K26"/>
      <c r="L26" s="8">
        <f t="shared" si="28"/>
        <v>2.3494867123369296E-5</v>
      </c>
      <c r="M26"/>
      <c r="N26" s="8">
        <f t="shared" si="28"/>
        <v>7.0484601370107884E-5</v>
      </c>
      <c r="O26"/>
      <c r="P26" s="47"/>
      <c r="Q26" s="7" t="s">
        <v>5</v>
      </c>
      <c r="R26" s="8">
        <f t="shared" ref="R26" si="29">R11/70.93748</f>
        <v>1.5506612301423733E-3</v>
      </c>
      <c r="S26"/>
      <c r="T26" s="8">
        <f t="shared" ref="T26:AD26" si="30">T11/70.93748</f>
        <v>1.9030842369929129E-3</v>
      </c>
      <c r="U26"/>
      <c r="V26" s="8">
        <f t="shared" si="30"/>
        <v>1.6916304328825891E-3</v>
      </c>
      <c r="W26"/>
      <c r="X26" s="8">
        <f t="shared" si="30"/>
        <v>2.9133635232977922E-3</v>
      </c>
      <c r="Y26"/>
      <c r="Z26" s="8">
        <f t="shared" ref="Z26" si="31">Z11/70.93748</f>
        <v>1.5285784045331186E-3</v>
      </c>
      <c r="AA26"/>
      <c r="AB26" s="8">
        <f t="shared" si="30"/>
        <v>2.2564658344220857E-3</v>
      </c>
      <c r="AC26"/>
      <c r="AD26" s="8">
        <f t="shared" si="30"/>
        <v>1.7080145784710706E-3</v>
      </c>
      <c r="AE26"/>
      <c r="AF26" s="9"/>
      <c r="AG26" s="9"/>
      <c r="AH26" s="9"/>
      <c r="AI26" s="9"/>
      <c r="AJ26" s="10"/>
      <c r="AK26" s="9">
        <f t="shared" ref="AK26" si="32">AK11/70.93748</f>
        <v>0</v>
      </c>
    </row>
    <row r="27" spans="1:37" s="11" customFormat="1" ht="15.95" customHeight="1" x14ac:dyDescent="0.2">
      <c r="A27" s="7" t="s">
        <v>6</v>
      </c>
      <c r="B27" s="8">
        <f t="shared" ref="B27" si="33">B12/40.3044</f>
        <v>0.5192981411458798</v>
      </c>
      <c r="C27"/>
      <c r="D27" s="8">
        <f t="shared" ref="D27:N27" si="34">D12/40.3044</f>
        <v>0.78325099836398848</v>
      </c>
      <c r="E27"/>
      <c r="F27" s="8">
        <f t="shared" si="34"/>
        <v>7.3831003208441007E-2</v>
      </c>
      <c r="G27"/>
      <c r="H27" s="8">
        <f t="shared" si="34"/>
        <v>0.19073599904725042</v>
      </c>
      <c r="I27"/>
      <c r="J27" s="8">
        <f t="shared" si="34"/>
        <v>0.77826490407995164</v>
      </c>
      <c r="K27"/>
      <c r="L27" s="8">
        <f t="shared" si="34"/>
        <v>3.9408435141903453E-2</v>
      </c>
      <c r="M27"/>
      <c r="N27" s="8">
        <f t="shared" si="34"/>
        <v>6.3268526513234283E-3</v>
      </c>
      <c r="O27"/>
      <c r="P27" s="47"/>
      <c r="Q27" s="7" t="s">
        <v>6</v>
      </c>
      <c r="R27" s="8">
        <f t="shared" ref="R27" si="35">R12/40.3044</f>
        <v>0.42253451236093331</v>
      </c>
      <c r="S27"/>
      <c r="T27" s="8">
        <f t="shared" ref="T27:AD27" si="36">T12/40.3044</f>
        <v>0.55626680957910302</v>
      </c>
      <c r="U27"/>
      <c r="V27" s="8">
        <f t="shared" si="36"/>
        <v>0.34479279350807024</v>
      </c>
      <c r="W27"/>
      <c r="X27" s="8">
        <f t="shared" si="36"/>
        <v>0.32180109367711712</v>
      </c>
      <c r="Y27"/>
      <c r="Z27" s="8">
        <f t="shared" ref="Z27" si="37">Z12/40.3044</f>
        <v>0.15487539821954924</v>
      </c>
      <c r="AA27"/>
      <c r="AB27" s="8">
        <f t="shared" si="36"/>
        <v>0.2122135548476097</v>
      </c>
      <c r="AC27"/>
      <c r="AD27" s="8">
        <f t="shared" si="36"/>
        <v>1.188159977570687</v>
      </c>
      <c r="AE27"/>
      <c r="AF27" s="9"/>
      <c r="AG27" s="9"/>
      <c r="AH27" s="9"/>
      <c r="AI27" s="9"/>
      <c r="AJ27" s="10"/>
      <c r="AK27" s="9">
        <f t="shared" ref="AK27" si="38">AK12/40.3044</f>
        <v>0.68726987624179992</v>
      </c>
    </row>
    <row r="28" spans="1:37" s="11" customFormat="1" ht="15.95" customHeight="1" x14ac:dyDescent="0.2">
      <c r="A28" s="7" t="s">
        <v>7</v>
      </c>
      <c r="B28" s="8">
        <f t="shared" ref="B28" si="39">B13/56.0778</f>
        <v>5.3497105806575855E-4</v>
      </c>
      <c r="C28"/>
      <c r="D28" s="8">
        <f t="shared" ref="D28:N28" si="40">D13/56.0778</f>
        <v>2.7434413234141467E-5</v>
      </c>
      <c r="E28"/>
      <c r="F28" s="8">
        <f t="shared" si="40"/>
        <v>2.8022293517730192E-4</v>
      </c>
      <c r="G28"/>
      <c r="H28" s="8">
        <f t="shared" si="40"/>
        <v>4.4580921505479884E-5</v>
      </c>
      <c r="I28"/>
      <c r="J28" s="8">
        <f t="shared" si="40"/>
        <v>0</v>
      </c>
      <c r="K28"/>
      <c r="L28" s="8">
        <f t="shared" si="40"/>
        <v>2.9720614336986593E-5</v>
      </c>
      <c r="M28"/>
      <c r="N28" s="8">
        <f t="shared" si="40"/>
        <v>0</v>
      </c>
      <c r="O28"/>
      <c r="P28" s="47"/>
      <c r="Q28" s="7" t="s">
        <v>7</v>
      </c>
      <c r="R28" s="8">
        <f t="shared" ref="R28" si="41">R13/56.0778</f>
        <v>0.1686942069767359</v>
      </c>
      <c r="S28"/>
      <c r="T28" s="8">
        <f t="shared" ref="T28:AD28" si="42">T13/56.0778</f>
        <v>0.13730923823687807</v>
      </c>
      <c r="U28"/>
      <c r="V28" s="8">
        <f t="shared" si="42"/>
        <v>0.22819487687938303</v>
      </c>
      <c r="W28"/>
      <c r="X28" s="8">
        <f t="shared" si="42"/>
        <v>1.1888245734794635E-2</v>
      </c>
      <c r="Y28"/>
      <c r="Z28" s="8">
        <f t="shared" ref="Z28" si="43">Z13/56.0778</f>
        <v>0.23015703183791089</v>
      </c>
      <c r="AA28"/>
      <c r="AB28" s="8">
        <f t="shared" si="42"/>
        <v>0.27107696806936077</v>
      </c>
      <c r="AC28"/>
      <c r="AD28" s="8">
        <f t="shared" si="42"/>
        <v>5.8606971029533973E-3</v>
      </c>
      <c r="AE28"/>
      <c r="AF28" s="9"/>
      <c r="AG28" s="9"/>
      <c r="AH28" s="9"/>
      <c r="AI28" s="9"/>
      <c r="AJ28" s="10"/>
      <c r="AK28" s="9">
        <f t="shared" ref="AK28" si="44">AK13/56.0778</f>
        <v>2.621358184522217E-2</v>
      </c>
    </row>
    <row r="29" spans="1:37" s="11" customFormat="1" ht="15.95" customHeight="1" x14ac:dyDescent="0.2">
      <c r="A29" s="7" t="s">
        <v>8</v>
      </c>
      <c r="B29" s="8">
        <f t="shared" ref="B29" si="45">B14/61.97897</f>
        <v>1.4521054480253544E-3</v>
      </c>
      <c r="C29"/>
      <c r="D29" s="8">
        <f t="shared" ref="D29:N29" si="46">D14/61.97897</f>
        <v>2.4822315350860761E-5</v>
      </c>
      <c r="E29"/>
      <c r="F29" s="8">
        <f t="shared" si="46"/>
        <v>2.0744363543219419E-4</v>
      </c>
      <c r="G29"/>
      <c r="H29" s="8">
        <f t="shared" si="46"/>
        <v>8.0672524890297475E-5</v>
      </c>
      <c r="I29"/>
      <c r="J29" s="8">
        <f t="shared" si="46"/>
        <v>6.0504393667723103E-5</v>
      </c>
      <c r="K29"/>
      <c r="L29" s="8">
        <f t="shared" si="46"/>
        <v>0</v>
      </c>
      <c r="M29"/>
      <c r="N29" s="8">
        <f t="shared" si="46"/>
        <v>2.4201757467089241E-4</v>
      </c>
      <c r="O29"/>
      <c r="P29" s="47"/>
      <c r="Q29" s="7" t="s">
        <v>8</v>
      </c>
      <c r="R29" s="8">
        <f t="shared" ref="R29" si="47">R14/61.97897</f>
        <v>6.9378371405655823E-3</v>
      </c>
      <c r="S29"/>
      <c r="T29" s="8">
        <f t="shared" ref="T29:AD29" si="48">T14/61.97897</f>
        <v>3.6302636200633859E-3</v>
      </c>
      <c r="U29"/>
      <c r="V29" s="8">
        <f t="shared" si="48"/>
        <v>6.5613653577441941E-3</v>
      </c>
      <c r="W29"/>
      <c r="X29" s="8">
        <f t="shared" si="48"/>
        <v>7.5294356564277638E-4</v>
      </c>
      <c r="Y29"/>
      <c r="Z29" s="8">
        <f t="shared" ref="Z29" si="49">Z14/61.97897</f>
        <v>7.490379398044208E-3</v>
      </c>
      <c r="AA29"/>
      <c r="AB29" s="8">
        <f t="shared" si="48"/>
        <v>5.785575333052486E-3</v>
      </c>
      <c r="AC29"/>
      <c r="AD29" s="8">
        <f t="shared" si="48"/>
        <v>1.3138327403633846E-4</v>
      </c>
      <c r="AE29"/>
      <c r="AF29" s="9"/>
      <c r="AG29" s="9"/>
      <c r="AH29" s="9"/>
      <c r="AI29" s="9"/>
      <c r="AJ29" s="10"/>
      <c r="AK29" s="9">
        <f t="shared" ref="AK29" si="50">AK14/61.97897</f>
        <v>7.0991821903461771E-3</v>
      </c>
    </row>
    <row r="30" spans="1:37" s="11" customFormat="1" ht="15.95" customHeight="1" x14ac:dyDescent="0.2">
      <c r="A30" s="7" t="s">
        <v>9</v>
      </c>
      <c r="B30" s="19" t="s">
        <v>72</v>
      </c>
      <c r="C30"/>
      <c r="D30" s="8">
        <f t="shared" ref="D30:N30" si="51">D15/94.19605</f>
        <v>6.5330193292034586E-5</v>
      </c>
      <c r="E30"/>
      <c r="F30" s="8">
        <f t="shared" si="51"/>
        <v>1.5165937728508041E-3</v>
      </c>
      <c r="G30"/>
      <c r="H30" s="8">
        <f t="shared" si="51"/>
        <v>1.2739387691946742E-3</v>
      </c>
      <c r="I30"/>
      <c r="J30" s="8">
        <f t="shared" si="51"/>
        <v>4.5118664742311378E-4</v>
      </c>
      <c r="K30"/>
      <c r="L30" s="8">
        <f t="shared" si="51"/>
        <v>7.6082454271348603E-4</v>
      </c>
      <c r="M30"/>
      <c r="N30" s="8">
        <f t="shared" si="51"/>
        <v>1.5924234614933428E-3</v>
      </c>
      <c r="O30"/>
      <c r="P30" s="47"/>
      <c r="Q30" s="7" t="s">
        <v>9</v>
      </c>
      <c r="R30" s="8">
        <f t="shared" ref="R30" si="52">R15/94.19605</f>
        <v>1.4862618973937869E-3</v>
      </c>
      <c r="S30"/>
      <c r="T30" s="8">
        <f t="shared" ref="T30:AD30" si="53">T15/94.19605</f>
        <v>9.2891368587111681E-4</v>
      </c>
      <c r="U30"/>
      <c r="V30" s="8">
        <f t="shared" si="53"/>
        <v>1.8401337777256407E-3</v>
      </c>
      <c r="W30"/>
      <c r="X30" s="8">
        <f t="shared" si="53"/>
        <v>2.8309750426548321E-4</v>
      </c>
      <c r="Y30"/>
      <c r="Z30" s="8">
        <f t="shared" ref="Z30" si="54">Z15/94.19605</f>
        <v>2.0078177375802914E-3</v>
      </c>
      <c r="AA30"/>
      <c r="AB30" s="8">
        <f t="shared" si="53"/>
        <v>1.7096152121028429E-3</v>
      </c>
      <c r="AC30"/>
      <c r="AD30" s="8">
        <f t="shared" si="53"/>
        <v>2.407744273777934E-5</v>
      </c>
      <c r="AE30"/>
      <c r="AF30" s="9"/>
      <c r="AG30" s="9"/>
      <c r="AH30" s="9"/>
      <c r="AI30" s="9"/>
      <c r="AJ30" s="10"/>
      <c r="AK30" s="9">
        <f t="shared" ref="AK30" si="55">AK15/94.19605</f>
        <v>0</v>
      </c>
    </row>
    <row r="31" spans="1:37" s="11" customFormat="1" ht="15.95" customHeight="1" x14ac:dyDescent="0.2">
      <c r="A31" s="7" t="s">
        <v>10</v>
      </c>
      <c r="B31" s="19" t="s">
        <v>72</v>
      </c>
      <c r="C31"/>
      <c r="D31" s="8">
        <f t="shared" ref="D31:N31" si="56">D16/96.97148</f>
        <v>2.1417875409585134E-4</v>
      </c>
      <c r="E31"/>
      <c r="F31" s="8">
        <f t="shared" si="56"/>
        <v>1.7678246369816258E-4</v>
      </c>
      <c r="G31"/>
      <c r="H31" s="8">
        <f t="shared" si="56"/>
        <v>1.2890387977991055E-4</v>
      </c>
      <c r="I31"/>
      <c r="J31" s="8">
        <f t="shared" si="56"/>
        <v>3.9960202731772278E-4</v>
      </c>
      <c r="K31"/>
      <c r="L31" s="8">
        <f t="shared" si="56"/>
        <v>3.437436794130948E-5</v>
      </c>
      <c r="M31"/>
      <c r="N31" s="8">
        <f t="shared" si="56"/>
        <v>5.156155191196422E-5</v>
      </c>
      <c r="O31"/>
      <c r="P31" s="47"/>
      <c r="Q31" s="7" t="s">
        <v>10</v>
      </c>
      <c r="R31" s="8">
        <f t="shared" ref="R31" si="57">R16/96.97148</f>
        <v>4.1249241529571376E-4</v>
      </c>
      <c r="S31"/>
      <c r="T31" s="8">
        <f t="shared" ref="T31:AD31" si="58">T16/96.97148</f>
        <v>4.6405396720767801E-4</v>
      </c>
      <c r="U31"/>
      <c r="V31" s="8">
        <f t="shared" si="58"/>
        <v>3.4374367941309477E-4</v>
      </c>
      <c r="W31"/>
      <c r="X31" s="8">
        <f t="shared" si="58"/>
        <v>3.437436794130948E-5</v>
      </c>
      <c r="Y31"/>
      <c r="Z31" s="8">
        <f t="shared" ref="Z31" si="59">Z16/96.97148</f>
        <v>6.5347564046666087E-4</v>
      </c>
      <c r="AA31"/>
      <c r="AB31" s="8">
        <f t="shared" si="58"/>
        <v>9.6451039006520271E-4</v>
      </c>
      <c r="AC31"/>
      <c r="AD31" s="8">
        <f t="shared" si="58"/>
        <v>3.8657242314956938E-4</v>
      </c>
      <c r="AE31"/>
      <c r="AF31" s="9"/>
      <c r="AG31" s="9"/>
      <c r="AH31" s="9"/>
      <c r="AI31" s="9"/>
      <c r="AJ31" s="10"/>
      <c r="AK31" s="9">
        <f t="shared" ref="AK31" si="60">AK16/96.97148</f>
        <v>0</v>
      </c>
    </row>
    <row r="32" spans="1:37" s="11" customFormat="1" ht="15.95" customHeight="1" thickBot="1" x14ac:dyDescent="0.25">
      <c r="A32" s="12" t="s">
        <v>26</v>
      </c>
      <c r="B32" s="13">
        <f t="shared" ref="B32" si="61">SUM(B21:B31)</f>
        <v>1.7388662236353574</v>
      </c>
      <c r="C32" s="48"/>
      <c r="D32" s="13">
        <f t="shared" ref="D32:N32" si="62">SUM(D21:D31)</f>
        <v>1.9107249357799789</v>
      </c>
      <c r="E32" s="48"/>
      <c r="F32" s="13">
        <f t="shared" si="62"/>
        <v>1.4799415215216347</v>
      </c>
      <c r="G32" s="48"/>
      <c r="H32" s="13">
        <f t="shared" si="62"/>
        <v>1.5437431014336338</v>
      </c>
      <c r="I32" s="48"/>
      <c r="J32" s="13">
        <f t="shared" si="62"/>
        <v>1.8805255839411537</v>
      </c>
      <c r="K32" s="48"/>
      <c r="L32" s="13">
        <f t="shared" si="62"/>
        <v>1.4543888083585892</v>
      </c>
      <c r="M32" s="48"/>
      <c r="N32" s="13">
        <f t="shared" si="62"/>
        <v>1.6547528103852289</v>
      </c>
      <c r="O32" s="48"/>
      <c r="P32" s="47"/>
      <c r="Q32" s="12" t="s">
        <v>26</v>
      </c>
      <c r="R32" s="13">
        <f t="shared" ref="R32" si="63">SUM(R21:R31)</f>
        <v>1.6882604403593127</v>
      </c>
      <c r="S32" s="48"/>
      <c r="T32" s="13">
        <f t="shared" ref="T32:AD32" si="64">SUM(T21:T31)</f>
        <v>1.7699741738459631</v>
      </c>
      <c r="U32" s="48"/>
      <c r="V32" s="13">
        <f t="shared" si="64"/>
        <v>1.6822688241260682</v>
      </c>
      <c r="W32" s="48"/>
      <c r="X32" s="13">
        <f t="shared" si="64"/>
        <v>1.270814700998345</v>
      </c>
      <c r="Y32" s="48"/>
      <c r="Z32" s="13">
        <f t="shared" ref="Z32" si="65">SUM(Z21:Z31)</f>
        <v>1.5739510897443181</v>
      </c>
      <c r="AA32" s="48"/>
      <c r="AB32" s="13">
        <f t="shared" si="64"/>
        <v>1.640846844647263</v>
      </c>
      <c r="AC32" s="48"/>
      <c r="AD32" s="13">
        <f t="shared" si="64"/>
        <v>2.0182195863805203</v>
      </c>
      <c r="AE32" s="48"/>
      <c r="AF32" s="9"/>
      <c r="AG32" s="9"/>
      <c r="AH32" s="9"/>
      <c r="AI32" s="9"/>
      <c r="AJ32" s="10"/>
      <c r="AK32" s="9">
        <f t="shared" ref="AK32" si="66">SUM(AK21:AK31)</f>
        <v>1.8587857120950202</v>
      </c>
    </row>
    <row r="33" spans="1:37" s="11" customFormat="1" ht="15.95" customHeight="1" x14ac:dyDescent="0.2">
      <c r="A33" s="7"/>
      <c r="B33" s="25"/>
      <c r="C33" s="49"/>
      <c r="D33" s="25"/>
      <c r="E33" s="49"/>
      <c r="F33" s="8"/>
      <c r="G33" s="47"/>
      <c r="H33" s="8"/>
      <c r="I33" s="47"/>
      <c r="J33" s="8"/>
      <c r="K33" s="47"/>
      <c r="L33" s="8"/>
      <c r="M33" s="47"/>
      <c r="N33" s="8"/>
      <c r="O33" s="47"/>
      <c r="P33" s="47"/>
      <c r="Q33" s="7"/>
      <c r="R33" s="8"/>
      <c r="S33" s="47"/>
      <c r="T33" s="8"/>
      <c r="U33" s="47"/>
      <c r="V33" s="8"/>
      <c r="W33" s="47"/>
      <c r="X33" s="8"/>
      <c r="Y33" s="47"/>
      <c r="Z33" s="8"/>
      <c r="AA33" s="47"/>
      <c r="AB33" s="8"/>
      <c r="AC33" s="47"/>
      <c r="AD33" s="8"/>
      <c r="AE33" s="47"/>
      <c r="AF33" s="9"/>
      <c r="AG33" s="9"/>
      <c r="AH33" s="9"/>
      <c r="AI33" s="9"/>
      <c r="AJ33" s="10"/>
      <c r="AK33" s="9"/>
    </row>
    <row r="34" spans="1:37" s="11" customFormat="1" ht="15.95" customHeight="1" x14ac:dyDescent="0.2">
      <c r="B34" s="26"/>
      <c r="C34" s="50"/>
      <c r="D34" s="26"/>
      <c r="E34" s="50"/>
      <c r="F34" s="10"/>
      <c r="G34" s="56"/>
      <c r="H34" s="10"/>
      <c r="I34" s="56"/>
      <c r="J34" s="10"/>
      <c r="K34" s="56"/>
      <c r="L34" s="10"/>
      <c r="M34" s="56"/>
      <c r="N34" s="10"/>
      <c r="O34" s="56"/>
      <c r="P34" s="61"/>
      <c r="R34" s="10"/>
      <c r="S34" s="56"/>
      <c r="T34" s="10"/>
      <c r="U34" s="56"/>
      <c r="V34" s="10"/>
      <c r="W34" s="56"/>
      <c r="X34" s="10"/>
      <c r="Y34" s="56"/>
      <c r="Z34" s="10"/>
      <c r="AA34" s="56"/>
      <c r="AB34" s="10"/>
      <c r="AC34" s="56"/>
      <c r="AD34" s="10"/>
      <c r="AE34" s="56"/>
      <c r="AF34" s="27"/>
      <c r="AG34" s="27"/>
      <c r="AH34" s="27"/>
      <c r="AI34" s="27"/>
      <c r="AJ34" s="10"/>
      <c r="AK34" s="10"/>
    </row>
    <row r="35" spans="1:37" s="11" customFormat="1" ht="15.95" customHeight="1" x14ac:dyDescent="0.2">
      <c r="A35" s="28" t="s">
        <v>28</v>
      </c>
      <c r="B35" s="29"/>
      <c r="C35" s="51"/>
      <c r="D35" s="29"/>
      <c r="E35" s="51"/>
      <c r="F35" s="30"/>
      <c r="G35" s="57"/>
      <c r="H35" s="30"/>
      <c r="I35" s="57"/>
      <c r="J35" s="30"/>
      <c r="K35" s="57"/>
      <c r="L35" s="30"/>
      <c r="M35" s="57"/>
      <c r="N35" s="30"/>
      <c r="O35" s="57"/>
      <c r="P35" s="61"/>
      <c r="Q35" s="28" t="s">
        <v>28</v>
      </c>
      <c r="R35" s="30"/>
      <c r="S35" s="57"/>
      <c r="T35" s="30"/>
      <c r="U35" s="57"/>
      <c r="V35" s="30"/>
      <c r="W35" s="57"/>
      <c r="X35" s="30"/>
      <c r="Y35" s="57"/>
      <c r="Z35" s="30"/>
      <c r="AA35" s="57"/>
      <c r="AB35" s="30"/>
      <c r="AC35" s="57"/>
      <c r="AD35" s="30"/>
      <c r="AE35" s="57"/>
      <c r="AF35" s="27"/>
      <c r="AG35" s="27"/>
      <c r="AH35" s="27"/>
      <c r="AI35" s="27"/>
      <c r="AJ35" s="10"/>
      <c r="AK35" s="10"/>
    </row>
    <row r="36" spans="1:37" s="11" customFormat="1" ht="15.95" customHeight="1" x14ac:dyDescent="0.2">
      <c r="A36" s="7" t="s">
        <v>0</v>
      </c>
      <c r="B36" s="25">
        <f t="shared" ref="B36" si="67">B21/B$32</f>
        <v>0.50182469537637597</v>
      </c>
      <c r="C36"/>
      <c r="D36" s="25">
        <f t="shared" ref="D36:H36" si="68">D21/D$32</f>
        <v>0.48659206789574444</v>
      </c>
      <c r="E36"/>
      <c r="F36" s="25">
        <f t="shared" si="68"/>
        <v>0.48305912477272489</v>
      </c>
      <c r="G36"/>
      <c r="H36" s="25">
        <f t="shared" si="68"/>
        <v>0.49832966942230994</v>
      </c>
      <c r="I36"/>
      <c r="J36" s="25">
        <f t="shared" ref="J36:N36" si="69">J21/J$32</f>
        <v>0.47837099509206144</v>
      </c>
      <c r="K36"/>
      <c r="L36" s="25">
        <f t="shared" si="69"/>
        <v>0.49515904292564972</v>
      </c>
      <c r="M36"/>
      <c r="N36" s="25">
        <f t="shared" si="69"/>
        <v>0.97877981215547394</v>
      </c>
      <c r="O36"/>
      <c r="P36" s="49"/>
      <c r="Q36" s="7" t="s">
        <v>0</v>
      </c>
      <c r="R36" s="25">
        <f t="shared" ref="R36" si="70">R21/R$32</f>
        <v>0.48946106666480438</v>
      </c>
      <c r="S36"/>
      <c r="T36" s="25">
        <f t="shared" ref="T36:AD47" si="71">T21/T$32</f>
        <v>0.47575023812641171</v>
      </c>
      <c r="U36"/>
      <c r="V36" s="25">
        <f t="shared" si="71"/>
        <v>0.49443616953848091</v>
      </c>
      <c r="W36"/>
      <c r="X36" s="25">
        <f t="shared" si="71"/>
        <v>4.2651020061804351E-2</v>
      </c>
      <c r="Y36"/>
      <c r="Z36" s="25">
        <f t="shared" ref="Z36" si="72">Z21/Z$32</f>
        <v>0.55768648326645853</v>
      </c>
      <c r="AA36"/>
      <c r="AB36" s="25">
        <f t="shared" si="71"/>
        <v>0.51348989570108527</v>
      </c>
      <c r="AC36"/>
      <c r="AD36" s="25">
        <f t="shared" si="71"/>
        <v>0.3361302242011352</v>
      </c>
      <c r="AE36"/>
      <c r="AF36" s="27"/>
      <c r="AG36" s="27"/>
      <c r="AH36" s="27"/>
      <c r="AI36" s="27"/>
      <c r="AJ36" s="10"/>
      <c r="AK36" s="32">
        <f t="shared" ref="AK36:AK47" si="73">AK21/AK$32</f>
        <v>0.49872853032855041</v>
      </c>
    </row>
    <row r="37" spans="1:37" s="11" customFormat="1" ht="15.95" customHeight="1" x14ac:dyDescent="0.2">
      <c r="A37" s="7" t="s">
        <v>1</v>
      </c>
      <c r="B37" s="19" t="s">
        <v>72</v>
      </c>
      <c r="C37"/>
      <c r="D37" s="25">
        <f t="shared" ref="D37:F47" si="74">D22/D$32</f>
        <v>1.3105991757042342E-4</v>
      </c>
      <c r="E37"/>
      <c r="F37" s="25">
        <f t="shared" si="74"/>
        <v>3.6259075434703068E-4</v>
      </c>
      <c r="G37"/>
      <c r="H37" s="25">
        <f t="shared" ref="H37:N47" si="75">H22/H$32</f>
        <v>2.0276969363500205E-4</v>
      </c>
      <c r="I37"/>
      <c r="J37" s="25">
        <f t="shared" si="75"/>
        <v>4.9936728072502709E-5</v>
      </c>
      <c r="K37"/>
      <c r="L37" s="25">
        <f t="shared" si="75"/>
        <v>4.4480328468908732E-4</v>
      </c>
      <c r="M37"/>
      <c r="N37" s="25">
        <f t="shared" si="75"/>
        <v>1.5133345053801637E-4</v>
      </c>
      <c r="O37"/>
      <c r="P37" s="49"/>
      <c r="Q37" s="7" t="s">
        <v>1</v>
      </c>
      <c r="R37" s="25">
        <f t="shared" ref="R37" si="76">R22/R$32</f>
        <v>2.6699376700054867E-3</v>
      </c>
      <c r="S37"/>
      <c r="T37" s="25">
        <f t="shared" si="71"/>
        <v>2.4936199166038426E-3</v>
      </c>
      <c r="U37"/>
      <c r="V37" s="25">
        <f t="shared" si="71"/>
        <v>2.7786857731527024E-3</v>
      </c>
      <c r="W37"/>
      <c r="X37" s="25">
        <f t="shared" si="71"/>
        <v>2.1347545010709343E-3</v>
      </c>
      <c r="Y37"/>
      <c r="Z37" s="25">
        <f t="shared" ref="Z37" si="77">Z22/Z$32</f>
        <v>4.0777079293155983E-3</v>
      </c>
      <c r="AA37"/>
      <c r="AB37" s="25">
        <f t="shared" si="71"/>
        <v>3.8994604340633382E-3</v>
      </c>
      <c r="AC37"/>
      <c r="AD37" s="25">
        <f t="shared" si="71"/>
        <v>1.6360487799822629E-4</v>
      </c>
      <c r="AE37"/>
      <c r="AF37" s="27"/>
      <c r="AG37" s="27"/>
      <c r="AH37" s="27"/>
      <c r="AI37" s="27"/>
      <c r="AJ37" s="10"/>
      <c r="AK37" s="32">
        <f t="shared" si="73"/>
        <v>2.0208309996704613E-4</v>
      </c>
    </row>
    <row r="38" spans="1:37" s="11" customFormat="1" ht="15.95" customHeight="1" x14ac:dyDescent="0.2">
      <c r="A38" s="7" t="s">
        <v>2</v>
      </c>
      <c r="B38" s="25">
        <f t="shared" ref="B38" si="78">B23/B$32</f>
        <v>3.1585386320999785E-3</v>
      </c>
      <c r="C38"/>
      <c r="D38" s="25">
        <f t="shared" si="74"/>
        <v>1.9505171042416291E-3</v>
      </c>
      <c r="E38"/>
      <c r="F38" s="25">
        <f t="shared" si="74"/>
        <v>4.9229461631967626E-3</v>
      </c>
      <c r="G38"/>
      <c r="H38" s="25">
        <f t="shared" si="75"/>
        <v>3.8277746256220281E-3</v>
      </c>
      <c r="I38"/>
      <c r="J38" s="25">
        <f t="shared" si="75"/>
        <v>3.9767193231866243E-4</v>
      </c>
      <c r="K38"/>
      <c r="L38" s="25">
        <f t="shared" si="75"/>
        <v>3.4953683742781809E-3</v>
      </c>
      <c r="M38"/>
      <c r="N38" s="25">
        <f t="shared" si="75"/>
        <v>1.6595457970932429E-3</v>
      </c>
      <c r="O38"/>
      <c r="P38" s="49"/>
      <c r="Q38" s="7" t="s">
        <v>2</v>
      </c>
      <c r="R38" s="25">
        <f t="shared" ref="R38" si="79">R23/R$32</f>
        <v>6.0823523524544731E-2</v>
      </c>
      <c r="S38"/>
      <c r="T38" s="25">
        <f t="shared" si="71"/>
        <v>5.3194733972274727E-2</v>
      </c>
      <c r="U38"/>
      <c r="V38" s="25">
        <f t="shared" si="71"/>
        <v>6.078752074845177E-2</v>
      </c>
      <c r="W38"/>
      <c r="X38" s="25">
        <f t="shared" si="71"/>
        <v>7.6584289487282589E-2</v>
      </c>
      <c r="Y38"/>
      <c r="Z38" s="25">
        <f t="shared" ref="Z38" si="80">Z23/Z$32</f>
        <v>8.6180580699245765E-2</v>
      </c>
      <c r="AA38"/>
      <c r="AB38" s="25">
        <f t="shared" si="71"/>
        <v>7.2772757001886415E-2</v>
      </c>
      <c r="AC38"/>
      <c r="AD38" s="25">
        <f t="shared" si="71"/>
        <v>1.1633892754533612E-3</v>
      </c>
      <c r="AE38"/>
      <c r="AF38" s="27"/>
      <c r="AG38" s="27"/>
      <c r="AH38" s="27"/>
      <c r="AI38" s="27"/>
      <c r="AJ38" s="10"/>
      <c r="AK38" s="32">
        <f t="shared" si="73"/>
        <v>9.9195703433238285E-3</v>
      </c>
    </row>
    <row r="39" spans="1:37" s="11" customFormat="1" ht="15.95" customHeight="1" x14ac:dyDescent="0.2">
      <c r="A39" s="7" t="s">
        <v>3</v>
      </c>
      <c r="B39" s="19" t="s">
        <v>72</v>
      </c>
      <c r="C39"/>
      <c r="D39" s="25">
        <f t="shared" si="74"/>
        <v>3.9731373380816658E-5</v>
      </c>
      <c r="E39"/>
      <c r="F39" s="25">
        <f t="shared" si="74"/>
        <v>6.350987340139017E-5</v>
      </c>
      <c r="G39"/>
      <c r="H39" s="25">
        <f t="shared" si="75"/>
        <v>2.1309772659132519E-5</v>
      </c>
      <c r="I39"/>
      <c r="J39" s="25">
        <f t="shared" si="75"/>
        <v>1.7493415041294281E-5</v>
      </c>
      <c r="K39"/>
      <c r="L39" s="25">
        <f t="shared" si="75"/>
        <v>2.4126928991086467E-4</v>
      </c>
      <c r="M39"/>
      <c r="N39" s="25">
        <f t="shared" si="75"/>
        <v>1.9880198618908199E-5</v>
      </c>
      <c r="O39"/>
      <c r="P39" s="49"/>
      <c r="Q39" s="7" t="s">
        <v>3</v>
      </c>
      <c r="R39" s="25">
        <f t="shared" ref="R39" si="81">R24/R$32</f>
        <v>6.6251134450216547E-4</v>
      </c>
      <c r="S39"/>
      <c r="T39" s="25">
        <f t="shared" si="71"/>
        <v>6.5980449504422117E-4</v>
      </c>
      <c r="U39"/>
      <c r="V39" s="25">
        <f t="shared" si="71"/>
        <v>5.0843073690755747E-4</v>
      </c>
      <c r="W39"/>
      <c r="X39" s="25">
        <f t="shared" si="71"/>
        <v>0.10364913570584645</v>
      </c>
      <c r="Y39"/>
      <c r="Z39" s="25">
        <f t="shared" ref="Z39" si="82">Z24/Z$32</f>
        <v>7.7159012803069114E-4</v>
      </c>
      <c r="AA39"/>
      <c r="AB39" s="25">
        <f t="shared" si="71"/>
        <v>9.8171172070905702E-4</v>
      </c>
      <c r="AC39"/>
      <c r="AD39" s="25">
        <f t="shared" si="71"/>
        <v>8.4046046661012772E-4</v>
      </c>
      <c r="AE39"/>
      <c r="AF39" s="27"/>
      <c r="AG39" s="27"/>
      <c r="AH39" s="27"/>
      <c r="AI39" s="27"/>
      <c r="AJ39" s="10"/>
      <c r="AK39" s="32">
        <f t="shared" si="73"/>
        <v>0</v>
      </c>
    </row>
    <row r="40" spans="1:37" s="11" customFormat="1" ht="15.95" customHeight="1" x14ac:dyDescent="0.2">
      <c r="A40" s="7" t="s">
        <v>4</v>
      </c>
      <c r="B40" s="25">
        <f t="shared" ref="B40" si="83">B25/B$32</f>
        <v>0.19523222215114341</v>
      </c>
      <c r="C40"/>
      <c r="D40" s="25">
        <f t="shared" si="74"/>
        <v>0.10116114290865492</v>
      </c>
      <c r="E40"/>
      <c r="F40" s="25">
        <f t="shared" si="74"/>
        <v>0.46017587804965487</v>
      </c>
      <c r="G40"/>
      <c r="H40" s="25">
        <f t="shared" si="75"/>
        <v>0.37305154739976054</v>
      </c>
      <c r="I40"/>
      <c r="J40" s="25">
        <f t="shared" si="75"/>
        <v>0.10678683271756163</v>
      </c>
      <c r="K40"/>
      <c r="L40" s="25">
        <f t="shared" si="75"/>
        <v>0.47297995114074692</v>
      </c>
      <c r="M40"/>
      <c r="N40" s="25">
        <f t="shared" si="75"/>
        <v>1.4383641558825827E-2</v>
      </c>
      <c r="O40"/>
      <c r="P40" s="49"/>
      <c r="Q40" s="7" t="s">
        <v>4</v>
      </c>
      <c r="R40" s="25">
        <f t="shared" ref="R40" si="84">R25/R$32</f>
        <v>9.0030375828254738E-2</v>
      </c>
      <c r="S40"/>
      <c r="T40" s="25">
        <f t="shared" si="71"/>
        <v>7.2131781716503571E-2</v>
      </c>
      <c r="U40"/>
      <c r="V40" s="25">
        <f t="shared" si="71"/>
        <v>9.4681040268052866E-2</v>
      </c>
      <c r="W40"/>
      <c r="X40" s="25">
        <f t="shared" si="71"/>
        <v>0.50926690969190724</v>
      </c>
      <c r="Y40"/>
      <c r="Z40" s="25">
        <f t="shared" ref="Z40" si="85">Z25/Z$32</f>
        <v>9.923471230002201E-2</v>
      </c>
      <c r="AA40"/>
      <c r="AB40" s="25">
        <f t="shared" si="71"/>
        <v>0.10778804602456793</v>
      </c>
      <c r="AC40"/>
      <c r="AD40" s="25">
        <f t="shared" si="71"/>
        <v>6.8966659279183218E-2</v>
      </c>
      <c r="AE40"/>
      <c r="AF40" s="27"/>
      <c r="AG40" s="27"/>
      <c r="AH40" s="27"/>
      <c r="AI40" s="27"/>
      <c r="AJ40" s="10"/>
      <c r="AK40" s="32">
        <f t="shared" si="73"/>
        <v>0.10348671144497949</v>
      </c>
    </row>
    <row r="41" spans="1:37" s="11" customFormat="1" ht="15.95" customHeight="1" x14ac:dyDescent="0.2">
      <c r="A41" s="7" t="s">
        <v>5</v>
      </c>
      <c r="B41" s="19" t="s">
        <v>72</v>
      </c>
      <c r="C41"/>
      <c r="D41" s="25">
        <f t="shared" si="74"/>
        <v>2.8376101193612914E-5</v>
      </c>
      <c r="E41"/>
      <c r="F41" s="25">
        <f t="shared" si="74"/>
        <v>5.4430414287209721E-5</v>
      </c>
      <c r="G41"/>
      <c r="H41" s="25">
        <f t="shared" si="75"/>
        <v>2.2829122703334084E-5</v>
      </c>
      <c r="I41"/>
      <c r="J41" s="25">
        <f t="shared" si="75"/>
        <v>3.7481330736478578E-5</v>
      </c>
      <c r="K41"/>
      <c r="L41" s="25">
        <f t="shared" si="75"/>
        <v>1.6154460889922142E-5</v>
      </c>
      <c r="M41"/>
      <c r="N41" s="25">
        <f t="shared" si="75"/>
        <v>4.2595244998374691E-5</v>
      </c>
      <c r="O41"/>
      <c r="P41" s="49"/>
      <c r="Q41" s="7" t="s">
        <v>5</v>
      </c>
      <c r="R41" s="25">
        <f t="shared" ref="R41" si="86">R26/R$32</f>
        <v>9.1849645532909949E-4</v>
      </c>
      <c r="S41"/>
      <c r="T41" s="25">
        <f t="shared" si="71"/>
        <v>1.0752045228195144E-3</v>
      </c>
      <c r="U41"/>
      <c r="V41" s="25">
        <f t="shared" si="71"/>
        <v>1.0055648708590817E-3</v>
      </c>
      <c r="W41"/>
      <c r="X41" s="25">
        <f t="shared" si="71"/>
        <v>2.2925163841817928E-3</v>
      </c>
      <c r="Y41"/>
      <c r="Z41" s="25">
        <f t="shared" ref="Z41" si="87">Z26/Z$32</f>
        <v>9.7117274767504369E-4</v>
      </c>
      <c r="AA41"/>
      <c r="AB41" s="25">
        <f t="shared" si="71"/>
        <v>1.3751836996750077E-3</v>
      </c>
      <c r="AC41"/>
      <c r="AD41" s="25">
        <f t="shared" si="71"/>
        <v>8.4629769228145675E-4</v>
      </c>
      <c r="AE41"/>
      <c r="AF41" s="27"/>
      <c r="AG41" s="27"/>
      <c r="AH41" s="27"/>
      <c r="AI41" s="27"/>
      <c r="AJ41" s="10"/>
      <c r="AK41" s="32">
        <f t="shared" si="73"/>
        <v>0</v>
      </c>
    </row>
    <row r="42" spans="1:37" s="11" customFormat="1" ht="15.95" customHeight="1" x14ac:dyDescent="0.2">
      <c r="A42" s="7" t="s">
        <v>6</v>
      </c>
      <c r="B42" s="25">
        <f t="shared" ref="B42" si="88">B27/B$32</f>
        <v>0.29864180124231188</v>
      </c>
      <c r="C42"/>
      <c r="D42" s="25">
        <f t="shared" si="74"/>
        <v>0.40992347129455176</v>
      </c>
      <c r="E42"/>
      <c r="F42" s="25">
        <f t="shared" si="74"/>
        <v>4.9887784169019074E-2</v>
      </c>
      <c r="G42"/>
      <c r="H42" s="25">
        <f t="shared" si="75"/>
        <v>0.12355423572103343</v>
      </c>
      <c r="I42"/>
      <c r="J42" s="25">
        <f t="shared" si="75"/>
        <v>0.41385499390488778</v>
      </c>
      <c r="K42"/>
      <c r="L42" s="25">
        <f t="shared" si="75"/>
        <v>2.7096217266949049E-2</v>
      </c>
      <c r="M42"/>
      <c r="N42" s="25">
        <f t="shared" si="75"/>
        <v>3.8234427593149263E-3</v>
      </c>
      <c r="O42"/>
      <c r="P42" s="49"/>
      <c r="Q42" s="7" t="s">
        <v>6</v>
      </c>
      <c r="R42" s="25">
        <f t="shared" ref="R42" si="89">R27/R$32</f>
        <v>0.25027803901571327</v>
      </c>
      <c r="S42"/>
      <c r="T42" s="25">
        <f t="shared" si="71"/>
        <v>0.31427961932935733</v>
      </c>
      <c r="U42"/>
      <c r="V42" s="25">
        <f t="shared" si="71"/>
        <v>0.20495701314989814</v>
      </c>
      <c r="W42"/>
      <c r="X42" s="25">
        <f t="shared" si="71"/>
        <v>0.25322424537921379</v>
      </c>
      <c r="Y42"/>
      <c r="Z42" s="25">
        <f t="shared" ref="Z42" si="90">Z27/Z$32</f>
        <v>9.8399117500346286E-2</v>
      </c>
      <c r="AA42"/>
      <c r="AB42" s="25">
        <f t="shared" si="71"/>
        <v>0.12933172619972938</v>
      </c>
      <c r="AC42"/>
      <c r="AD42" s="25">
        <f t="shared" si="71"/>
        <v>0.58871689958253548</v>
      </c>
      <c r="AE42"/>
      <c r="AF42" s="27"/>
      <c r="AG42" s="27"/>
      <c r="AH42" s="27"/>
      <c r="AI42" s="27"/>
      <c r="AJ42" s="10"/>
      <c r="AK42" s="32">
        <f t="shared" si="73"/>
        <v>0.36974131647869424</v>
      </c>
    </row>
    <row r="43" spans="1:37" s="11" customFormat="1" ht="15.95" customHeight="1" x14ac:dyDescent="0.2">
      <c r="A43" s="7" t="s">
        <v>7</v>
      </c>
      <c r="B43" s="25">
        <f t="shared" ref="B43" si="91">B28/B$32</f>
        <v>3.076550977839585E-4</v>
      </c>
      <c r="C43"/>
      <c r="D43" s="25">
        <f t="shared" si="74"/>
        <v>1.4358117550259759E-5</v>
      </c>
      <c r="E43"/>
      <c r="F43" s="25">
        <f t="shared" si="74"/>
        <v>1.8934730264827255E-4</v>
      </c>
      <c r="G43"/>
      <c r="H43" s="25">
        <f t="shared" si="75"/>
        <v>2.887845876951855E-5</v>
      </c>
      <c r="I43"/>
      <c r="J43" s="25">
        <f t="shared" si="75"/>
        <v>0</v>
      </c>
      <c r="K43"/>
      <c r="L43" s="25">
        <f t="shared" si="75"/>
        <v>2.0435123102005318E-5</v>
      </c>
      <c r="M43"/>
      <c r="N43" s="25">
        <f t="shared" si="75"/>
        <v>0</v>
      </c>
      <c r="O43"/>
      <c r="P43" s="49"/>
      <c r="Q43" s="7" t="s">
        <v>7</v>
      </c>
      <c r="R43" s="25">
        <f t="shared" ref="R43" si="92">R28/R$32</f>
        <v>9.9921909525305636E-2</v>
      </c>
      <c r="S43"/>
      <c r="T43" s="25">
        <f t="shared" si="71"/>
        <v>7.7576972741088018E-2</v>
      </c>
      <c r="U43"/>
      <c r="V43" s="25">
        <f t="shared" si="71"/>
        <v>0.13564709373837999</v>
      </c>
      <c r="W43"/>
      <c r="X43" s="25">
        <f t="shared" si="71"/>
        <v>9.3548223241793592E-3</v>
      </c>
      <c r="Y43"/>
      <c r="Z43" s="25">
        <f t="shared" ref="Z43" si="93">Z28/Z$32</f>
        <v>0.14622883349907587</v>
      </c>
      <c r="AA43"/>
      <c r="AB43" s="25">
        <f t="shared" si="71"/>
        <v>0.16520552722739631</v>
      </c>
      <c r="AC43"/>
      <c r="AD43" s="25">
        <f t="shared" si="71"/>
        <v>2.903894671572376E-3</v>
      </c>
      <c r="AE43"/>
      <c r="AF43" s="27"/>
      <c r="AG43" s="27"/>
      <c r="AH43" s="27"/>
      <c r="AI43" s="27"/>
      <c r="AJ43" s="10"/>
      <c r="AK43" s="32">
        <f t="shared" si="73"/>
        <v>1.4102530310326673E-2</v>
      </c>
    </row>
    <row r="44" spans="1:37" s="11" customFormat="1" ht="15.95" customHeight="1" x14ac:dyDescent="0.2">
      <c r="A44" s="7" t="s">
        <v>8</v>
      </c>
      <c r="B44" s="25">
        <f t="shared" ref="B44" si="94">B29/B$32</f>
        <v>8.3508750028481941E-4</v>
      </c>
      <c r="C44"/>
      <c r="D44" s="25">
        <f t="shared" si="74"/>
        <v>1.2991045904118072E-5</v>
      </c>
      <c r="E44"/>
      <c r="F44" s="25">
        <f t="shared" si="74"/>
        <v>1.4017015700654606E-4</v>
      </c>
      <c r="G44"/>
      <c r="H44" s="25">
        <f t="shared" si="75"/>
        <v>5.2257739526336352E-5</v>
      </c>
      <c r="I44"/>
      <c r="J44" s="25">
        <f t="shared" si="75"/>
        <v>3.2174193312977781E-5</v>
      </c>
      <c r="K44"/>
      <c r="L44" s="25">
        <f t="shared" si="75"/>
        <v>0</v>
      </c>
      <c r="M44"/>
      <c r="N44" s="25">
        <f t="shared" si="75"/>
        <v>1.4625602878689197E-4</v>
      </c>
      <c r="O44"/>
      <c r="P44" s="49"/>
      <c r="Q44" s="7" t="s">
        <v>8</v>
      </c>
      <c r="R44" s="25">
        <f t="shared" ref="R44" si="95">R29/R$32</f>
        <v>4.1094590471414481E-3</v>
      </c>
      <c r="S44"/>
      <c r="T44" s="25">
        <f t="shared" si="71"/>
        <v>2.0510263221384831E-3</v>
      </c>
      <c r="U44"/>
      <c r="V44" s="25">
        <f t="shared" si="71"/>
        <v>3.9003072895634244E-3</v>
      </c>
      <c r="W44"/>
      <c r="X44" s="25">
        <f t="shared" si="71"/>
        <v>5.9248886958206267E-4</v>
      </c>
      <c r="Y44"/>
      <c r="Z44" s="25">
        <f t="shared" ref="Z44" si="96">Z29/Z$32</f>
        <v>4.758965794331633E-3</v>
      </c>
      <c r="AA44"/>
      <c r="AB44" s="25">
        <f t="shared" si="71"/>
        <v>3.5259691371721082E-3</v>
      </c>
      <c r="AC44"/>
      <c r="AD44" s="25">
        <f t="shared" si="71"/>
        <v>6.5098602215015423E-5</v>
      </c>
      <c r="AE44"/>
      <c r="AF44" s="27"/>
      <c r="AG44" s="27"/>
      <c r="AH44" s="27"/>
      <c r="AI44" s="27"/>
      <c r="AJ44" s="10"/>
      <c r="AK44" s="32">
        <f t="shared" si="73"/>
        <v>3.8192579941583229E-3</v>
      </c>
    </row>
    <row r="45" spans="1:37" s="11" customFormat="1" ht="15.95" customHeight="1" x14ac:dyDescent="0.2">
      <c r="A45" s="7" t="s">
        <v>9</v>
      </c>
      <c r="B45" s="19" t="s">
        <v>72</v>
      </c>
      <c r="C45"/>
      <c r="D45" s="25">
        <f t="shared" si="74"/>
        <v>3.419131245354585E-5</v>
      </c>
      <c r="E45"/>
      <c r="F45" s="25">
        <f t="shared" si="74"/>
        <v>1.0247660132486076E-3</v>
      </c>
      <c r="G45"/>
      <c r="H45" s="25">
        <f t="shared" si="75"/>
        <v>8.2522718191362315E-4</v>
      </c>
      <c r="I45"/>
      <c r="J45" s="25">
        <f t="shared" si="75"/>
        <v>2.3992582248071799E-4</v>
      </c>
      <c r="K45"/>
      <c r="L45" s="25">
        <f t="shared" si="75"/>
        <v>5.2312321047914704E-4</v>
      </c>
      <c r="M45"/>
      <c r="N45" s="25">
        <f t="shared" si="75"/>
        <v>9.6233313610304388E-4</v>
      </c>
      <c r="O45"/>
      <c r="P45" s="49"/>
      <c r="Q45" s="7" t="s">
        <v>9</v>
      </c>
      <c r="R45" s="25">
        <f t="shared" ref="R45" si="97">R30/R$32</f>
        <v>8.8035107727659932E-4</v>
      </c>
      <c r="S45"/>
      <c r="T45" s="25">
        <f t="shared" si="71"/>
        <v>5.2481764965682379E-4</v>
      </c>
      <c r="U45"/>
      <c r="V45" s="25">
        <f t="shared" si="71"/>
        <v>1.093840503572063E-3</v>
      </c>
      <c r="W45"/>
      <c r="X45" s="25">
        <f t="shared" si="71"/>
        <v>2.2276851538078948E-4</v>
      </c>
      <c r="Y45"/>
      <c r="Z45" s="25">
        <f t="shared" ref="Z45" si="98">Z30/Z$32</f>
        <v>1.2756544664335491E-3</v>
      </c>
      <c r="AA45"/>
      <c r="AB45" s="25">
        <f t="shared" si="71"/>
        <v>1.0419102902138092E-3</v>
      </c>
      <c r="AC45"/>
      <c r="AD45" s="25">
        <f t="shared" si="71"/>
        <v>1.1930041161160208E-5</v>
      </c>
      <c r="AE45"/>
      <c r="AF45" s="27"/>
      <c r="AG45" s="27"/>
      <c r="AH45" s="27"/>
      <c r="AI45" s="27"/>
      <c r="AJ45" s="10"/>
      <c r="AK45" s="32">
        <f t="shared" si="73"/>
        <v>0</v>
      </c>
    </row>
    <row r="46" spans="1:37" s="11" customFormat="1" ht="15.95" customHeight="1" x14ac:dyDescent="0.2">
      <c r="A46" s="7" t="s">
        <v>10</v>
      </c>
      <c r="B46" s="19" t="s">
        <v>72</v>
      </c>
      <c r="C46"/>
      <c r="D46" s="25">
        <f t="shared" si="74"/>
        <v>1.1209292875451024E-4</v>
      </c>
      <c r="E46"/>
      <c r="F46" s="25">
        <f t="shared" si="74"/>
        <v>1.1945233046532796E-4</v>
      </c>
      <c r="G46"/>
      <c r="H46" s="25">
        <f t="shared" si="75"/>
        <v>8.3500862067141152E-5</v>
      </c>
      <c r="I46"/>
      <c r="J46" s="25">
        <f t="shared" si="75"/>
        <v>2.1249486352652958E-4</v>
      </c>
      <c r="K46"/>
      <c r="L46" s="25">
        <f t="shared" si="75"/>
        <v>2.3634923305071428E-5</v>
      </c>
      <c r="M46"/>
      <c r="N46" s="25">
        <f t="shared" si="75"/>
        <v>3.115967024703866E-5</v>
      </c>
      <c r="O46"/>
      <c r="P46" s="49"/>
      <c r="Q46" s="7" t="s">
        <v>10</v>
      </c>
      <c r="R46" s="25">
        <f t="shared" ref="R46" si="99">R31/R$32</f>
        <v>2.4432984712235685E-4</v>
      </c>
      <c r="S46"/>
      <c r="T46" s="25">
        <f t="shared" si="71"/>
        <v>2.6218120810166329E-4</v>
      </c>
      <c r="U46"/>
      <c r="V46" s="25">
        <f t="shared" si="71"/>
        <v>2.0433338268137271E-4</v>
      </c>
      <c r="W46"/>
      <c r="X46" s="25">
        <f t="shared" si="71"/>
        <v>2.7049079550547506E-5</v>
      </c>
      <c r="Y46"/>
      <c r="Z46" s="25">
        <f t="shared" ref="Z46" si="100">Z31/Z$32</f>
        <v>4.151816690649614E-4</v>
      </c>
      <c r="AA46"/>
      <c r="AB46" s="25">
        <f t="shared" si="71"/>
        <v>5.8781256350134612E-4</v>
      </c>
      <c r="AC46"/>
      <c r="AD46" s="25">
        <f t="shared" si="71"/>
        <v>1.9154130985461759E-4</v>
      </c>
      <c r="AE46"/>
      <c r="AF46" s="27"/>
      <c r="AG46" s="27"/>
      <c r="AH46" s="27"/>
      <c r="AI46" s="27"/>
      <c r="AJ46" s="10"/>
      <c r="AK46" s="32">
        <f t="shared" si="73"/>
        <v>0</v>
      </c>
    </row>
    <row r="47" spans="1:37" s="11" customFormat="1" ht="15.95" customHeight="1" thickBot="1" x14ac:dyDescent="0.25">
      <c r="A47" s="12" t="s">
        <v>26</v>
      </c>
      <c r="B47" s="33">
        <f t="shared" ref="B47" si="101">B32/B$32</f>
        <v>1</v>
      </c>
      <c r="C47" s="48"/>
      <c r="D47" s="33">
        <f t="shared" si="74"/>
        <v>1</v>
      </c>
      <c r="E47" s="48"/>
      <c r="F47" s="33">
        <f t="shared" si="74"/>
        <v>1</v>
      </c>
      <c r="G47" s="48"/>
      <c r="H47" s="33">
        <f t="shared" si="75"/>
        <v>1</v>
      </c>
      <c r="I47" s="48"/>
      <c r="J47" s="33">
        <f t="shared" si="75"/>
        <v>1</v>
      </c>
      <c r="K47" s="48"/>
      <c r="L47" s="33">
        <f t="shared" si="75"/>
        <v>1</v>
      </c>
      <c r="M47" s="48"/>
      <c r="N47" s="33">
        <f t="shared" si="75"/>
        <v>1</v>
      </c>
      <c r="O47" s="48"/>
      <c r="P47" s="49"/>
      <c r="Q47" s="12" t="s">
        <v>26</v>
      </c>
      <c r="R47" s="33">
        <f t="shared" ref="R47" si="102">R32/R$32</f>
        <v>1</v>
      </c>
      <c r="S47" s="48"/>
      <c r="T47" s="33">
        <f t="shared" si="71"/>
        <v>1</v>
      </c>
      <c r="U47" s="48"/>
      <c r="V47" s="33">
        <f t="shared" si="71"/>
        <v>1</v>
      </c>
      <c r="W47" s="48"/>
      <c r="X47" s="33">
        <f t="shared" si="71"/>
        <v>1</v>
      </c>
      <c r="Y47" s="48"/>
      <c r="Z47" s="33">
        <f t="shared" ref="Z47" si="103">Z32/Z$32</f>
        <v>1</v>
      </c>
      <c r="AA47" s="48"/>
      <c r="AB47" s="33">
        <f t="shared" si="71"/>
        <v>1</v>
      </c>
      <c r="AC47" s="48"/>
      <c r="AD47" s="33">
        <f t="shared" si="71"/>
        <v>1</v>
      </c>
      <c r="AE47" s="48"/>
      <c r="AF47" s="27"/>
      <c r="AG47" s="27"/>
      <c r="AH47" s="27"/>
      <c r="AI47" s="27"/>
      <c r="AJ47" s="10"/>
      <c r="AK47" s="32">
        <f t="shared" si="73"/>
        <v>1</v>
      </c>
    </row>
    <row r="48" spans="1:37" s="11" customFormat="1" ht="15.95" customHeight="1" x14ac:dyDescent="0.2">
      <c r="B48" s="26"/>
      <c r="C48" s="50"/>
      <c r="D48" s="26"/>
      <c r="E48" s="50"/>
      <c r="F48" s="10"/>
      <c r="G48" s="56"/>
      <c r="H48" s="10"/>
      <c r="I48" s="56"/>
      <c r="J48" s="10"/>
      <c r="K48" s="56"/>
      <c r="L48" s="10"/>
      <c r="M48" s="56"/>
      <c r="N48" s="10"/>
      <c r="O48" s="56"/>
      <c r="P48" s="61"/>
      <c r="R48" s="10"/>
      <c r="S48" s="56"/>
      <c r="T48" s="10"/>
      <c r="U48" s="56"/>
      <c r="V48" s="10"/>
      <c r="W48" s="56"/>
      <c r="X48" s="10"/>
      <c r="Y48" s="56"/>
      <c r="Z48" s="10"/>
      <c r="AA48" s="56"/>
      <c r="AB48" s="10"/>
      <c r="AC48" s="56"/>
      <c r="AD48" s="10"/>
      <c r="AE48" s="56"/>
      <c r="AF48" s="10"/>
      <c r="AG48" s="10"/>
      <c r="AH48" s="10"/>
      <c r="AI48" s="10"/>
      <c r="AJ48" s="10"/>
      <c r="AK48" s="10"/>
    </row>
    <row r="49" spans="1:37" s="11" customFormat="1" ht="15.95" customHeight="1" x14ac:dyDescent="0.2">
      <c r="B49" s="26"/>
      <c r="C49" s="50"/>
      <c r="D49" s="26"/>
      <c r="E49" s="50"/>
      <c r="F49" s="10"/>
      <c r="G49" s="56"/>
      <c r="H49" s="10"/>
      <c r="I49" s="56"/>
      <c r="J49" s="10"/>
      <c r="K49" s="56"/>
      <c r="L49" s="10"/>
      <c r="M49" s="56"/>
      <c r="N49" s="10"/>
      <c r="O49" s="56"/>
      <c r="P49" s="61"/>
      <c r="R49" s="10"/>
      <c r="S49" s="56"/>
      <c r="T49" s="10"/>
      <c r="U49" s="56"/>
      <c r="V49" s="10"/>
      <c r="W49" s="56"/>
      <c r="X49" s="10"/>
      <c r="Y49" s="56"/>
      <c r="Z49" s="10"/>
      <c r="AA49" s="56"/>
      <c r="AB49" s="10"/>
      <c r="AC49" s="56"/>
      <c r="AD49" s="10"/>
      <c r="AE49" s="56"/>
      <c r="AF49" s="21"/>
      <c r="AG49" s="21"/>
      <c r="AH49" s="21"/>
      <c r="AI49" s="21"/>
      <c r="AJ49" s="10"/>
      <c r="AK49" s="10"/>
    </row>
    <row r="50" spans="1:37" s="11" customFormat="1" ht="15.95" customHeight="1" x14ac:dyDescent="0.2">
      <c r="A50" s="28" t="s">
        <v>27</v>
      </c>
      <c r="B50" s="29"/>
      <c r="C50" s="51"/>
      <c r="D50" s="29"/>
      <c r="E50" s="51"/>
      <c r="F50" s="30"/>
      <c r="G50" s="57"/>
      <c r="H50" s="30"/>
      <c r="I50" s="57"/>
      <c r="J50" s="30"/>
      <c r="K50" s="57"/>
      <c r="L50" s="30"/>
      <c r="M50" s="57"/>
      <c r="N50" s="30"/>
      <c r="O50" s="57"/>
      <c r="P50" s="61"/>
      <c r="Q50" s="28" t="s">
        <v>27</v>
      </c>
      <c r="R50" s="30"/>
      <c r="S50" s="57"/>
      <c r="T50" s="30"/>
      <c r="U50" s="57"/>
      <c r="V50" s="30"/>
      <c r="W50" s="57"/>
      <c r="X50" s="30"/>
      <c r="Y50" s="57"/>
      <c r="Z50" s="30"/>
      <c r="AA50" s="57"/>
      <c r="AB50" s="30"/>
      <c r="AC50" s="57"/>
      <c r="AD50" s="30"/>
      <c r="AE50" s="57"/>
      <c r="AF50" s="35"/>
      <c r="AG50" s="35"/>
      <c r="AH50" s="35"/>
      <c r="AI50" s="35"/>
      <c r="AJ50" s="10"/>
      <c r="AK50" s="10"/>
    </row>
    <row r="51" spans="1:37" s="11" customFormat="1" ht="15.95" customHeight="1" x14ac:dyDescent="0.2">
      <c r="A51" s="7" t="s">
        <v>15</v>
      </c>
      <c r="B51" s="8">
        <f t="shared" ref="B51" si="104">B21*2</f>
        <v>1.7452120259521651</v>
      </c>
      <c r="C51"/>
      <c r="D51" s="8">
        <f t="shared" ref="D51:H52" si="105">D21*2</f>
        <v>1.8594871953622869</v>
      </c>
      <c r="E51"/>
      <c r="F51" s="8">
        <f t="shared" si="105"/>
        <v>1.4297985122021113</v>
      </c>
      <c r="G51"/>
      <c r="H51" s="8">
        <f t="shared" si="105"/>
        <v>1.5385859788207885</v>
      </c>
      <c r="I51"/>
      <c r="J51" s="8">
        <f t="shared" ref="J51:N52" si="106">J21*2</f>
        <v>1.7991777897720191</v>
      </c>
      <c r="K51"/>
      <c r="L51" s="8">
        <f t="shared" si="106"/>
        <v>1.4403075407772303</v>
      </c>
      <c r="M51"/>
      <c r="N51" s="8">
        <f t="shared" si="106"/>
        <v>3.239277289825194</v>
      </c>
      <c r="O51"/>
      <c r="P51" s="47"/>
      <c r="Q51" s="7" t="s">
        <v>15</v>
      </c>
      <c r="R51" s="8">
        <f t="shared" ref="R51" si="107">R21*2</f>
        <v>1.6526755118925232</v>
      </c>
      <c r="S51"/>
      <c r="T51" s="8">
        <f t="shared" ref="T51:AD52" si="108">T21*2</f>
        <v>1.6841312693696315</v>
      </c>
      <c r="U51"/>
      <c r="V51" s="8">
        <f t="shared" si="108"/>
        <v>1.6635491070697952</v>
      </c>
      <c r="W51"/>
      <c r="X51" s="8">
        <f t="shared" si="108"/>
        <v>0.10840308661423263</v>
      </c>
      <c r="Y51"/>
      <c r="Z51" s="8">
        <f t="shared" ref="Z51" si="109">Z21*2</f>
        <v>1.7555424961458375</v>
      </c>
      <c r="AA51"/>
      <c r="AB51" s="8">
        <f t="shared" si="108"/>
        <v>1.685116550238756</v>
      </c>
      <c r="AC51"/>
      <c r="AD51" s="8">
        <f t="shared" si="108"/>
        <v>1.3567692041144133</v>
      </c>
      <c r="AE51"/>
      <c r="AF51" s="27"/>
      <c r="AG51" s="27"/>
      <c r="AH51" s="27"/>
      <c r="AI51" s="27"/>
      <c r="AJ51" s="10"/>
      <c r="AK51" s="9">
        <f>AK21*2</f>
        <v>1.8540589327777148</v>
      </c>
    </row>
    <row r="52" spans="1:37" s="11" customFormat="1" ht="15.95" customHeight="1" x14ac:dyDescent="0.2">
      <c r="A52" s="7" t="s">
        <v>16</v>
      </c>
      <c r="B52" s="19" t="s">
        <v>72</v>
      </c>
      <c r="C52"/>
      <c r="D52" s="8">
        <f t="shared" si="105"/>
        <v>5.0083890516615327E-4</v>
      </c>
      <c r="E52"/>
      <c r="F52" s="8">
        <f t="shared" si="105"/>
        <v>1.0732262253560438E-3</v>
      </c>
      <c r="G52"/>
      <c r="H52" s="8">
        <f t="shared" si="105"/>
        <v>6.2604863145769162E-4</v>
      </c>
      <c r="I52"/>
      <c r="J52" s="8">
        <f t="shared" si="106"/>
        <v>1.8781458943730752E-4</v>
      </c>
      <c r="K52"/>
      <c r="L52" s="8">
        <f t="shared" si="106"/>
        <v>1.2938338383458961E-3</v>
      </c>
      <c r="M52"/>
      <c r="N52" s="8">
        <f t="shared" si="106"/>
        <v>5.0083890516615327E-4</v>
      </c>
      <c r="O52"/>
      <c r="P52" s="47"/>
      <c r="Q52" s="7" t="s">
        <v>16</v>
      </c>
      <c r="R52" s="8">
        <f t="shared" ref="R52" si="110">R22*2</f>
        <v>9.01510029299076E-3</v>
      </c>
      <c r="S52"/>
      <c r="T52" s="8">
        <f t="shared" si="108"/>
        <v>8.8272857035534523E-3</v>
      </c>
      <c r="U52"/>
      <c r="V52" s="8">
        <f t="shared" si="108"/>
        <v>9.3489928964348625E-3</v>
      </c>
      <c r="W52"/>
      <c r="X52" s="8">
        <f t="shared" si="108"/>
        <v>5.4257548059666611E-3</v>
      </c>
      <c r="Y52"/>
      <c r="Z52" s="8">
        <f t="shared" ref="Z52" si="111">Z22*2</f>
        <v>1.2836225678010666E-2</v>
      </c>
      <c r="AA52"/>
      <c r="AB52" s="8">
        <f t="shared" si="108"/>
        <v>1.2796834698119351E-2</v>
      </c>
      <c r="AC52"/>
      <c r="AD52" s="8">
        <f t="shared" si="108"/>
        <v>6.6038113840683149E-4</v>
      </c>
      <c r="AE52"/>
      <c r="AF52" s="27"/>
      <c r="AG52" s="27"/>
      <c r="AH52" s="27"/>
      <c r="AI52" s="27"/>
      <c r="AJ52" s="10"/>
      <c r="AK52" s="9">
        <f>AK22*2</f>
        <v>7.5125835774922996E-4</v>
      </c>
    </row>
    <row r="53" spans="1:37" s="11" customFormat="1" ht="15.95" customHeight="1" x14ac:dyDescent="0.2">
      <c r="A53" s="7" t="s">
        <v>17</v>
      </c>
      <c r="B53" s="8">
        <f t="shared" ref="B53" si="112">B23*3</f>
        <v>1.6476828430218231E-2</v>
      </c>
      <c r="C53"/>
      <c r="D53" s="8">
        <f t="shared" ref="D53:H54" si="113">D23*3</f>
        <v>1.1180705006219512E-2</v>
      </c>
      <c r="E53"/>
      <c r="F53" s="8">
        <f t="shared" si="113"/>
        <v>2.1857017305391531E-2</v>
      </c>
      <c r="G53"/>
      <c r="H53" s="8">
        <f t="shared" si="113"/>
        <v>1.7727302016440148E-2</v>
      </c>
      <c r="I53"/>
      <c r="J53" s="8">
        <f t="shared" ref="J53:N54" si="114">J23*3</f>
        <v>2.2434967282216785E-3</v>
      </c>
      <c r="K53"/>
      <c r="L53" s="8">
        <f t="shared" si="114"/>
        <v>1.5250873933922229E-2</v>
      </c>
      <c r="M53"/>
      <c r="N53" s="8">
        <f t="shared" si="114"/>
        <v>8.2384142151091157E-3</v>
      </c>
      <c r="O53"/>
      <c r="P53" s="47"/>
      <c r="Q53" s="7" t="s">
        <v>17</v>
      </c>
      <c r="R53" s="8">
        <f t="shared" ref="R53" si="115">R23*3</f>
        <v>0.30805784582925871</v>
      </c>
      <c r="S53"/>
      <c r="T53" s="8">
        <f t="shared" ref="T53:AD54" si="116">T23*3</f>
        <v>0.28245991594659825</v>
      </c>
      <c r="U53"/>
      <c r="V53" s="8">
        <f t="shared" si="116"/>
        <v>0.30678285315311077</v>
      </c>
      <c r="W53"/>
      <c r="X53" s="8">
        <f t="shared" si="116"/>
        <v>0.29197332283785515</v>
      </c>
      <c r="Y53"/>
      <c r="Z53" s="8">
        <f t="shared" ref="Z53" si="117">Z23*3</f>
        <v>0.40693205671912802</v>
      </c>
      <c r="AA53"/>
      <c r="AB53" s="8">
        <f t="shared" si="116"/>
        <v>0.35822684610848204</v>
      </c>
      <c r="AC53"/>
      <c r="AD53" s="8">
        <f t="shared" si="116"/>
        <v>7.0439250669150476E-3</v>
      </c>
      <c r="AE53"/>
      <c r="AF53" s="27"/>
      <c r="AG53" s="27"/>
      <c r="AH53" s="27"/>
      <c r="AI53" s="27"/>
      <c r="AJ53" s="10"/>
      <c r="AK53" s="9">
        <f>AK23*3</f>
        <v>5.5315066872875476E-2</v>
      </c>
    </row>
    <row r="54" spans="1:37" s="11" customFormat="1" ht="15.95" customHeight="1" x14ac:dyDescent="0.2">
      <c r="A54" s="7" t="s">
        <v>18</v>
      </c>
      <c r="B54" s="19" t="s">
        <v>72</v>
      </c>
      <c r="C54"/>
      <c r="D54" s="8">
        <f t="shared" si="113"/>
        <v>2.2774717755453381E-4</v>
      </c>
      <c r="E54"/>
      <c r="F54" s="8">
        <f t="shared" si="113"/>
        <v>2.8197269601989928E-4</v>
      </c>
      <c r="G54"/>
      <c r="H54" s="8">
        <f t="shared" si="113"/>
        <v>9.8690443606964657E-5</v>
      </c>
      <c r="I54"/>
      <c r="J54" s="8">
        <f t="shared" si="114"/>
        <v>9.8690443606964657E-5</v>
      </c>
      <c r="K54"/>
      <c r="L54" s="8">
        <f t="shared" si="114"/>
        <v>1.0526980651409563E-3</v>
      </c>
      <c r="M54"/>
      <c r="N54" s="8">
        <f t="shared" si="114"/>
        <v>9.8690443606964657E-5</v>
      </c>
      <c r="O54"/>
      <c r="P54" s="47"/>
      <c r="Q54" s="7" t="s">
        <v>18</v>
      </c>
      <c r="R54" s="8">
        <f t="shared" ref="R54" si="118">R24*3</f>
        <v>3.3554750826367986E-3</v>
      </c>
      <c r="S54"/>
      <c r="T54" s="8">
        <f t="shared" si="116"/>
        <v>3.5035107480472449E-3</v>
      </c>
      <c r="U54"/>
      <c r="V54" s="8">
        <f t="shared" si="116"/>
        <v>2.5659515337810813E-3</v>
      </c>
      <c r="W54"/>
      <c r="X54" s="8">
        <f t="shared" si="116"/>
        <v>0.39515653620228641</v>
      </c>
      <c r="Y54"/>
      <c r="Z54" s="8">
        <f t="shared" ref="Z54" si="119">Z24*3</f>
        <v>3.6433353685495925E-3</v>
      </c>
      <c r="AA54"/>
      <c r="AB54" s="8">
        <f t="shared" si="116"/>
        <v>4.8325157378360743E-3</v>
      </c>
      <c r="AC54"/>
      <c r="AD54" s="8">
        <f t="shared" si="116"/>
        <v>5.0887013258732131E-3</v>
      </c>
      <c r="AE54"/>
      <c r="AF54" s="27"/>
      <c r="AG54" s="27"/>
      <c r="AH54" s="27"/>
      <c r="AI54" s="27"/>
      <c r="AJ54" s="10"/>
      <c r="AK54" s="9">
        <f>AK24*3</f>
        <v>0</v>
      </c>
    </row>
    <row r="55" spans="1:37" s="11" customFormat="1" ht="15.95" customHeight="1" x14ac:dyDescent="0.2">
      <c r="A55" s="7" t="s">
        <v>19</v>
      </c>
      <c r="B55" s="8">
        <f t="shared" ref="B55" si="120">B25</f>
        <v>0.33948271686389792</v>
      </c>
      <c r="C55"/>
      <c r="D55" s="8">
        <f t="shared" ref="D55:H58" si="121">D25</f>
        <v>0.19329111828756895</v>
      </c>
      <c r="E55"/>
      <c r="F55" s="8">
        <f t="shared" si="121"/>
        <v>0.68103338912836042</v>
      </c>
      <c r="G55"/>
      <c r="H55" s="8">
        <f t="shared" si="121"/>
        <v>0.57589575277752258</v>
      </c>
      <c r="I55"/>
      <c r="J55" s="8">
        <f t="shared" ref="J55:N58" si="122">J25</f>
        <v>0.20081537095341889</v>
      </c>
      <c r="K55"/>
      <c r="L55" s="8">
        <f t="shared" si="122"/>
        <v>0.68789674751709462</v>
      </c>
      <c r="M55"/>
      <c r="N55" s="8">
        <f t="shared" si="122"/>
        <v>2.3801371293040812E-2</v>
      </c>
      <c r="O55"/>
      <c r="P55" s="47"/>
      <c r="Q55" s="7" t="s">
        <v>19</v>
      </c>
      <c r="R55" s="8">
        <f t="shared" ref="R55" si="123">R25</f>
        <v>0.15199472194152377</v>
      </c>
      <c r="S55"/>
      <c r="T55" s="8">
        <f t="shared" ref="T55:AD58" si="124">T25</f>
        <v>0.12767139075170575</v>
      </c>
      <c r="U55"/>
      <c r="V55" s="8">
        <f t="shared" si="124"/>
        <v>0.1592789622787702</v>
      </c>
      <c r="W55"/>
      <c r="X55" s="8">
        <f t="shared" si="124"/>
        <v>0.64718387556847234</v>
      </c>
      <c r="Y55"/>
      <c r="Z55" s="8">
        <f t="shared" ref="Z55" si="125">Z25</f>
        <v>0.15619058356508353</v>
      </c>
      <c r="AA55"/>
      <c r="AB55" s="8">
        <f t="shared" si="124"/>
        <v>0.17686367521010626</v>
      </c>
      <c r="AC55"/>
      <c r="AD55" s="8">
        <f t="shared" si="124"/>
        <v>0.13918986256447943</v>
      </c>
      <c r="AE55"/>
      <c r="AF55" s="27"/>
      <c r="AG55" s="27"/>
      <c r="AH55" s="27"/>
      <c r="AI55" s="27"/>
      <c r="AJ55" s="10"/>
      <c r="AK55" s="9">
        <f>AK25</f>
        <v>0.19235962062562809</v>
      </c>
    </row>
    <row r="56" spans="1:37" s="11" customFormat="1" ht="15.95" customHeight="1" x14ac:dyDescent="0.2">
      <c r="A56" s="7" t="s">
        <v>20</v>
      </c>
      <c r="B56" s="19" t="s">
        <v>72</v>
      </c>
      <c r="C56"/>
      <c r="D56" s="8">
        <f t="shared" si="121"/>
        <v>5.421892413085222E-5</v>
      </c>
      <c r="E56"/>
      <c r="F56" s="8">
        <f t="shared" si="121"/>
        <v>8.0553830137266083E-5</v>
      </c>
      <c r="G56"/>
      <c r="H56" s="8">
        <f t="shared" si="121"/>
        <v>3.5242300685053942E-5</v>
      </c>
      <c r="I56"/>
      <c r="J56" s="8">
        <f t="shared" si="122"/>
        <v>7.0484601370107884E-5</v>
      </c>
      <c r="K56"/>
      <c r="L56" s="8">
        <f t="shared" si="122"/>
        <v>2.3494867123369296E-5</v>
      </c>
      <c r="M56"/>
      <c r="N56" s="8">
        <f t="shared" si="122"/>
        <v>7.0484601370107884E-5</v>
      </c>
      <c r="O56"/>
      <c r="P56" s="47"/>
      <c r="Q56" s="7" t="s">
        <v>20</v>
      </c>
      <c r="R56" s="8">
        <f t="shared" ref="R56" si="126">R26</f>
        <v>1.5506612301423733E-3</v>
      </c>
      <c r="S56"/>
      <c r="T56" s="8">
        <f t="shared" si="124"/>
        <v>1.9030842369929129E-3</v>
      </c>
      <c r="U56"/>
      <c r="V56" s="8">
        <f t="shared" si="124"/>
        <v>1.6916304328825891E-3</v>
      </c>
      <c r="W56"/>
      <c r="X56" s="8">
        <f t="shared" si="124"/>
        <v>2.9133635232977922E-3</v>
      </c>
      <c r="Y56"/>
      <c r="Z56" s="8">
        <f t="shared" ref="Z56" si="127">Z26</f>
        <v>1.5285784045331186E-3</v>
      </c>
      <c r="AA56"/>
      <c r="AB56" s="8">
        <f t="shared" si="124"/>
        <v>2.2564658344220857E-3</v>
      </c>
      <c r="AC56"/>
      <c r="AD56" s="8">
        <f t="shared" si="124"/>
        <v>1.7080145784710706E-3</v>
      </c>
      <c r="AE56"/>
      <c r="AF56" s="27"/>
      <c r="AG56" s="27"/>
      <c r="AH56" s="27"/>
      <c r="AI56" s="27"/>
      <c r="AJ56" s="10"/>
      <c r="AK56" s="9">
        <f>AK26</f>
        <v>0</v>
      </c>
    </row>
    <row r="57" spans="1:37" s="11" customFormat="1" ht="15.95" customHeight="1" x14ac:dyDescent="0.2">
      <c r="A57" s="7" t="s">
        <v>21</v>
      </c>
      <c r="B57" s="8">
        <f t="shared" ref="B57" si="128">B27</f>
        <v>0.5192981411458798</v>
      </c>
      <c r="C57"/>
      <c r="D57" s="8">
        <f t="shared" si="121"/>
        <v>0.78325099836398848</v>
      </c>
      <c r="E57"/>
      <c r="F57" s="8">
        <f t="shared" si="121"/>
        <v>7.3831003208441007E-2</v>
      </c>
      <c r="G57"/>
      <c r="H57" s="8">
        <f t="shared" si="121"/>
        <v>0.19073599904725042</v>
      </c>
      <c r="I57"/>
      <c r="J57" s="8">
        <f t="shared" si="122"/>
        <v>0.77826490407995164</v>
      </c>
      <c r="K57"/>
      <c r="L57" s="8">
        <f t="shared" si="122"/>
        <v>3.9408435141903453E-2</v>
      </c>
      <c r="M57"/>
      <c r="N57" s="8">
        <f t="shared" si="122"/>
        <v>6.3268526513234283E-3</v>
      </c>
      <c r="O57"/>
      <c r="P57" s="47"/>
      <c r="Q57" s="7" t="s">
        <v>21</v>
      </c>
      <c r="R57" s="8">
        <f t="shared" ref="R57" si="129">R27</f>
        <v>0.42253451236093331</v>
      </c>
      <c r="S57"/>
      <c r="T57" s="8">
        <f t="shared" si="124"/>
        <v>0.55626680957910302</v>
      </c>
      <c r="U57"/>
      <c r="V57" s="8">
        <f t="shared" si="124"/>
        <v>0.34479279350807024</v>
      </c>
      <c r="W57"/>
      <c r="X57" s="8">
        <f t="shared" si="124"/>
        <v>0.32180109367711712</v>
      </c>
      <c r="Y57"/>
      <c r="Z57" s="8">
        <f t="shared" ref="Z57" si="130">Z27</f>
        <v>0.15487539821954924</v>
      </c>
      <c r="AA57"/>
      <c r="AB57" s="8">
        <f t="shared" si="124"/>
        <v>0.2122135548476097</v>
      </c>
      <c r="AC57"/>
      <c r="AD57" s="8">
        <f t="shared" si="124"/>
        <v>1.188159977570687</v>
      </c>
      <c r="AE57"/>
      <c r="AF57" s="27"/>
      <c r="AG57" s="27"/>
      <c r="AH57" s="27"/>
      <c r="AI57" s="27"/>
      <c r="AJ57" s="10"/>
      <c r="AK57" s="9">
        <f>AK27</f>
        <v>0.68726987624179992</v>
      </c>
    </row>
    <row r="58" spans="1:37" s="11" customFormat="1" ht="15.95" customHeight="1" x14ac:dyDescent="0.2">
      <c r="A58" s="7" t="s">
        <v>22</v>
      </c>
      <c r="B58" s="8">
        <f t="shared" ref="B58" si="131">B28</f>
        <v>5.3497105806575855E-4</v>
      </c>
      <c r="C58"/>
      <c r="D58" s="8">
        <f t="shared" si="121"/>
        <v>2.7434413234141467E-5</v>
      </c>
      <c r="E58"/>
      <c r="F58" s="8">
        <f t="shared" si="121"/>
        <v>2.8022293517730192E-4</v>
      </c>
      <c r="G58"/>
      <c r="H58" s="8">
        <f t="shared" si="121"/>
        <v>4.4580921505479884E-5</v>
      </c>
      <c r="I58"/>
      <c r="J58" s="8">
        <f t="shared" si="122"/>
        <v>0</v>
      </c>
      <c r="K58"/>
      <c r="L58" s="8">
        <f t="shared" si="122"/>
        <v>2.9720614336986593E-5</v>
      </c>
      <c r="M58"/>
      <c r="N58" s="8">
        <f t="shared" si="122"/>
        <v>0</v>
      </c>
      <c r="O58"/>
      <c r="P58" s="47"/>
      <c r="Q58" s="7" t="s">
        <v>22</v>
      </c>
      <c r="R58" s="8">
        <f t="shared" ref="R58" si="132">R28</f>
        <v>0.1686942069767359</v>
      </c>
      <c r="S58"/>
      <c r="T58" s="8">
        <f t="shared" si="124"/>
        <v>0.13730923823687807</v>
      </c>
      <c r="U58"/>
      <c r="V58" s="8">
        <f t="shared" si="124"/>
        <v>0.22819487687938303</v>
      </c>
      <c r="W58"/>
      <c r="X58" s="8">
        <f t="shared" si="124"/>
        <v>1.1888245734794635E-2</v>
      </c>
      <c r="Y58"/>
      <c r="Z58" s="8">
        <f t="shared" ref="Z58" si="133">Z28</f>
        <v>0.23015703183791089</v>
      </c>
      <c r="AA58"/>
      <c r="AB58" s="8">
        <f t="shared" si="124"/>
        <v>0.27107696806936077</v>
      </c>
      <c r="AC58"/>
      <c r="AD58" s="8">
        <f t="shared" si="124"/>
        <v>5.8606971029533973E-3</v>
      </c>
      <c r="AE58"/>
      <c r="AF58" s="27"/>
      <c r="AG58" s="27"/>
      <c r="AH58" s="27"/>
      <c r="AI58" s="27"/>
      <c r="AJ58" s="10"/>
      <c r="AK58" s="9">
        <f>AK28</f>
        <v>2.621358184522217E-2</v>
      </c>
    </row>
    <row r="59" spans="1:37" s="11" customFormat="1" ht="15.95" customHeight="1" x14ac:dyDescent="0.2">
      <c r="A59" s="7" t="s">
        <v>23</v>
      </c>
      <c r="B59" s="8">
        <f t="shared" ref="B59" si="134">B29*2</f>
        <v>2.9042108960507088E-3</v>
      </c>
      <c r="C59"/>
      <c r="D59" s="8">
        <f t="shared" ref="D59:H60" si="135">D29*2</f>
        <v>4.9644630701721522E-5</v>
      </c>
      <c r="E59"/>
      <c r="F59" s="8">
        <f t="shared" si="135"/>
        <v>4.1488727086438839E-4</v>
      </c>
      <c r="G59"/>
      <c r="H59" s="8">
        <f t="shared" si="135"/>
        <v>1.6134504978059495E-4</v>
      </c>
      <c r="I59"/>
      <c r="J59" s="8">
        <f t="shared" ref="J59:N60" si="136">J29*2</f>
        <v>1.2100878733544621E-4</v>
      </c>
      <c r="K59"/>
      <c r="L59" s="8">
        <f t="shared" si="136"/>
        <v>0</v>
      </c>
      <c r="M59"/>
      <c r="N59" s="8">
        <f t="shared" si="136"/>
        <v>4.8403514934178483E-4</v>
      </c>
      <c r="O59"/>
      <c r="P59" s="47"/>
      <c r="Q59" s="7" t="s">
        <v>23</v>
      </c>
      <c r="R59" s="8">
        <f t="shared" ref="R59" si="137">R29*2</f>
        <v>1.3875674281131165E-2</v>
      </c>
      <c r="S59"/>
      <c r="T59" s="8">
        <f t="shared" ref="T59:AD60" si="138">T29*2</f>
        <v>7.2605272401267719E-3</v>
      </c>
      <c r="U59"/>
      <c r="V59" s="8">
        <f t="shared" si="138"/>
        <v>1.3122730715488388E-2</v>
      </c>
      <c r="W59"/>
      <c r="X59" s="8">
        <f t="shared" si="138"/>
        <v>1.5058871312855528E-3</v>
      </c>
      <c r="Y59"/>
      <c r="Z59" s="8">
        <f t="shared" ref="Z59" si="139">Z29*2</f>
        <v>1.4980758796088416E-2</v>
      </c>
      <c r="AA59"/>
      <c r="AB59" s="8">
        <f t="shared" si="138"/>
        <v>1.1571150666104972E-2</v>
      </c>
      <c r="AC59"/>
      <c r="AD59" s="8">
        <f t="shared" si="138"/>
        <v>2.6276654807267692E-4</v>
      </c>
      <c r="AE59"/>
      <c r="AF59" s="27"/>
      <c r="AG59" s="27"/>
      <c r="AH59" s="27"/>
      <c r="AI59" s="27"/>
      <c r="AJ59" s="10"/>
      <c r="AK59" s="9">
        <f>AK29*2</f>
        <v>1.4198364380692354E-2</v>
      </c>
    </row>
    <row r="60" spans="1:37" s="11" customFormat="1" ht="15.95" customHeight="1" x14ac:dyDescent="0.2">
      <c r="A60" s="7" t="s">
        <v>24</v>
      </c>
      <c r="B60" s="19" t="s">
        <v>72</v>
      </c>
      <c r="C60"/>
      <c r="D60" s="8">
        <f t="shared" si="135"/>
        <v>1.3066038658406917E-4</v>
      </c>
      <c r="E60"/>
      <c r="F60" s="8">
        <f t="shared" si="135"/>
        <v>3.0331875457016082E-3</v>
      </c>
      <c r="G60"/>
      <c r="H60" s="8">
        <f t="shared" si="135"/>
        <v>2.5478775383893483E-3</v>
      </c>
      <c r="I60"/>
      <c r="J60" s="8">
        <f t="shared" si="136"/>
        <v>9.0237329484622755E-4</v>
      </c>
      <c r="K60"/>
      <c r="L60" s="8">
        <f t="shared" si="136"/>
        <v>1.5216490854269721E-3</v>
      </c>
      <c r="M60"/>
      <c r="N60" s="8">
        <f t="shared" si="136"/>
        <v>3.1848469229866856E-3</v>
      </c>
      <c r="O60"/>
      <c r="P60" s="47"/>
      <c r="Q60" s="7" t="s">
        <v>24</v>
      </c>
      <c r="R60" s="8">
        <f t="shared" ref="R60" si="140">R30*2</f>
        <v>2.9725237947875738E-3</v>
      </c>
      <c r="S60"/>
      <c r="T60" s="8">
        <f t="shared" si="138"/>
        <v>1.8578273717422336E-3</v>
      </c>
      <c r="U60"/>
      <c r="V60" s="8">
        <f t="shared" si="138"/>
        <v>3.6802675554512814E-3</v>
      </c>
      <c r="W60"/>
      <c r="X60" s="8">
        <f t="shared" si="138"/>
        <v>5.6619500853096643E-4</v>
      </c>
      <c r="Y60"/>
      <c r="Z60" s="8">
        <f t="shared" ref="Z60" si="141">Z30*2</f>
        <v>4.0156354751605828E-3</v>
      </c>
      <c r="AA60"/>
      <c r="AB60" s="8">
        <f t="shared" si="138"/>
        <v>3.4192304242056859E-3</v>
      </c>
      <c r="AC60"/>
      <c r="AD60" s="8">
        <f t="shared" si="138"/>
        <v>4.815488547555868E-5</v>
      </c>
      <c r="AE60"/>
      <c r="AF60" s="27"/>
      <c r="AG60" s="27"/>
      <c r="AH60" s="27"/>
      <c r="AI60" s="27"/>
      <c r="AJ60" s="10"/>
      <c r="AK60" s="9">
        <f>AK30*2</f>
        <v>0</v>
      </c>
    </row>
    <row r="61" spans="1:37" s="11" customFormat="1" ht="15.95" customHeight="1" x14ac:dyDescent="0.2">
      <c r="A61" s="7" t="s">
        <v>25</v>
      </c>
      <c r="B61" s="19" t="s">
        <v>72</v>
      </c>
      <c r="C61"/>
      <c r="D61" s="8">
        <f t="shared" ref="D61:H61" si="142">D31*5</f>
        <v>1.0708937704792566E-3</v>
      </c>
      <c r="E61"/>
      <c r="F61" s="8">
        <f t="shared" si="142"/>
        <v>8.8391231849081287E-4</v>
      </c>
      <c r="G61"/>
      <c r="H61" s="8">
        <f t="shared" si="142"/>
        <v>6.4451939889955279E-4</v>
      </c>
      <c r="I61"/>
      <c r="J61" s="8">
        <f t="shared" ref="J61:N61" si="143">J31*5</f>
        <v>1.9980101365886138E-3</v>
      </c>
      <c r="K61"/>
      <c r="L61" s="8">
        <f t="shared" si="143"/>
        <v>1.7187183970654739E-4</v>
      </c>
      <c r="M61"/>
      <c r="N61" s="8">
        <f t="shared" si="143"/>
        <v>2.5780775955982111E-4</v>
      </c>
      <c r="O61"/>
      <c r="P61" s="47"/>
      <c r="Q61" s="7" t="s">
        <v>25</v>
      </c>
      <c r="R61" s="8">
        <f t="shared" ref="R61" si="144">R31*5</f>
        <v>2.0624620764785689E-3</v>
      </c>
      <c r="S61"/>
      <c r="T61" s="8">
        <f t="shared" ref="T61:AD61" si="145">T31*5</f>
        <v>2.3202698360383902E-3</v>
      </c>
      <c r="U61"/>
      <c r="V61" s="8">
        <f t="shared" si="145"/>
        <v>1.718718397065474E-3</v>
      </c>
      <c r="W61"/>
      <c r="X61" s="8">
        <f t="shared" si="145"/>
        <v>1.7187183970654739E-4</v>
      </c>
      <c r="Y61"/>
      <c r="Z61" s="8">
        <f t="shared" ref="Z61" si="146">Z31*5</f>
        <v>3.2673782023333042E-3</v>
      </c>
      <c r="AA61"/>
      <c r="AB61" s="8">
        <f t="shared" si="145"/>
        <v>4.8225519503260136E-3</v>
      </c>
      <c r="AC61"/>
      <c r="AD61" s="8">
        <f t="shared" si="145"/>
        <v>1.9328621157478469E-3</v>
      </c>
      <c r="AE61"/>
      <c r="AF61" s="27"/>
      <c r="AG61" s="27"/>
      <c r="AH61" s="27"/>
      <c r="AI61" s="27"/>
      <c r="AJ61" s="10"/>
      <c r="AK61" s="9">
        <f>AK31*5</f>
        <v>0</v>
      </c>
    </row>
    <row r="62" spans="1:37" s="11" customFormat="1" ht="15.95" customHeight="1" thickBot="1" x14ac:dyDescent="0.25">
      <c r="A62" s="12" t="s">
        <v>26</v>
      </c>
      <c r="B62" s="13">
        <f t="shared" ref="B62" si="147">SUM(B51:B61)</f>
        <v>2.6239088943462776</v>
      </c>
      <c r="C62" s="48"/>
      <c r="D62" s="13">
        <f t="shared" ref="D62:N62" si="148">SUM(D51:D61)</f>
        <v>2.8492714552279148</v>
      </c>
      <c r="E62" s="48"/>
      <c r="F62" s="13">
        <f t="shared" si="148"/>
        <v>2.2125678846660519</v>
      </c>
      <c r="G62" s="48"/>
      <c r="H62" s="13">
        <f t="shared" si="148"/>
        <v>2.3271033369463261</v>
      </c>
      <c r="I62" s="48"/>
      <c r="J62" s="13">
        <f t="shared" si="148"/>
        <v>2.783879943386796</v>
      </c>
      <c r="K62" s="48"/>
      <c r="L62" s="13">
        <f t="shared" si="148"/>
        <v>2.1869568656802314</v>
      </c>
      <c r="M62" s="48"/>
      <c r="N62" s="13">
        <f t="shared" si="148"/>
        <v>3.2822406317666988</v>
      </c>
      <c r="O62" s="48"/>
      <c r="P62" s="47"/>
      <c r="Q62" s="12" t="s">
        <v>26</v>
      </c>
      <c r="R62" s="13">
        <f t="shared" ref="R62" si="149">SUM(R51:R61)</f>
        <v>2.7367886957591425</v>
      </c>
      <c r="S62" s="48"/>
      <c r="T62" s="13">
        <f t="shared" ref="T62:AD62" si="150">SUM(T51:T61)</f>
        <v>2.813511129020418</v>
      </c>
      <c r="U62" s="48"/>
      <c r="V62" s="13">
        <f t="shared" si="150"/>
        <v>2.7347268844202324</v>
      </c>
      <c r="W62" s="48"/>
      <c r="X62" s="13">
        <f t="shared" si="150"/>
        <v>1.7869892329435462</v>
      </c>
      <c r="Y62" s="48"/>
      <c r="Z62" s="13">
        <f t="shared" ref="Z62" si="151">SUM(Z51:Z61)</f>
        <v>2.7439694784121844</v>
      </c>
      <c r="AA62" s="48"/>
      <c r="AB62" s="13">
        <f t="shared" si="150"/>
        <v>2.7431963437853293</v>
      </c>
      <c r="AC62" s="48"/>
      <c r="AD62" s="13">
        <f t="shared" si="150"/>
        <v>2.7067245470114956</v>
      </c>
      <c r="AE62" s="48"/>
      <c r="AF62" s="27"/>
      <c r="AG62" s="27"/>
      <c r="AH62" s="27"/>
      <c r="AI62" s="27"/>
      <c r="AJ62" s="10"/>
      <c r="AK62" s="9">
        <f t="shared" ref="AK62" si="152">SUM(AK51:AK61)</f>
        <v>2.8301667011016818</v>
      </c>
    </row>
    <row r="63" spans="1:37" s="11" customFormat="1" ht="15.95" customHeight="1" x14ac:dyDescent="0.2">
      <c r="B63" s="27"/>
      <c r="C63" s="52"/>
      <c r="D63" s="27"/>
      <c r="E63" s="52"/>
      <c r="F63" s="27"/>
      <c r="G63" s="52"/>
      <c r="H63" s="27"/>
      <c r="I63" s="52"/>
      <c r="J63" s="27"/>
      <c r="K63" s="52"/>
      <c r="L63" s="27"/>
      <c r="M63" s="52"/>
      <c r="N63" s="27"/>
      <c r="O63" s="52"/>
      <c r="P63" s="62"/>
      <c r="R63" s="27"/>
      <c r="S63" s="52"/>
      <c r="T63" s="27"/>
      <c r="U63" s="52"/>
      <c r="V63" s="27"/>
      <c r="W63" s="52"/>
      <c r="X63" s="27"/>
      <c r="Y63" s="52"/>
      <c r="Z63" s="27"/>
      <c r="AA63" s="52"/>
      <c r="AB63" s="27"/>
      <c r="AC63" s="52"/>
      <c r="AD63" s="27"/>
      <c r="AE63" s="52"/>
      <c r="AF63" s="27"/>
      <c r="AG63" s="27"/>
      <c r="AH63" s="27"/>
      <c r="AI63" s="27"/>
      <c r="AJ63" s="10"/>
      <c r="AK63" s="9"/>
    </row>
    <row r="64" spans="1:37" s="11" customFormat="1" ht="15.95" customHeight="1" x14ac:dyDescent="0.2">
      <c r="A64" s="36" t="s">
        <v>30</v>
      </c>
      <c r="B64" s="37">
        <v>3</v>
      </c>
      <c r="C64" s="66"/>
      <c r="D64" s="37">
        <v>3</v>
      </c>
      <c r="E64" s="66"/>
      <c r="F64" s="37">
        <v>3</v>
      </c>
      <c r="G64" s="66"/>
      <c r="H64" s="37">
        <v>3</v>
      </c>
      <c r="I64" s="66"/>
      <c r="J64" s="37">
        <v>3</v>
      </c>
      <c r="K64" s="66"/>
      <c r="L64" s="37">
        <v>3</v>
      </c>
      <c r="M64" s="66"/>
      <c r="N64" s="37">
        <v>2</v>
      </c>
      <c r="O64" s="66"/>
      <c r="P64" s="47"/>
      <c r="Q64" s="36" t="s">
        <v>30</v>
      </c>
      <c r="R64" s="37">
        <v>3</v>
      </c>
      <c r="S64" s="66"/>
      <c r="T64" s="37">
        <v>3</v>
      </c>
      <c r="U64" s="66"/>
      <c r="V64" s="37">
        <v>3</v>
      </c>
      <c r="W64" s="66"/>
      <c r="X64" s="37">
        <v>4</v>
      </c>
      <c r="Y64" s="66"/>
      <c r="Z64" s="37">
        <v>3</v>
      </c>
      <c r="AA64" s="66"/>
      <c r="AB64" s="37">
        <v>3</v>
      </c>
      <c r="AC64" s="66"/>
      <c r="AD64" s="37">
        <v>4</v>
      </c>
      <c r="AE64" s="66"/>
      <c r="AF64" s="9"/>
      <c r="AG64" s="9"/>
      <c r="AH64" s="9"/>
      <c r="AI64" s="9"/>
      <c r="AJ64" s="10"/>
      <c r="AK64" s="9">
        <v>6</v>
      </c>
    </row>
    <row r="65" spans="1:37" s="11" customFormat="1" ht="15.95" customHeight="1" x14ac:dyDescent="0.2">
      <c r="A65" s="38" t="s">
        <v>32</v>
      </c>
      <c r="B65" s="39">
        <f>B64/B62</f>
        <v>1.1433323795898873</v>
      </c>
      <c r="C65" s="67"/>
      <c r="D65" s="39">
        <f>D64/D62</f>
        <v>1.052900731692491</v>
      </c>
      <c r="E65" s="67"/>
      <c r="F65" s="39">
        <f>F64/F62</f>
        <v>1.355890601500255</v>
      </c>
      <c r="G65" s="67"/>
      <c r="H65" s="39">
        <f>H64/H62</f>
        <v>1.2891563311222196</v>
      </c>
      <c r="I65" s="67"/>
      <c r="J65" s="39">
        <f>J64/J62</f>
        <v>1.0776326784948485</v>
      </c>
      <c r="K65" s="67"/>
      <c r="L65" s="39">
        <f>L64/L62</f>
        <v>1.3717691679606492</v>
      </c>
      <c r="M65" s="67"/>
      <c r="N65" s="39">
        <f>N64/N62</f>
        <v>0.60933984566618449</v>
      </c>
      <c r="O65" s="67"/>
      <c r="P65" s="47"/>
      <c r="Q65" s="38" t="s">
        <v>32</v>
      </c>
      <c r="R65" s="39">
        <f>R64/R62</f>
        <v>1.0961752380257646</v>
      </c>
      <c r="S65" s="67"/>
      <c r="T65" s="39">
        <f>T64/T62</f>
        <v>1.0662833244397054</v>
      </c>
      <c r="U65" s="67"/>
      <c r="V65" s="39">
        <f>V64/V62</f>
        <v>1.0970016849181654</v>
      </c>
      <c r="W65" s="67"/>
      <c r="X65" s="39">
        <f>X64/X62</f>
        <v>2.2384018472294658</v>
      </c>
      <c r="Y65" s="67"/>
      <c r="Z65" s="39">
        <f>Z64/Z62</f>
        <v>1.0933066215211582</v>
      </c>
      <c r="AA65" s="67"/>
      <c r="AB65" s="39">
        <f>AB64/AB62</f>
        <v>1.093614755938435</v>
      </c>
      <c r="AC65" s="67"/>
      <c r="AD65" s="39">
        <f>AD64/AD62</f>
        <v>1.4778009104828989</v>
      </c>
      <c r="AE65" s="67"/>
      <c r="AF65" s="9"/>
      <c r="AG65" s="9"/>
      <c r="AH65" s="9"/>
      <c r="AI65" s="9"/>
      <c r="AJ65" s="10"/>
      <c r="AK65" s="9">
        <f>AK64/AK62</f>
        <v>2.1200164632226137</v>
      </c>
    </row>
    <row r="66" spans="1:37" s="11" customFormat="1" ht="15.95" customHeight="1" x14ac:dyDescent="0.2">
      <c r="B66" s="27"/>
      <c r="C66" s="52"/>
      <c r="D66" s="27"/>
      <c r="E66" s="52"/>
      <c r="F66" s="27"/>
      <c r="G66" s="52"/>
      <c r="H66" s="27"/>
      <c r="I66" s="52"/>
      <c r="J66" s="27"/>
      <c r="K66" s="52"/>
      <c r="L66" s="27"/>
      <c r="M66" s="52"/>
      <c r="N66" s="27"/>
      <c r="O66" s="52"/>
      <c r="P66" s="62"/>
      <c r="R66" s="27"/>
      <c r="S66" s="52"/>
      <c r="T66" s="27"/>
      <c r="U66" s="52"/>
      <c r="V66" s="27"/>
      <c r="W66" s="52"/>
      <c r="X66" s="27"/>
      <c r="Y66" s="52"/>
      <c r="Z66" s="27"/>
      <c r="AA66" s="52"/>
      <c r="AB66" s="27"/>
      <c r="AC66" s="52"/>
      <c r="AD66" s="27"/>
      <c r="AE66" s="52"/>
      <c r="AF66" s="27"/>
      <c r="AG66" s="27"/>
      <c r="AH66" s="27"/>
      <c r="AI66" s="27"/>
      <c r="AJ66" s="10"/>
      <c r="AK66" s="9" t="s">
        <v>14</v>
      </c>
    </row>
    <row r="67" spans="1:37" x14ac:dyDescent="0.2">
      <c r="B67" s="4"/>
      <c r="C67" s="54"/>
      <c r="D67" s="4"/>
      <c r="E67" s="54"/>
      <c r="F67" s="4"/>
      <c r="G67" s="54"/>
      <c r="H67" s="4"/>
      <c r="I67" s="54"/>
      <c r="J67" s="4"/>
      <c r="K67" s="54"/>
      <c r="L67" s="4"/>
      <c r="M67" s="54"/>
      <c r="N67" s="4"/>
      <c r="O67" s="54"/>
      <c r="P67" s="63"/>
      <c r="Q67"/>
      <c r="R67" s="4"/>
      <c r="S67" s="54"/>
      <c r="T67" s="4"/>
      <c r="U67" s="54"/>
      <c r="V67" s="4"/>
      <c r="W67" s="54"/>
      <c r="X67" s="4"/>
      <c r="Y67" s="54"/>
      <c r="Z67" s="4"/>
      <c r="AA67" s="54"/>
      <c r="AB67" s="4"/>
      <c r="AC67" s="54"/>
      <c r="AD67" s="4"/>
      <c r="AE67" s="54"/>
      <c r="AF67" s="4"/>
      <c r="AG67" s="4"/>
      <c r="AH67" s="4"/>
      <c r="AI67" s="4"/>
      <c r="AK67" s="4"/>
    </row>
    <row r="68" spans="1:37" ht="15.75" x14ac:dyDescent="0.25">
      <c r="A68" s="5" t="s">
        <v>49</v>
      </c>
      <c r="B68" s="6"/>
      <c r="C68" s="55"/>
      <c r="D68" s="6"/>
      <c r="E68" s="55"/>
      <c r="F68" s="6"/>
      <c r="G68" s="55"/>
      <c r="H68" s="6"/>
      <c r="I68" s="55"/>
      <c r="J68" s="6"/>
      <c r="K68" s="55"/>
      <c r="L68" s="6"/>
      <c r="M68" s="55"/>
      <c r="N68" s="6"/>
      <c r="O68" s="55"/>
      <c r="P68" s="63"/>
      <c r="Q68" s="5" t="s">
        <v>49</v>
      </c>
      <c r="R68" s="6"/>
      <c r="S68" s="55"/>
      <c r="T68" s="6"/>
      <c r="U68" s="55"/>
      <c r="V68" s="6"/>
      <c r="W68" s="55"/>
      <c r="X68" s="6"/>
      <c r="Y68" s="55"/>
      <c r="Z68" s="6"/>
      <c r="AA68" s="55"/>
      <c r="AB68" s="6"/>
      <c r="AC68" s="55"/>
      <c r="AD68" s="6"/>
      <c r="AE68" s="55"/>
      <c r="AF68" s="4"/>
      <c r="AG68" s="4"/>
      <c r="AH68" s="4"/>
      <c r="AI68" s="4"/>
      <c r="AK68" s="4"/>
    </row>
    <row r="69" spans="1:37" s="11" customFormat="1" ht="15.95" customHeight="1" x14ac:dyDescent="0.2">
      <c r="A69" s="7" t="s">
        <v>58</v>
      </c>
      <c r="B69" s="8">
        <f>B21*B65</f>
        <v>0.99767870926038849</v>
      </c>
      <c r="C69"/>
      <c r="D69" s="8">
        <f>D21*D65</f>
        <v>0.9789277142848849</v>
      </c>
      <c r="E69"/>
      <c r="F69" s="8">
        <f>F21*F65</f>
        <v>0.9693251823669452</v>
      </c>
      <c r="G69"/>
      <c r="H69" s="8">
        <f>H21*H65</f>
        <v>0.99173892778634842</v>
      </c>
      <c r="I69"/>
      <c r="J69" s="8">
        <f>J21*J65</f>
        <v>0.96942639034023115</v>
      </c>
      <c r="K69"/>
      <c r="L69" s="8">
        <f>L21*L65</f>
        <v>0.98788473840971502</v>
      </c>
      <c r="M69"/>
      <c r="N69" s="8">
        <f>N21*N65</f>
        <v>0.98691036192602999</v>
      </c>
      <c r="O69"/>
      <c r="P69" s="47"/>
      <c r="Q69" s="7" t="s">
        <v>58</v>
      </c>
      <c r="R69" s="8">
        <f>R21*R65</f>
        <v>0.90581098631406942</v>
      </c>
      <c r="S69"/>
      <c r="T69" s="8">
        <f>T21*T65</f>
        <v>0.8978805443481559</v>
      </c>
      <c r="U69"/>
      <c r="V69" s="8">
        <f>V21*V65</f>
        <v>0.91245808669983741</v>
      </c>
      <c r="W69"/>
      <c r="X69" s="8">
        <f>X21*X65</f>
        <v>0.12132483466133705</v>
      </c>
      <c r="Y69"/>
      <c r="Z69" s="8">
        <f>Z21*Z65</f>
        <v>0.9596731176990132</v>
      </c>
      <c r="AA69"/>
      <c r="AB69" s="8">
        <f>AB21*AB65</f>
        <v>0.92143416240858733</v>
      </c>
      <c r="AC69"/>
      <c r="AD69" s="8">
        <f>AD21*AD65</f>
        <v>1.0025173825777189</v>
      </c>
      <c r="AE69"/>
      <c r="AF69" s="9"/>
      <c r="AG69" s="9"/>
      <c r="AH69" s="9"/>
      <c r="AI69" s="9"/>
      <c r="AJ69" s="10"/>
      <c r="AK69" s="9">
        <f>AK21*AK65</f>
        <v>1.9653177306368523</v>
      </c>
    </row>
    <row r="70" spans="1:37" s="11" customFormat="1" ht="15.95" customHeight="1" x14ac:dyDescent="0.2">
      <c r="A70" s="7" t="s">
        <v>59</v>
      </c>
      <c r="B70" s="19" t="s">
        <v>72</v>
      </c>
      <c r="C70"/>
      <c r="D70" s="8">
        <f>D22*D65</f>
        <v>2.6366682485475445E-4</v>
      </c>
      <c r="E70"/>
      <c r="F70" s="8">
        <f>F22*F65</f>
        <v>7.2758867612192715E-4</v>
      </c>
      <c r="G70"/>
      <c r="H70" s="8">
        <f>H22*H65</f>
        <v>4.0353727841704217E-4</v>
      </c>
      <c r="I70"/>
      <c r="J70" s="8">
        <f>J22*J65</f>
        <v>1.0119756953786798E-4</v>
      </c>
      <c r="K70"/>
      <c r="L70" s="8">
        <f>L22*L65</f>
        <v>8.8742068395354146E-4</v>
      </c>
      <c r="M70"/>
      <c r="N70" s="8">
        <f>N22*N65</f>
        <v>1.5259055058878233E-4</v>
      </c>
      <c r="O70"/>
      <c r="P70" s="47"/>
      <c r="Q70" s="7" t="s">
        <v>59</v>
      </c>
      <c r="R70" s="8">
        <f>R22*R65</f>
        <v>4.9410648547476427E-3</v>
      </c>
      <c r="S70"/>
      <c r="T70" s="8">
        <f>T22*T65</f>
        <v>4.7061937728820292E-3</v>
      </c>
      <c r="U70"/>
      <c r="V70" s="8">
        <f>V22*V65</f>
        <v>5.1279304798385016E-3</v>
      </c>
      <c r="W70"/>
      <c r="X70" s="8">
        <f>X22*X65</f>
        <v>6.0725097901449627E-3</v>
      </c>
      <c r="Y70"/>
      <c r="Z70" s="8">
        <f>Z22*Z65</f>
        <v>7.0169652645544903E-3</v>
      </c>
      <c r="AA70"/>
      <c r="AB70" s="8">
        <f>AB22*AB65</f>
        <v>6.9974036275841454E-3</v>
      </c>
      <c r="AC70"/>
      <c r="AD70" s="8">
        <f>AD22*AD65</f>
        <v>4.8795592380167441E-4</v>
      </c>
      <c r="AE70"/>
      <c r="AF70" s="9"/>
      <c r="AG70" s="9"/>
      <c r="AH70" s="9"/>
      <c r="AI70" s="9"/>
      <c r="AJ70" s="10"/>
      <c r="AK70" s="9">
        <f>AK22*AK65</f>
        <v>7.9634004328097579E-4</v>
      </c>
    </row>
    <row r="71" spans="1:37" s="11" customFormat="1" ht="15.95" customHeight="1" x14ac:dyDescent="0.2">
      <c r="A71" s="7" t="s">
        <v>60</v>
      </c>
      <c r="B71" s="8">
        <f>2*B23*B65</f>
        <v>1.2558994304810478E-2</v>
      </c>
      <c r="C71"/>
      <c r="D71" s="8">
        <f>2*D23*D65</f>
        <v>7.8481149879242804E-3</v>
      </c>
      <c r="E71"/>
      <c r="F71" s="8">
        <f>2*F23*F65</f>
        <v>1.9757149560805872E-2</v>
      </c>
      <c r="G71"/>
      <c r="H71" s="8">
        <f>2*H23*H65</f>
        <v>1.5235509085473005E-2</v>
      </c>
      <c r="I71"/>
      <c r="J71" s="8">
        <f>2*J23*J65</f>
        <v>1.6117769256186378E-3</v>
      </c>
      <c r="K71"/>
      <c r="L71" s="8">
        <f>2*L23*L65</f>
        <v>1.3947119098006165E-2</v>
      </c>
      <c r="M71"/>
      <c r="N71" s="8">
        <f>2*N23*N65</f>
        <v>3.3466626975791258E-3</v>
      </c>
      <c r="O71"/>
      <c r="P71" s="47"/>
      <c r="Q71" s="7" t="s">
        <v>60</v>
      </c>
      <c r="R71" s="8">
        <f>2*R23*R65</f>
        <v>0.22512358831839463</v>
      </c>
      <c r="S71"/>
      <c r="T71" s="8">
        <f>2*T23*T65</f>
        <v>0.20078819879766568</v>
      </c>
      <c r="U71"/>
      <c r="V71" s="8">
        <f>2*V23*V65</f>
        <v>0.22436087120864309</v>
      </c>
      <c r="W71"/>
      <c r="X71" s="8">
        <f>2*X23*X65</f>
        <v>0.43570241678798677</v>
      </c>
      <c r="Y71"/>
      <c r="Z71" s="8">
        <f>2*Z23*Z65</f>
        <v>0.2966010080801641</v>
      </c>
      <c r="AA71"/>
      <c r="AB71" s="8">
        <f>2*AB23*AB65</f>
        <v>0.26117477658501531</v>
      </c>
      <c r="AC71"/>
      <c r="AD71" s="8">
        <f>2*AD23*AD65</f>
        <v>6.9396792515069141E-3</v>
      </c>
      <c r="AE71"/>
      <c r="AF71" s="9"/>
      <c r="AG71" s="9"/>
      <c r="AH71" s="9"/>
      <c r="AI71" s="9"/>
      <c r="AJ71" s="10"/>
      <c r="AK71" s="9">
        <f>2*AK23*AK65</f>
        <v>7.817923495650389E-2</v>
      </c>
    </row>
    <row r="72" spans="1:37" s="11" customFormat="1" ht="15.95" customHeight="1" x14ac:dyDescent="0.2">
      <c r="A72" s="7" t="s">
        <v>61</v>
      </c>
      <c r="B72" s="19" t="s">
        <v>72</v>
      </c>
      <c r="C72"/>
      <c r="D72" s="8">
        <f>2*D24*D65</f>
        <v>1.5986344659204554E-4</v>
      </c>
      <c r="E72"/>
      <c r="F72" s="8">
        <f>2*F24*F65</f>
        <v>2.5488275227537985E-4</v>
      </c>
      <c r="G72"/>
      <c r="H72" s="8">
        <f>2*H24*H65</f>
        <v>8.4818273464785918E-5</v>
      </c>
      <c r="I72"/>
      <c r="J72" s="8">
        <f>2*J24*J65</f>
        <v>7.0901364724012078E-5</v>
      </c>
      <c r="K72"/>
      <c r="L72" s="8">
        <f>2*L24*L65</f>
        <v>9.6270583262146332E-4</v>
      </c>
      <c r="M72"/>
      <c r="N72" s="8">
        <f>2*N24*N65</f>
        <v>4.0090679784130087E-5</v>
      </c>
      <c r="O72"/>
      <c r="P72" s="47"/>
      <c r="Q72" s="7" t="s">
        <v>61</v>
      </c>
      <c r="R72" s="8">
        <f>2*R24*R65</f>
        <v>2.4521257982659428E-3</v>
      </c>
      <c r="S72"/>
      <c r="T72" s="8">
        <f>2*T24*T65</f>
        <v>2.4904900584253702E-3</v>
      </c>
      <c r="U72"/>
      <c r="V72" s="8">
        <f>2*V24*V65</f>
        <v>1.8765687706507979E-3</v>
      </c>
      <c r="W72"/>
      <c r="X72" s="8">
        <f>2*X24*X65</f>
        <v>0.58967941371999677</v>
      </c>
      <c r="Y72"/>
      <c r="Z72" s="8">
        <f>2*Z24*Z65</f>
        <v>2.655521788571666E-3</v>
      </c>
      <c r="AA72"/>
      <c r="AB72" s="8">
        <f>2*AB24*AB65</f>
        <v>3.5232736794681627E-3</v>
      </c>
      <c r="AC72"/>
      <c r="AD72" s="8">
        <f>2*AD24*AD65</f>
        <v>5.0133916350339792E-3</v>
      </c>
      <c r="AE72"/>
      <c r="AF72" s="9"/>
      <c r="AG72" s="9"/>
      <c r="AH72" s="9"/>
      <c r="AI72" s="9"/>
      <c r="AJ72" s="10"/>
      <c r="AK72" s="9">
        <f>2*AK24*AK65</f>
        <v>0</v>
      </c>
    </row>
    <row r="73" spans="1:37" s="11" customFormat="1" ht="15.95" customHeight="1" x14ac:dyDescent="0.2">
      <c r="A73" s="7" t="s">
        <v>62</v>
      </c>
      <c r="B73" s="8">
        <f>B25*B65</f>
        <v>0.38814158250164038</v>
      </c>
      <c r="C73"/>
      <c r="D73" s="8">
        <f>D25*D65</f>
        <v>0.20351635987464117</v>
      </c>
      <c r="E73"/>
      <c r="F73" s="8">
        <f>F25*F65</f>
        <v>0.92340677162700979</v>
      </c>
      <c r="G73"/>
      <c r="H73" s="8">
        <f>H25*H65</f>
        <v>0.74241965575953983</v>
      </c>
      <c r="I73"/>
      <c r="J73" s="8">
        <f>J25*J65</f>
        <v>0.21640520608346939</v>
      </c>
      <c r="K73"/>
      <c r="L73" s="8">
        <f>L25*L65</f>
        <v>0.94363554898436164</v>
      </c>
      <c r="M73"/>
      <c r="N73" s="8">
        <f>N25*N65</f>
        <v>1.4503123910345042E-2</v>
      </c>
      <c r="O73"/>
      <c r="P73" s="47"/>
      <c r="Q73" s="7" t="s">
        <v>62</v>
      </c>
      <c r="R73" s="8">
        <f>R25*R65</f>
        <v>0.16661285050290972</v>
      </c>
      <c r="S73"/>
      <c r="T73" s="8">
        <f>T25*T65</f>
        <v>0.13613387496656948</v>
      </c>
      <c r="U73"/>
      <c r="V73" s="8">
        <f>V25*V65</f>
        <v>0.17472928999182782</v>
      </c>
      <c r="W73"/>
      <c r="X73" s="8">
        <f>X25*X65</f>
        <v>1.4486575825695933</v>
      </c>
      <c r="Y73"/>
      <c r="Z73" s="8">
        <f>Z25*Z65</f>
        <v>0.17076419923095962</v>
      </c>
      <c r="AA73"/>
      <c r="AB73" s="8">
        <f>AB25*AB65</f>
        <v>0.19342072499927501</v>
      </c>
      <c r="AC73"/>
      <c r="AD73" s="8">
        <f>AD25*AD65</f>
        <v>0.20569490562777726</v>
      </c>
      <c r="AE73"/>
      <c r="AF73" s="9"/>
      <c r="AG73" s="9"/>
      <c r="AH73" s="9"/>
      <c r="AI73" s="9"/>
      <c r="AJ73" s="10"/>
      <c r="AK73" s="9">
        <f>AK25*AK65</f>
        <v>0.40780556258558781</v>
      </c>
    </row>
    <row r="74" spans="1:37" s="11" customFormat="1" ht="15.95" customHeight="1" x14ac:dyDescent="0.2">
      <c r="A74" s="7" t="s">
        <v>63</v>
      </c>
      <c r="B74" s="19" t="s">
        <v>72</v>
      </c>
      <c r="C74"/>
      <c r="D74" s="8">
        <f>D26*D65</f>
        <v>5.7087144888953961E-5</v>
      </c>
      <c r="E74"/>
      <c r="F74" s="8">
        <f>F26*F65</f>
        <v>1.0922218119796708E-4</v>
      </c>
      <c r="G74"/>
      <c r="H74" s="8">
        <f>H26*H65</f>
        <v>4.5432835051450223E-5</v>
      </c>
      <c r="I74"/>
      <c r="J74" s="8">
        <f>J26*J65</f>
        <v>7.5956509767111026E-5</v>
      </c>
      <c r="K74"/>
      <c r="L74" s="8">
        <f>L26*L65</f>
        <v>3.2229534325170311E-5</v>
      </c>
      <c r="M74"/>
      <c r="N74" s="8">
        <f>N26*N65</f>
        <v>4.2949076120704072E-5</v>
      </c>
      <c r="O74"/>
      <c r="P74" s="47"/>
      <c r="Q74" s="7" t="s">
        <v>63</v>
      </c>
      <c r="R74" s="8">
        <f>R26*R65</f>
        <v>1.6997964430486409E-3</v>
      </c>
      <c r="S74"/>
      <c r="T74" s="8">
        <f>T26*T65</f>
        <v>2.0292269869096034E-3</v>
      </c>
      <c r="U74"/>
      <c r="V74" s="8">
        <f>V26*V65</f>
        <v>1.8557214351310458E-3</v>
      </c>
      <c r="W74"/>
      <c r="X74" s="8">
        <f>X26*X65</f>
        <v>6.521278292200723E-3</v>
      </c>
      <c r="Y74"/>
      <c r="Z74" s="8">
        <f>Z26*Z65</f>
        <v>1.6712048911903061E-3</v>
      </c>
      <c r="AA74"/>
      <c r="AB74" s="8">
        <f>AB26*AB65</f>
        <v>2.4677043327949264E-3</v>
      </c>
      <c r="AC74"/>
      <c r="AD74" s="8">
        <f>AD26*AD65</f>
        <v>2.5241054991826128E-3</v>
      </c>
      <c r="AE74"/>
      <c r="AF74" s="9"/>
      <c r="AG74" s="9"/>
      <c r="AH74" s="9"/>
      <c r="AI74" s="9"/>
      <c r="AJ74" s="10"/>
      <c r="AK74" s="9">
        <f>AK26*AK65</f>
        <v>0</v>
      </c>
    </row>
    <row r="75" spans="1:37" s="11" customFormat="1" ht="15.95" customHeight="1" x14ac:dyDescent="0.2">
      <c r="A75" s="7" t="s">
        <v>64</v>
      </c>
      <c r="B75" s="8">
        <f>B27*B65</f>
        <v>0.59373037943292395</v>
      </c>
      <c r="C75"/>
      <c r="D75" s="8">
        <f>D27*D65</f>
        <v>0.82468554927631754</v>
      </c>
      <c r="E75"/>
      <c r="F75" s="8">
        <f>F27*F65</f>
        <v>0.10010676334966033</v>
      </c>
      <c r="G75"/>
      <c r="H75" s="8">
        <f>H27*H65</f>
        <v>0.24588852074468451</v>
      </c>
      <c r="I75"/>
      <c r="J75" s="8">
        <f>J27*J65</f>
        <v>0.83868369316221458</v>
      </c>
      <c r="K75"/>
      <c r="L75" s="8">
        <f>L27*L65</f>
        <v>5.4059276285240106E-2</v>
      </c>
      <c r="M75"/>
      <c r="N75" s="8">
        <f>N27*N65</f>
        <v>3.8552034181101079E-3</v>
      </c>
      <c r="O75"/>
      <c r="P75" s="47"/>
      <c r="Q75" s="7" t="s">
        <v>64</v>
      </c>
      <c r="R75" s="8">
        <f>R27*R65</f>
        <v>0.46317186966134644</v>
      </c>
      <c r="S75"/>
      <c r="T75" s="8">
        <f>T27*T65</f>
        <v>0.59313802299347451</v>
      </c>
      <c r="U75"/>
      <c r="V75" s="8">
        <f>V27*V65</f>
        <v>0.37823827542599414</v>
      </c>
      <c r="W75"/>
      <c r="X75" s="8">
        <f>X27*X65</f>
        <v>0.72032016252732134</v>
      </c>
      <c r="Y75"/>
      <c r="Z75" s="8">
        <f>Z27*Z65</f>
        <v>0.16932629838415938</v>
      </c>
      <c r="AA75"/>
      <c r="AB75" s="8">
        <f>AB27*AB65</f>
        <v>0.23207987499149638</v>
      </c>
      <c r="AC75"/>
      <c r="AD75" s="8">
        <f>AD27*AD65</f>
        <v>1.755863896653302</v>
      </c>
      <c r="AE75"/>
      <c r="AF75" s="9"/>
      <c r="AG75" s="9"/>
      <c r="AH75" s="9"/>
      <c r="AI75" s="9"/>
      <c r="AJ75" s="10"/>
      <c r="AK75" s="9">
        <f>AK27*AK65</f>
        <v>1.4570234523095842</v>
      </c>
    </row>
    <row r="76" spans="1:37" s="11" customFormat="1" ht="15.95" customHeight="1" x14ac:dyDescent="0.2">
      <c r="A76" s="7" t="s">
        <v>65</v>
      </c>
      <c r="B76" s="8">
        <f>B28*B65</f>
        <v>6.1164973283004353E-4</v>
      </c>
      <c r="C76"/>
      <c r="D76" s="8">
        <f>D28*D65</f>
        <v>2.8885713767781708E-5</v>
      </c>
      <c r="E76"/>
      <c r="F76" s="8">
        <f>F28*F65</f>
        <v>3.7995164413171884E-4</v>
      </c>
      <c r="G76"/>
      <c r="H76" s="8">
        <f>H28*H65</f>
        <v>5.7471777206052106E-5</v>
      </c>
      <c r="I76"/>
      <c r="J76" s="8">
        <f>J28*J65</f>
        <v>0</v>
      </c>
      <c r="K76"/>
      <c r="L76" s="8">
        <f>L28*L65</f>
        <v>4.076982240032744E-5</v>
      </c>
      <c r="M76"/>
      <c r="N76" s="8">
        <f>N28*N65</f>
        <v>0</v>
      </c>
      <c r="O76"/>
      <c r="P76" s="47"/>
      <c r="Q76" s="7" t="s">
        <v>65</v>
      </c>
      <c r="R76" s="8">
        <f>R28*R65</f>
        <v>0.18491841248629107</v>
      </c>
      <c r="S76"/>
      <c r="T76" s="8">
        <f>T28*T65</f>
        <v>0.14641055102350187</v>
      </c>
      <c r="U76"/>
      <c r="V76" s="8">
        <f>V28*V65</f>
        <v>0.25033016442637651</v>
      </c>
      <c r="W76"/>
      <c r="X76" s="8">
        <f>X28*X65</f>
        <v>2.6610671213082131E-2</v>
      </c>
      <c r="Y76"/>
      <c r="Z76" s="8">
        <f>Z28*Z65</f>
        <v>0.251632206898044</v>
      </c>
      <c r="AA76"/>
      <c r="AB76" s="8">
        <f>AB28*AB65</f>
        <v>0.29645377227570491</v>
      </c>
      <c r="AC76"/>
      <c r="AD76" s="8">
        <f>AD28*AD65</f>
        <v>8.6609435148090174E-3</v>
      </c>
      <c r="AE76"/>
      <c r="AF76" s="9"/>
      <c r="AG76" s="9"/>
      <c r="AH76" s="9"/>
      <c r="AI76" s="9"/>
      <c r="AJ76" s="10"/>
      <c r="AK76" s="9">
        <f>AK28*AK65</f>
        <v>5.5573225071904424E-2</v>
      </c>
    </row>
    <row r="77" spans="1:37" s="11" customFormat="1" ht="15.95" customHeight="1" x14ac:dyDescent="0.2">
      <c r="A77" s="7" t="s">
        <v>66</v>
      </c>
      <c r="B77" s="8">
        <f>2*B29*B65</f>
        <v>3.3204783546125359E-3</v>
      </c>
      <c r="C77"/>
      <c r="D77" s="8">
        <f>2*D29*D65</f>
        <v>5.2270867990446092E-5</v>
      </c>
      <c r="E77"/>
      <c r="F77" s="8">
        <f>2*F29*F65</f>
        <v>5.6254175124711482E-4</v>
      </c>
      <c r="G77"/>
      <c r="H77" s="8">
        <f>2*H29*H65</f>
        <v>2.0799899241988367E-4</v>
      </c>
      <c r="I77"/>
      <c r="J77" s="8">
        <f>2*J29*J65</f>
        <v>1.304030236177104E-4</v>
      </c>
      <c r="K77"/>
      <c r="L77" s="8">
        <f>2*L29*L65</f>
        <v>0</v>
      </c>
      <c r="M77"/>
      <c r="N77" s="8">
        <f>2*N29*N65</f>
        <v>2.9494190319693175E-4</v>
      </c>
      <c r="O77"/>
      <c r="P77" s="47"/>
      <c r="Q77" s="7" t="s">
        <v>66</v>
      </c>
      <c r="R77" s="8">
        <f>2*R29*R65</f>
        <v>1.5210170557886933E-2</v>
      </c>
      <c r="S77"/>
      <c r="T77" s="8">
        <f>2*T29*T65</f>
        <v>7.7417791227874138E-3</v>
      </c>
      <c r="U77"/>
      <c r="V77" s="8">
        <f>2*V29*V65</f>
        <v>1.4395657705618124E-2</v>
      </c>
      <c r="W77"/>
      <c r="X77" s="8">
        <f>2*X29*X65</f>
        <v>3.3707805363886625E-3</v>
      </c>
      <c r="Y77"/>
      <c r="Z77" s="8">
        <f>2*Z29*Z65</f>
        <v>1.63785627871748E-2</v>
      </c>
      <c r="AA77"/>
      <c r="AB77" s="8">
        <f>2*AB29*AB65</f>
        <v>1.2654381111639249E-2</v>
      </c>
      <c r="AC77"/>
      <c r="AD77" s="8">
        <f>2*AD29*AD65</f>
        <v>3.8831664398625038E-4</v>
      </c>
      <c r="AE77"/>
      <c r="AF77" s="9"/>
      <c r="AG77" s="9"/>
      <c r="AH77" s="9"/>
      <c r="AI77" s="9"/>
      <c r="AJ77" s="10"/>
      <c r="AK77" s="9">
        <f>2*AK29*AK65</f>
        <v>3.0100766237901342E-2</v>
      </c>
    </row>
    <row r="78" spans="1:37" s="11" customFormat="1" ht="15.95" customHeight="1" x14ac:dyDescent="0.2">
      <c r="A78" s="7" t="s">
        <v>67</v>
      </c>
      <c r="B78" s="19" t="s">
        <v>72</v>
      </c>
      <c r="C78"/>
      <c r="D78" s="8">
        <f>2*D30*D65</f>
        <v>1.3757241663759015E-4</v>
      </c>
      <c r="E78"/>
      <c r="F78" s="8">
        <f>2*F30*F65</f>
        <v>4.1126704858044354E-3</v>
      </c>
      <c r="G78"/>
      <c r="H78" s="8">
        <f>2*H30*H65</f>
        <v>3.2846124595387245E-3</v>
      </c>
      <c r="I78"/>
      <c r="J78" s="8">
        <f>2*J30*J65</f>
        <v>9.7242695072736183E-4</v>
      </c>
      <c r="K78"/>
      <c r="L78" s="8">
        <f>2*L30*L65</f>
        <v>2.0873512998442405E-3</v>
      </c>
      <c r="M78"/>
      <c r="N78" s="8">
        <f>2*N30*N65</f>
        <v>1.9406541325231296E-3</v>
      </c>
      <c r="O78"/>
      <c r="P78" s="47"/>
      <c r="Q78" s="7" t="s">
        <v>67</v>
      </c>
      <c r="R78" s="8">
        <f>2*R30*R65</f>
        <v>3.2584069782885176E-3</v>
      </c>
      <c r="S78"/>
      <c r="T78" s="8">
        <f>2*T30*T65</f>
        <v>1.9809703461763891E-3</v>
      </c>
      <c r="U78"/>
      <c r="V78" s="8">
        <f>2*V30*V65</f>
        <v>4.0372597092797136E-3</v>
      </c>
      <c r="W78"/>
      <c r="X78" s="8">
        <f>2*X30*X65</f>
        <v>1.2673719529878184E-3</v>
      </c>
      <c r="Y78"/>
      <c r="Z78" s="8">
        <f>2*Z30*Z65</f>
        <v>4.3903208546083273E-3</v>
      </c>
      <c r="AA78"/>
      <c r="AB78" s="8">
        <f>2*AB30*AB65</f>
        <v>3.7393208458649731E-3</v>
      </c>
      <c r="AC78"/>
      <c r="AD78" s="8">
        <f>2*AD30*AD65</f>
        <v>7.1163333599980346E-5</v>
      </c>
      <c r="AE78"/>
      <c r="AF78" s="9"/>
      <c r="AG78" s="9"/>
      <c r="AH78" s="9"/>
      <c r="AI78" s="9"/>
      <c r="AJ78" s="10"/>
      <c r="AK78" s="9">
        <f>2*AK30*AK65</f>
        <v>0</v>
      </c>
    </row>
    <row r="79" spans="1:37" s="11" customFormat="1" ht="15.95" customHeight="1" x14ac:dyDescent="0.2">
      <c r="A79" s="7" t="s">
        <v>68</v>
      </c>
      <c r="B79" s="19" t="s">
        <v>72</v>
      </c>
      <c r="C79"/>
      <c r="D79" s="8">
        <f>2*D31*D65</f>
        <v>4.5101793380101596E-4</v>
      </c>
      <c r="E79"/>
      <c r="F79" s="8">
        <f>2*F31*F65</f>
        <v>4.7939536207679728E-4</v>
      </c>
      <c r="G79"/>
      <c r="H79" s="8">
        <f>2*H31*H65</f>
        <v>3.3235450544897834E-4</v>
      </c>
      <c r="I79"/>
      <c r="J79" s="8">
        <f>2*J31*J65</f>
        <v>8.6124840606073842E-4</v>
      </c>
      <c r="K79"/>
      <c r="L79" s="8">
        <f>2*L31*L65</f>
        <v>9.4307396220046644E-5</v>
      </c>
      <c r="M79"/>
      <c r="N79" s="8">
        <f>2*N31*N65</f>
        <v>6.2837016168690473E-5</v>
      </c>
      <c r="O79"/>
      <c r="P79" s="47"/>
      <c r="Q79" s="7" t="s">
        <v>68</v>
      </c>
      <c r="R79" s="8">
        <f>2*R31*R65</f>
        <v>9.0432794304120309E-4</v>
      </c>
      <c r="S79"/>
      <c r="T79" s="8">
        <f>2*T31*T65</f>
        <v>9.896260137472739E-4</v>
      </c>
      <c r="U79"/>
      <c r="V79" s="8">
        <f>2*V31*V65</f>
        <v>7.5417479099226933E-4</v>
      </c>
      <c r="W79"/>
      <c r="X79" s="8">
        <f>2*X31*X65</f>
        <v>1.5388729739434495E-4</v>
      </c>
      <c r="Y79"/>
      <c r="Z79" s="8">
        <f>2*Z31*Z65</f>
        <v>1.42889848944996E-3</v>
      </c>
      <c r="AA79"/>
      <c r="AB79" s="8">
        <f>2*AB31*AB65</f>
        <v>2.109605589662483E-3</v>
      </c>
      <c r="AC79"/>
      <c r="AD79" s="8">
        <f>2*AD31*AD65</f>
        <v>1.1425541577960282E-3</v>
      </c>
      <c r="AE79"/>
      <c r="AF79" s="9"/>
      <c r="AG79" s="9"/>
      <c r="AH79" s="9"/>
      <c r="AI79" s="9"/>
      <c r="AJ79" s="10"/>
      <c r="AK79" s="9">
        <f>2*AK31*AK65</f>
        <v>0</v>
      </c>
    </row>
    <row r="80" spans="1:37" s="11" customFormat="1" ht="15.95" customHeight="1" thickBot="1" x14ac:dyDescent="0.25">
      <c r="A80" s="12" t="s">
        <v>31</v>
      </c>
      <c r="B80" s="13">
        <f t="shared" ref="B80" si="153">SUM(B69:B79)</f>
        <v>1.9960417935872061</v>
      </c>
      <c r="C80" s="48"/>
      <c r="D80" s="13">
        <f t="shared" ref="D80:AK80" si="154">SUM(D69:D79)</f>
        <v>2.0161281027723006</v>
      </c>
      <c r="E80" s="48"/>
      <c r="F80" s="13">
        <f t="shared" si="154"/>
        <v>2.0192221197572762</v>
      </c>
      <c r="G80" s="48"/>
      <c r="H80" s="13">
        <f t="shared" si="154"/>
        <v>1.9996988394975925</v>
      </c>
      <c r="I80" s="48"/>
      <c r="J80" s="13">
        <f t="shared" si="154"/>
        <v>2.0283392003359682</v>
      </c>
      <c r="K80" s="48"/>
      <c r="L80" s="13">
        <f t="shared" si="154"/>
        <v>2.0036314673466875</v>
      </c>
      <c r="M80" s="48"/>
      <c r="N80" s="13">
        <f t="shared" si="154"/>
        <v>1.0111494153104466</v>
      </c>
      <c r="O80" s="48"/>
      <c r="P80" s="47"/>
      <c r="Q80" s="12" t="s">
        <v>31</v>
      </c>
      <c r="R80" s="13">
        <f t="shared" ref="R80" si="155">SUM(R69:R79)</f>
        <v>1.9741035998582901</v>
      </c>
      <c r="S80" s="48"/>
      <c r="T80" s="13">
        <f t="shared" ref="T80:AD80" si="156">SUM(T69:T79)</f>
        <v>1.9942894784302951</v>
      </c>
      <c r="U80" s="48"/>
      <c r="V80" s="13">
        <f t="shared" si="156"/>
        <v>1.9681640006441894</v>
      </c>
      <c r="W80" s="48"/>
      <c r="X80" s="13">
        <f t="shared" si="156"/>
        <v>3.3596809093484339</v>
      </c>
      <c r="Y80" s="48"/>
      <c r="Z80" s="13">
        <f t="shared" ref="Z80" si="157">SUM(Z69:Z79)</f>
        <v>1.8815383043678902</v>
      </c>
      <c r="AA80" s="48"/>
      <c r="AB80" s="13">
        <f t="shared" si="156"/>
        <v>1.9360550004470931</v>
      </c>
      <c r="AC80" s="48"/>
      <c r="AD80" s="13">
        <f t="shared" si="156"/>
        <v>2.9893042948185142</v>
      </c>
      <c r="AE80" s="48"/>
      <c r="AF80" s="9"/>
      <c r="AG80" s="9"/>
      <c r="AH80" s="9"/>
      <c r="AI80" s="9"/>
      <c r="AJ80" s="10"/>
      <c r="AK80" s="9">
        <f t="shared" si="154"/>
        <v>3.9947963118416148</v>
      </c>
    </row>
    <row r="81" spans="1:37" x14ac:dyDescent="0.2">
      <c r="Q81"/>
      <c r="V81" s="1"/>
      <c r="W81" s="41"/>
      <c r="X81" s="1"/>
      <c r="AA81" s="41"/>
      <c r="AB81" s="1"/>
      <c r="AC81" s="41"/>
      <c r="AD81" s="1"/>
      <c r="AE81" s="41"/>
      <c r="AI81" s="1"/>
      <c r="AK81" s="3"/>
    </row>
    <row r="82" spans="1:37" s="11" customFormat="1" ht="15.95" customHeight="1" x14ac:dyDescent="0.2">
      <c r="A82" s="36" t="s">
        <v>11</v>
      </c>
      <c r="B82" s="65">
        <f>B75/(B73+B75+B76)</f>
        <v>0.60431580983350064</v>
      </c>
      <c r="C82" s="53"/>
      <c r="D82" s="65">
        <f>D75/(D73+D74+D75+D76)</f>
        <v>0.80199870455013877</v>
      </c>
      <c r="E82" s="53"/>
      <c r="F82" s="65">
        <f>F75/(F73+F74+F75+F76)</f>
        <v>9.7760252477043869E-2</v>
      </c>
      <c r="G82" s="53"/>
      <c r="H82" s="65">
        <f>H75/(H73+H74+H75+H76)</f>
        <v>0.24877151363675085</v>
      </c>
      <c r="I82" s="53"/>
      <c r="J82" s="65">
        <f>J75/(J73+J74+J75+J76)</f>
        <v>0.79483664432867629</v>
      </c>
      <c r="K82" s="53"/>
      <c r="L82" s="65">
        <f>L75/(L73+L74+L75+L76)</f>
        <v>5.4180216029200763E-2</v>
      </c>
      <c r="M82" s="53"/>
      <c r="N82" s="65">
        <f>N75/(N73+N74+N75+N76)</f>
        <v>0.20950739140853472</v>
      </c>
      <c r="O82" s="53"/>
      <c r="P82" s="47"/>
      <c r="Q82" s="36" t="s">
        <v>11</v>
      </c>
      <c r="R82" s="65">
        <f>R75/(R73+R74+R75+R76)</f>
        <v>0.56733244474707967</v>
      </c>
      <c r="S82" s="53"/>
      <c r="T82" s="65">
        <f>T75/(T73+T74+T75+T76)</f>
        <v>0.67577775166048948</v>
      </c>
      <c r="U82" s="53"/>
      <c r="V82" s="65">
        <f>V75/(V73+V74+V75+V76)</f>
        <v>0.46977166256320629</v>
      </c>
      <c r="W82" s="53"/>
      <c r="X82" s="65">
        <f>X75/(X73+X74+X75+X76)</f>
        <v>0.32710457807481946</v>
      </c>
      <c r="Y82" s="53"/>
      <c r="Z82" s="65">
        <f>Z75/(Z73+Z74+Z75+Z76)</f>
        <v>0.28535226887335013</v>
      </c>
      <c r="AA82" s="53"/>
      <c r="AB82" s="65">
        <f>AB75/(AB73+AB74+AB75+AB76)</f>
        <v>0.32036554722486194</v>
      </c>
      <c r="AC82" s="53"/>
      <c r="AD82" s="65">
        <f>AD75/(AD73+AD74+AD75+AD76)</f>
        <v>0.89006177639363004</v>
      </c>
      <c r="AE82" s="53"/>
      <c r="AF82" s="9"/>
      <c r="AG82" s="9"/>
      <c r="AH82" s="9"/>
      <c r="AI82" s="9"/>
      <c r="AJ82" s="10"/>
      <c r="AK82" s="9">
        <v>6</v>
      </c>
    </row>
    <row r="83" spans="1:37" s="11" customFormat="1" ht="15.95" customHeight="1" x14ac:dyDescent="0.2">
      <c r="A83" s="7" t="s">
        <v>69</v>
      </c>
      <c r="B83" s="31">
        <f>B76/(B73+B75+B76)</f>
        <v>6.2255464169219004E-4</v>
      </c>
      <c r="C83" s="47"/>
      <c r="D83" s="31">
        <f>D76/(D73+D74+D75+D76)</f>
        <v>2.8091076704443354E-5</v>
      </c>
      <c r="E83" s="47"/>
      <c r="F83" s="31">
        <f>F76/(F73+F74+F75+F76)</f>
        <v>3.7104554594023629E-4</v>
      </c>
      <c r="G83" s="47"/>
      <c r="H83" s="31">
        <f>H76/(H73+H74+H75+H76)</f>
        <v>5.8145622104047618E-5</v>
      </c>
      <c r="I83" s="47"/>
      <c r="J83" s="31">
        <f>J76/(J73+J74+J75+J76)</f>
        <v>0</v>
      </c>
      <c r="K83" s="47"/>
      <c r="L83" s="31">
        <f>L76/(L73+L74+L75+L76)</f>
        <v>4.0861031388335352E-5</v>
      </c>
      <c r="M83" s="47"/>
      <c r="N83" s="31">
        <f>N76/(N73+N74+N75+N76)</f>
        <v>0</v>
      </c>
      <c r="O83" s="47"/>
      <c r="P83" s="47"/>
      <c r="Q83" s="7" t="s">
        <v>69</v>
      </c>
      <c r="R83" s="31">
        <f>R76/(R73+R74+R75+R76)</f>
        <v>0.2265038572210846</v>
      </c>
      <c r="S83" s="47"/>
      <c r="T83" s="31">
        <f>T76/(T73+T74+T75+T76)</f>
        <v>0.16680939200406644</v>
      </c>
      <c r="U83" s="47"/>
      <c r="V83" s="31">
        <f>V76/(V73+V74+V75+V76)</f>
        <v>0.31090988187235657</v>
      </c>
      <c r="W83" s="47"/>
      <c r="X83" s="31">
        <f>X76/(X73+X74+X75+X76)</f>
        <v>1.2084171500770421E-2</v>
      </c>
      <c r="Y83" s="47"/>
      <c r="Z83" s="31">
        <f>Z76/(Z73+Z74+Z75+Z76)</f>
        <v>0.42405593133005276</v>
      </c>
      <c r="AA83" s="47"/>
      <c r="AB83" s="31">
        <f>AB76/(AB73+AB74+AB75+AB76)</f>
        <v>0.40922796509374509</v>
      </c>
      <c r="AC83" s="47"/>
      <c r="AD83" s="31">
        <f>AD76/(AD73+AD74+AD75+AD76)</f>
        <v>4.3903031349575685E-3</v>
      </c>
      <c r="AE83" s="47"/>
      <c r="AF83" s="9"/>
      <c r="AG83" s="9"/>
      <c r="AH83" s="9"/>
      <c r="AI83" s="9"/>
      <c r="AJ83" s="10"/>
      <c r="AK83" s="9"/>
    </row>
    <row r="84" spans="1:37" s="11" customFormat="1" ht="15.95" customHeight="1" thickBot="1" x14ac:dyDescent="0.25">
      <c r="A84" s="12" t="s">
        <v>70</v>
      </c>
      <c r="B84" s="34">
        <f>((2*(B73+B75+B76))+B77-B71)/(B69+B71)</f>
        <v>1.9359094404046575</v>
      </c>
      <c r="C84" s="48"/>
      <c r="D84" s="34">
        <f>((2*(D73+D74+D75+D76))+D77+D78-D71-D72)/(D69+D70+D71+D72)</f>
        <v>2.0753230936202787</v>
      </c>
      <c r="E84" s="48"/>
      <c r="F84" s="34">
        <f>((2*(F73+F74+F75+F76))+F77+F78-F71-F72)/(F69+F70+F71+F72)</f>
        <v>2.0530662140877802</v>
      </c>
      <c r="G84" s="48"/>
      <c r="H84" s="34">
        <f>((2*(H73+H74+H75+H76))+H77+H78-H71-H72)/(H69+H70+H71+H72)</f>
        <v>1.9504387269714447</v>
      </c>
      <c r="I84" s="48"/>
      <c r="J84" s="34">
        <f>((2*(J73+J74+J75+J76))+J77+J78-J71-J72)/(J69+J70+J71+J72)</f>
        <v>2.1722894996254127</v>
      </c>
      <c r="K84" s="48"/>
      <c r="L84" s="34">
        <f>((2*(L73+L74+L75+L76))+L77+L78-L71-L72)/(L69+L70+L71+L72)</f>
        <v>1.9754396384322026</v>
      </c>
      <c r="M84" s="48"/>
      <c r="N84" s="34">
        <f>((2*(N73+N74+N75+N76))+N77+N78-N71-N72)/(N69+N70+N71+N72)</f>
        <v>3.5995159831734506E-2</v>
      </c>
      <c r="O84" s="48"/>
      <c r="P84" s="47"/>
      <c r="Q84" s="12" t="s">
        <v>70</v>
      </c>
      <c r="R84" s="34">
        <f>((2*(R73+R74+R75+R76))+R77+R78-R71-R72)/(R69+R70+R71+R72)</f>
        <v>1.2506931351618764</v>
      </c>
      <c r="S84" s="48"/>
      <c r="T84" s="34">
        <f>((2*(T73+T74+T75+T76))+T77+T78-T71-T72)/(T69+T70+T71+T72)</f>
        <v>1.4123485321565135</v>
      </c>
      <c r="U84" s="48"/>
      <c r="V84" s="34">
        <f>((2*(V73+V74+V75+V76))+V77+V78-V71-V72)/(V69+V70+V71+V72)</f>
        <v>1.2261528395979919</v>
      </c>
      <c r="W84" s="48"/>
      <c r="X84" s="34">
        <f>((2*(X73+X74+X75+X76))+X77+X78-X71-X72)/(X69+X70+X71+X72)</f>
        <v>2.9350597102040461</v>
      </c>
      <c r="Y84" s="48"/>
      <c r="Z84" s="34">
        <f>((2*(Z73+Z74+Z75+Z76))+Z77+Z78-Z71-Z72)/(Z69+Z70+Z71+Z72)</f>
        <v>0.71748694879763786</v>
      </c>
      <c r="AA84" s="48"/>
      <c r="AB84" s="34">
        <f>((2*(AB73+AB74+AB75+AB76))+AB77+AB78-AB71-AB72)/(AB69+AB70+AB71+AB72)</f>
        <v>1.0062107154911499</v>
      </c>
      <c r="AC84" s="48"/>
      <c r="AD84" s="34">
        <f>((2*(AD73+AD74+AD75+AD76))+AD77+AD78-AD71-AD72)/(AD69+AD70+AD71+AD72)</f>
        <v>3.8760150911534108</v>
      </c>
      <c r="AE84" s="48"/>
      <c r="AF84" s="9"/>
      <c r="AG84" s="9"/>
      <c r="AH84" s="9"/>
      <c r="AI84" s="9"/>
      <c r="AJ84" s="10"/>
      <c r="AK84" s="9">
        <f t="shared" ref="AK84" si="158">SUM(AK72:AK82)</f>
        <v>11.945299318046592</v>
      </c>
    </row>
    <row r="85" spans="1:37" x14ac:dyDescent="0.2">
      <c r="Q85"/>
      <c r="V85" s="1"/>
      <c r="W85" s="41"/>
      <c r="X85" s="1"/>
      <c r="AA85" s="41"/>
      <c r="AB85" s="1"/>
      <c r="AC85" s="41"/>
      <c r="AD85" s="1"/>
      <c r="AE85" s="41"/>
      <c r="AI85" s="1"/>
      <c r="AK85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FEDCD-857E-3449-8029-AF328CA0534E}">
  <dimension ref="A1:A4"/>
  <sheetViews>
    <sheetView workbookViewId="0">
      <selection activeCell="A5" sqref="A5"/>
    </sheetView>
  </sheetViews>
  <sheetFormatPr defaultColWidth="11.5546875" defaultRowHeight="15" x14ac:dyDescent="0.2"/>
  <sheetData>
    <row r="1" spans="1:1" x14ac:dyDescent="0.2">
      <c r="A1" t="s">
        <v>74</v>
      </c>
    </row>
    <row r="2" spans="1:1" x14ac:dyDescent="0.2">
      <c r="A2" t="s">
        <v>76</v>
      </c>
    </row>
    <row r="3" spans="1:1" x14ac:dyDescent="0.2">
      <c r="A3" t="s">
        <v>77</v>
      </c>
    </row>
    <row r="4" spans="1:1" x14ac:dyDescent="0.2">
      <c r="A4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3364C-220E-48BF-9AE9-749FA673FFF1}">
  <dimension ref="A1"/>
  <sheetViews>
    <sheetView workbookViewId="0">
      <selection activeCell="A2" sqref="A2"/>
    </sheetView>
  </sheetViews>
  <sheetFormatPr defaultRowHeight="15" x14ac:dyDescent="0.2"/>
  <sheetData>
    <row r="1" spans="1:1" x14ac:dyDescent="0.2">
      <c r="A1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Whittington &amp; Sehlke supp data</vt:lpstr>
      <vt:lpstr>Analytical conditions</vt:lpstr>
      <vt:lpstr>G49148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Sehlke</dc:creator>
  <cp:lastModifiedBy>Jennifer Olivarez</cp:lastModifiedBy>
  <dcterms:created xsi:type="dcterms:W3CDTF">2016-02-17T19:05:13Z</dcterms:created>
  <dcterms:modified xsi:type="dcterms:W3CDTF">2021-07-29T19:55:45Z</dcterms:modified>
</cp:coreProperties>
</file>