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810" windowWidth="24615" windowHeight="11265"/>
  </bookViews>
  <sheets>
    <sheet name="Table DR3" sheetId="1" r:id="rId1"/>
  </sheets>
  <calcPr calcId="145621"/>
</workbook>
</file>

<file path=xl/calcChain.xml><?xml version="1.0" encoding="utf-8"?>
<calcChain xmlns="http://schemas.openxmlformats.org/spreadsheetml/2006/main">
  <c r="AC7" i="1" l="1"/>
  <c r="V7" i="1"/>
  <c r="O49" i="1" l="1"/>
  <c r="L47" i="1"/>
  <c r="M48" i="1"/>
  <c r="P33" i="1" l="1"/>
  <c r="O38" i="1" l="1"/>
  <c r="O27" i="1"/>
  <c r="O31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V8" i="1" l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O52" i="1"/>
  <c r="P52" i="1" s="1"/>
  <c r="O51" i="1"/>
  <c r="P51" i="1" s="1"/>
  <c r="O50" i="1"/>
  <c r="P50" i="1" s="1"/>
  <c r="P49" i="1"/>
  <c r="O48" i="1"/>
  <c r="O47" i="1"/>
  <c r="P47" i="1" s="1"/>
  <c r="O46" i="1"/>
  <c r="P46" i="1" s="1"/>
  <c r="O45" i="1"/>
  <c r="P45" i="1" s="1"/>
  <c r="O44" i="1"/>
  <c r="P44" i="1" s="1"/>
  <c r="O43" i="1"/>
  <c r="P43" i="1" s="1"/>
  <c r="O42" i="1"/>
  <c r="P42" i="1" s="1"/>
  <c r="O41" i="1"/>
  <c r="P41" i="1" s="1"/>
  <c r="O40" i="1"/>
  <c r="P40" i="1" s="1"/>
  <c r="O39" i="1"/>
  <c r="P39" i="1" s="1"/>
  <c r="P38" i="1"/>
  <c r="O37" i="1"/>
  <c r="P37" i="1" s="1"/>
  <c r="O36" i="1"/>
  <c r="P36" i="1" s="1"/>
  <c r="O35" i="1"/>
  <c r="P35" i="1" s="1"/>
  <c r="O34" i="1"/>
  <c r="P34" i="1" s="1"/>
  <c r="O32" i="1"/>
  <c r="P32" i="1" s="1"/>
  <c r="P31" i="1"/>
  <c r="O30" i="1"/>
  <c r="P30" i="1" s="1"/>
  <c r="O29" i="1"/>
  <c r="P29" i="1" s="1"/>
  <c r="O28" i="1"/>
  <c r="P28" i="1" s="1"/>
  <c r="P27" i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P19" i="1"/>
  <c r="P48" i="1"/>
  <c r="O9" i="1"/>
  <c r="P9" i="1" s="1"/>
  <c r="O7" i="1"/>
  <c r="O8" i="1"/>
  <c r="P8" i="1" s="1"/>
  <c r="P7" i="1"/>
  <c r="K7" i="1"/>
  <c r="N7" i="1"/>
  <c r="K8" i="1"/>
  <c r="L8" i="1"/>
  <c r="M8" i="1"/>
  <c r="N8" i="1"/>
  <c r="K9" i="1"/>
  <c r="L9" i="1"/>
  <c r="M9" i="1"/>
  <c r="N9" i="1"/>
  <c r="K10" i="1"/>
  <c r="N10" i="1"/>
  <c r="K11" i="1"/>
  <c r="M11" i="1"/>
  <c r="N11" i="1"/>
  <c r="K12" i="1"/>
  <c r="N12" i="1"/>
  <c r="K13" i="1"/>
  <c r="M13" i="1"/>
  <c r="N13" i="1"/>
  <c r="K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M21" i="1"/>
  <c r="N21" i="1"/>
  <c r="K22" i="1"/>
  <c r="L22" i="1"/>
  <c r="M22" i="1"/>
  <c r="N22" i="1"/>
  <c r="K23" i="1"/>
  <c r="L23" i="1"/>
  <c r="M23" i="1"/>
  <c r="N23" i="1"/>
  <c r="K24" i="1"/>
  <c r="M24" i="1"/>
  <c r="N24" i="1"/>
  <c r="K25" i="1"/>
  <c r="L25" i="1"/>
  <c r="M25" i="1"/>
  <c r="N25" i="1"/>
  <c r="K26" i="1"/>
  <c r="M26" i="1"/>
  <c r="N26" i="1"/>
  <c r="K27" i="1"/>
  <c r="L27" i="1"/>
  <c r="M27" i="1"/>
  <c r="N27" i="1"/>
  <c r="K28" i="1"/>
  <c r="M28" i="1"/>
  <c r="N28" i="1"/>
  <c r="K29" i="1"/>
  <c r="L29" i="1"/>
  <c r="M29" i="1"/>
  <c r="N29" i="1"/>
  <c r="K30" i="1"/>
  <c r="L30" i="1"/>
  <c r="M30" i="1"/>
  <c r="N30" i="1"/>
  <c r="K31" i="1"/>
  <c r="M31" i="1"/>
  <c r="N31" i="1"/>
  <c r="K32" i="1"/>
  <c r="M32" i="1"/>
  <c r="N32" i="1"/>
  <c r="K33" i="1"/>
  <c r="K34" i="1"/>
  <c r="L34" i="1"/>
  <c r="M34" i="1"/>
  <c r="N34" i="1"/>
  <c r="K35" i="1"/>
  <c r="L35" i="1"/>
  <c r="M35" i="1"/>
  <c r="N35" i="1"/>
  <c r="K36" i="1"/>
  <c r="M36" i="1"/>
  <c r="N36" i="1"/>
  <c r="K37" i="1"/>
  <c r="M37" i="1"/>
  <c r="N37" i="1"/>
  <c r="K38" i="1"/>
  <c r="M38" i="1"/>
  <c r="N38" i="1"/>
  <c r="K39" i="1"/>
  <c r="M39" i="1"/>
  <c r="N39" i="1"/>
  <c r="K40" i="1"/>
  <c r="L40" i="1"/>
  <c r="M40" i="1"/>
  <c r="N40" i="1"/>
  <c r="K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M47" i="1"/>
  <c r="N47" i="1"/>
  <c r="K48" i="1"/>
  <c r="N48" i="1"/>
  <c r="K49" i="1"/>
  <c r="N49" i="1"/>
  <c r="K50" i="1"/>
  <c r="M50" i="1"/>
  <c r="N50" i="1"/>
  <c r="K51" i="1"/>
  <c r="M51" i="1"/>
  <c r="N51" i="1"/>
  <c r="K52" i="1"/>
  <c r="L52" i="1"/>
  <c r="M52" i="1"/>
  <c r="N52" i="1"/>
  <c r="L6" i="1"/>
  <c r="M6" i="1"/>
  <c r="N6" i="1"/>
  <c r="K6" i="1"/>
</calcChain>
</file>

<file path=xl/sharedStrings.xml><?xml version="1.0" encoding="utf-8"?>
<sst xmlns="http://schemas.openxmlformats.org/spreadsheetml/2006/main" count="387" uniqueCount="58">
  <si>
    <t>sample</t>
  </si>
  <si>
    <t>shape</t>
  </si>
  <si>
    <t>color</t>
  </si>
  <si>
    <t>-</t>
  </si>
  <si>
    <t>colorless</t>
  </si>
  <si>
    <t>spheroidal</t>
  </si>
  <si>
    <t>n.a.</t>
  </si>
  <si>
    <t>spherical</t>
  </si>
  <si>
    <t>bimineralic</t>
  </si>
  <si>
    <t>angular</t>
  </si>
  <si>
    <t>exposed at the rim</t>
  </si>
  <si>
    <t>Ne-reference</t>
  </si>
  <si>
    <t>JS-Erz-13s</t>
  </si>
  <si>
    <t>JS-Erz-3s</t>
  </si>
  <si>
    <t>JS-Erz-5s</t>
  </si>
  <si>
    <t>JS-Erz-8s</t>
  </si>
  <si>
    <t>JS-Erz-14s</t>
  </si>
  <si>
    <t>measured</t>
  </si>
  <si>
    <t>calculated</t>
  </si>
  <si>
    <t>Laser power
[%]</t>
  </si>
  <si>
    <t>remarks</t>
  </si>
  <si>
    <t>connected with coesite number 3</t>
  </si>
  <si>
    <t>connected with coesite number 2</t>
  </si>
  <si>
    <t>fracture, but no connection to surface</t>
  </si>
  <si>
    <t>fractures</t>
  </si>
  <si>
    <t>exposed</t>
  </si>
  <si>
    <t>exposed at the surface</t>
  </si>
  <si>
    <t>exposed at the lower surface</t>
  </si>
  <si>
    <t>enclosed</t>
  </si>
  <si>
    <t>monomineralic</t>
  </si>
  <si>
    <t>grain number</t>
  </si>
  <si>
    <t>coesite number</t>
  </si>
  <si>
    <t>long
axis
[µm]</t>
  </si>
  <si>
    <t>short axis
[µm]</t>
  </si>
  <si>
    <t>angular, rounded</t>
  </si>
  <si>
    <t>inclusion characteristics</t>
  </si>
  <si>
    <t>healed fractures, no connection to surface</t>
  </si>
  <si>
    <t>closest
distance
to surface
[µm]</t>
  </si>
  <si>
    <t>inclusion
location
in host</t>
  </si>
  <si>
    <t>inclusion
type</t>
  </si>
  <si>
    <t>closest distance
to surface/
radius of the short axis</t>
  </si>
  <si>
    <t>accumu-lation
time
[s]</t>
  </si>
  <si>
    <t>Laser power
[mW]</t>
  </si>
  <si>
    <t>conditions</t>
  </si>
  <si>
    <r>
      <t>Ne #1
[cm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</si>
  <si>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r>
      <t>Ne #2
[cm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</si>
  <si>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r>
      <t>Ne #3
[cm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</si>
  <si>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r>
      <t>Ne #4
[cm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</si>
  <si>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r>
      <t>ΔNe #1
[cm</t>
    </r>
    <r>
      <rPr>
        <b/>
        <vertAlign val="superscript"/>
        <sz val="11"/>
        <color indexed="8"/>
        <rFont val="Calibri"/>
        <family val="2"/>
        <scheme val="minor"/>
      </rPr>
      <t>-1</t>
    </r>
    <r>
      <rPr>
        <b/>
        <sz val="11"/>
        <color indexed="8"/>
        <rFont val="Calibri"/>
        <family val="2"/>
        <scheme val="minor"/>
      </rPr>
      <t>]</t>
    </r>
  </si>
  <si>
    <r>
      <t>ΔNe #2
[cm</t>
    </r>
    <r>
      <rPr>
        <b/>
        <vertAlign val="superscript"/>
        <sz val="11"/>
        <color indexed="8"/>
        <rFont val="Calibri"/>
        <family val="2"/>
        <scheme val="minor"/>
      </rPr>
      <t>-1</t>
    </r>
    <r>
      <rPr>
        <b/>
        <sz val="11"/>
        <color indexed="8"/>
        <rFont val="Calibri"/>
        <family val="2"/>
        <scheme val="minor"/>
      </rPr>
      <t>]</t>
    </r>
  </si>
  <si>
    <r>
      <t>ΔNe #3
[cm</t>
    </r>
    <r>
      <rPr>
        <b/>
        <vertAlign val="superscript"/>
        <sz val="11"/>
        <color indexed="8"/>
        <rFont val="Calibri"/>
        <family val="2"/>
        <scheme val="minor"/>
      </rPr>
      <t>-1</t>
    </r>
    <r>
      <rPr>
        <b/>
        <sz val="11"/>
        <color indexed="8"/>
        <rFont val="Calibri"/>
        <family val="2"/>
        <scheme val="minor"/>
      </rPr>
      <t>]</t>
    </r>
  </si>
  <si>
    <r>
      <t>ΔNe #4
[cm</t>
    </r>
    <r>
      <rPr>
        <b/>
        <vertAlign val="superscript"/>
        <sz val="11"/>
        <color indexed="8"/>
        <rFont val="Calibri"/>
        <family val="2"/>
        <scheme val="minor"/>
      </rPr>
      <t>-1</t>
    </r>
    <r>
      <rPr>
        <b/>
        <sz val="11"/>
        <color indexed="8"/>
        <rFont val="Calibri"/>
        <family val="2"/>
        <scheme val="minor"/>
      </rPr>
      <t>]</t>
    </r>
  </si>
  <si>
    <r>
      <t>Δ at coesite
main band 
position
[cm</t>
    </r>
    <r>
      <rPr>
        <b/>
        <vertAlign val="superscript"/>
        <sz val="11"/>
        <color indexed="8"/>
        <rFont val="Calibri"/>
        <family val="2"/>
        <scheme val="minor"/>
      </rPr>
      <t>-1</t>
    </r>
    <r>
      <rPr>
        <b/>
        <sz val="11"/>
        <color indexed="8"/>
        <rFont val="Calibri"/>
        <family val="2"/>
        <scheme val="minor"/>
      </rPr>
      <t>]</t>
    </r>
  </si>
  <si>
    <r>
      <t>coesite
main band
[cm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</si>
  <si>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r>
      <t>grating
[li mm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</si>
  <si>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r>
      <t>coesite
main band [cm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</si>
  <si>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t>TABLE DR3. COESITE INCLUSIONS</t>
  </si>
  <si>
    <t>garnet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</si>
</sst>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>
    <font>
      <sz val="11"/>
      <color theme="1"/>
      <name val="Liberation San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sz val="10"/>
      <color rgb="FF996600"/>
      <name val="Liberation Sans"/>
    </font>
    <font>
      <sz val="11"/>
      <color theme="1"/>
      <name val="Liberation Sans"/>
    </font>
    <font>
      <sz val="10"/>
      <color rgb="FF333333"/>
      <name val="Liberation Sans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7">
    <xf numFmtId="0" fontId="0" fillId="0" borderId="0"/>
    <xf numFmtId="0" fontId="4" fillId="0" borderId="0"/>
    <xf numFmtId="0" fontId="5" fillId="2" borderId="0"/>
    <xf numFmtId="0" fontId="5" fillId="3" borderId="0"/>
    <xf numFmtId="0" fontId="4" fillId="4" borderId="0"/>
    <xf numFmtId="0" fontId="6" fillId="5" borderId="0"/>
    <xf numFmtId="0" fontId="7" fillId="6" borderId="0"/>
    <xf numFmtId="0" fontId="8" fillId="0" borderId="0"/>
    <xf numFmtId="0" fontId="9" fillId="7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5" fillId="8" borderId="1"/>
    <xf numFmtId="0" fontId="14" fillId="0" borderId="0"/>
    <xf numFmtId="0" fontId="14" fillId="0" borderId="0"/>
    <xf numFmtId="0" fontId="6" fillId="0" borderId="0"/>
  </cellStyleXfs>
  <cellXfs count="68">
    <xf numFmtId="0" fontId="0" fillId="0" borderId="0" xfId="0"/>
    <xf numFmtId="0" fontId="0" fillId="0" borderId="0" xfId="0" applyFill="1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16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18" fillId="0" borderId="7" xfId="0" applyNumberFormat="1" applyFont="1" applyBorder="1" applyAlignment="1">
      <alignment horizontal="center" vertical="center"/>
    </xf>
    <xf numFmtId="165" fontId="16" fillId="0" borderId="7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18" fillId="0" borderId="7" xfId="0" applyNumberFormat="1" applyFont="1" applyFill="1" applyBorder="1" applyAlignment="1">
      <alignment horizontal="center" vertical="center"/>
    </xf>
    <xf numFmtId="165" fontId="16" fillId="0" borderId="7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5" fontId="16" fillId="0" borderId="10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</cellXfs>
  <cellStyles count="17">
    <cellStyle name="Accent" xfId="1"/>
    <cellStyle name="Accent 1" xfId="2"/>
    <cellStyle name="Accent 2" xfId="3"/>
    <cellStyle name="Accent 3" xfId="4"/>
    <cellStyle name="Bad" xfId="5" builtinId="27" customBuiltin="1"/>
    <cellStyle name="Error" xfId="6"/>
    <cellStyle name="Footnote" xfId="7"/>
    <cellStyle name="Good" xfId="8" builtinId="26" customBuiltin="1"/>
    <cellStyle name="Heading" xfId="9"/>
    <cellStyle name="Heading 1" xfId="10" builtinId="16" customBuiltin="1"/>
    <cellStyle name="Heading 2" xfId="11" builtinId="17" customBuiltin="1"/>
    <cellStyle name="Neutral" xfId="12" builtinId="28" customBuiltin="1"/>
    <cellStyle name="Normal" xfId="0" builtinId="0" customBuiltin="1"/>
    <cellStyle name="Note" xfId="13" builtinId="10" customBuiltin="1"/>
    <cellStyle name="Status" xfId="14"/>
    <cellStyle name="Text" xfId="15"/>
    <cellStyle name="Warning" xfId="16"/>
  </cellStyles>
  <dxfs count="0"/>
  <tableStyles count="0" defaultTableStyle="TableStyleMedium2" defaultPivotStyle="PivotStyleLight16"/>
  <colors>
    <mruColors>
      <color rgb="FFF9FFC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54"/>
  <sheetViews>
    <sheetView tabSelected="1" workbookViewId="0">
      <selection activeCell="S5" sqref="S5"/>
    </sheetView>
  </sheetViews>
  <sheetFormatPr defaultRowHeight="14.25"/>
  <cols>
    <col min="2" max="2" width="11.625" customWidth="1"/>
    <col min="3" max="5" width="7.625" customWidth="1"/>
    <col min="6" max="14" width="9.125" customWidth="1"/>
    <col min="15" max="15" width="10.625" customWidth="1"/>
    <col min="16" max="16" width="9.125" customWidth="1"/>
    <col min="17" max="18" width="6.625" customWidth="1"/>
    <col min="19" max="19" width="15.125" customWidth="1"/>
    <col min="20" max="20" width="10.625" customWidth="1"/>
    <col min="21" max="21" width="9.125" customWidth="1"/>
    <col min="22" max="22" width="11.375" customWidth="1"/>
    <col min="23" max="23" width="15.125" customWidth="1"/>
    <col min="24" max="24" width="10.625" customWidth="1"/>
    <col min="25" max="25" width="34.625" customWidth="1"/>
    <col min="26" max="29" width="9.125" customWidth="1"/>
  </cols>
  <sheetData>
    <row r="2" spans="2:29" ht="15.75" thickBot="1">
      <c r="B2" s="60" t="s">
        <v>56</v>
      </c>
      <c r="C2" s="60"/>
      <c r="D2" s="60"/>
      <c r="E2" s="60"/>
    </row>
    <row r="3" spans="2:29" ht="16.5" thickTop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2:29" ht="15.75" thickBot="1">
      <c r="B4" s="61" t="s">
        <v>0</v>
      </c>
      <c r="C4" s="61" t="s">
        <v>30</v>
      </c>
      <c r="D4" s="66" t="s">
        <v>57</v>
      </c>
      <c r="E4" s="61" t="s">
        <v>31</v>
      </c>
      <c r="F4" s="65" t="s">
        <v>17</v>
      </c>
      <c r="G4" s="63"/>
      <c r="H4" s="63"/>
      <c r="I4" s="63"/>
      <c r="J4" s="64"/>
      <c r="K4" s="63" t="s">
        <v>18</v>
      </c>
      <c r="L4" s="63"/>
      <c r="M4" s="63"/>
      <c r="N4" s="63"/>
      <c r="O4" s="63"/>
      <c r="P4" s="63"/>
      <c r="Q4" s="62" t="s">
        <v>35</v>
      </c>
      <c r="R4" s="62"/>
      <c r="S4" s="62"/>
      <c r="T4" s="62"/>
      <c r="U4" s="62"/>
      <c r="V4" s="62"/>
      <c r="W4" s="62"/>
      <c r="X4" s="62"/>
      <c r="Y4" s="62"/>
      <c r="Z4" s="62" t="s">
        <v>43</v>
      </c>
      <c r="AA4" s="62"/>
      <c r="AB4" s="62"/>
      <c r="AC4" s="62"/>
    </row>
    <row r="5" spans="2:29" ht="90.75" customHeight="1" thickBot="1">
      <c r="B5" s="61"/>
      <c r="C5" s="61"/>
      <c r="D5" s="67"/>
      <c r="E5" s="61"/>
      <c r="F5" s="6" t="s">
        <v>44</v>
      </c>
      <c r="G5" s="6" t="s">
        <v>45</v>
      </c>
      <c r="H5" s="6" t="s">
        <v>46</v>
      </c>
      <c r="I5" s="6" t="s">
        <v>47</v>
      </c>
      <c r="J5" s="6" t="s">
        <v>55</v>
      </c>
      <c r="K5" s="7" t="s">
        <v>48</v>
      </c>
      <c r="L5" s="7" t="s">
        <v>49</v>
      </c>
      <c r="M5" s="7" t="s">
        <v>50</v>
      </c>
      <c r="N5" s="7" t="s">
        <v>51</v>
      </c>
      <c r="O5" s="7" t="s">
        <v>52</v>
      </c>
      <c r="P5" s="6" t="s">
        <v>53</v>
      </c>
      <c r="Q5" s="6" t="s">
        <v>32</v>
      </c>
      <c r="R5" s="6" t="s">
        <v>33</v>
      </c>
      <c r="S5" s="6" t="s">
        <v>39</v>
      </c>
      <c r="T5" s="6" t="s">
        <v>38</v>
      </c>
      <c r="U5" s="6" t="s">
        <v>37</v>
      </c>
      <c r="V5" s="6" t="s">
        <v>40</v>
      </c>
      <c r="W5" s="6" t="s">
        <v>1</v>
      </c>
      <c r="X5" s="6" t="s">
        <v>2</v>
      </c>
      <c r="Y5" s="6" t="s">
        <v>20</v>
      </c>
      <c r="Z5" s="6" t="s">
        <v>54</v>
      </c>
      <c r="AA5" s="6" t="s">
        <v>41</v>
      </c>
      <c r="AB5" s="6" t="s">
        <v>19</v>
      </c>
      <c r="AC5" s="6" t="s">
        <v>42</v>
      </c>
    </row>
    <row r="6" spans="2:29" ht="15">
      <c r="B6" s="8" t="s">
        <v>11</v>
      </c>
      <c r="C6" s="9" t="s">
        <v>3</v>
      </c>
      <c r="D6" s="59" t="s">
        <v>3</v>
      </c>
      <c r="E6" s="41" t="s">
        <v>3</v>
      </c>
      <c r="F6" s="37">
        <v>273.33649113166001</v>
      </c>
      <c r="G6" s="10">
        <v>314.68355139676697</v>
      </c>
      <c r="H6" s="10">
        <v>386.092900281288</v>
      </c>
      <c r="I6" s="10">
        <v>813.26274199275599</v>
      </c>
      <c r="J6" s="45" t="s">
        <v>3</v>
      </c>
      <c r="K6" s="37">
        <f>F6-F$6</f>
        <v>0</v>
      </c>
      <c r="L6" s="10">
        <f t="shared" ref="L6:N6" si="0">G6-G$6</f>
        <v>0</v>
      </c>
      <c r="M6" s="10">
        <f t="shared" si="0"/>
        <v>0</v>
      </c>
      <c r="N6" s="10">
        <f t="shared" si="0"/>
        <v>0</v>
      </c>
      <c r="O6" s="10" t="s">
        <v>3</v>
      </c>
      <c r="P6" s="11" t="s">
        <v>3</v>
      </c>
      <c r="Q6" s="8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  <c r="Y6" s="12" t="s">
        <v>3</v>
      </c>
      <c r="Z6" s="36" t="s">
        <v>3</v>
      </c>
      <c r="AA6" s="9" t="s">
        <v>3</v>
      </c>
      <c r="AB6" s="9" t="s">
        <v>3</v>
      </c>
      <c r="AC6" s="12" t="s">
        <v>3</v>
      </c>
    </row>
    <row r="7" spans="2:29" ht="15">
      <c r="B7" s="13" t="s">
        <v>13</v>
      </c>
      <c r="C7" s="14">
        <v>16</v>
      </c>
      <c r="D7" s="42">
        <v>14</v>
      </c>
      <c r="E7" s="42">
        <v>1</v>
      </c>
      <c r="F7" s="38">
        <v>274.57799999999997</v>
      </c>
      <c r="G7" s="15" t="s">
        <v>6</v>
      </c>
      <c r="H7" s="15">
        <v>385.81</v>
      </c>
      <c r="I7" s="15">
        <v>814.26099999999997</v>
      </c>
      <c r="J7" s="46">
        <v>523.875</v>
      </c>
      <c r="K7" s="38">
        <f t="shared" ref="K7:K52" si="1">F7-F$6</f>
        <v>1.2415088683399631</v>
      </c>
      <c r="L7" s="15" t="s">
        <v>6</v>
      </c>
      <c r="M7" s="15" t="s">
        <v>6</v>
      </c>
      <c r="N7" s="15">
        <f t="shared" ref="N7:N52" si="2">I7-I$6</f>
        <v>0.99825800724397595</v>
      </c>
      <c r="O7" s="16">
        <f>-0.0004505261*J7 + 1.3646540881</f>
        <v>1.1286347274624999</v>
      </c>
      <c r="P7" s="17">
        <f>J7-O7</f>
        <v>522.74636527253745</v>
      </c>
      <c r="Q7" s="52">
        <v>7</v>
      </c>
      <c r="R7" s="19">
        <v>6</v>
      </c>
      <c r="S7" s="14" t="s">
        <v>29</v>
      </c>
      <c r="T7" s="18" t="s">
        <v>28</v>
      </c>
      <c r="U7" s="19">
        <v>3</v>
      </c>
      <c r="V7" s="19">
        <f>U7/(R7/2)</f>
        <v>1</v>
      </c>
      <c r="W7" s="14" t="s">
        <v>34</v>
      </c>
      <c r="X7" s="14" t="s">
        <v>4</v>
      </c>
      <c r="Y7" s="53" t="s">
        <v>3</v>
      </c>
      <c r="Z7" s="49">
        <v>2400</v>
      </c>
      <c r="AA7" s="14">
        <v>900</v>
      </c>
      <c r="AB7" s="19">
        <v>0.1</v>
      </c>
      <c r="AC7" s="20">
        <f>44*(AB7/100)</f>
        <v>4.3999999999999997E-2</v>
      </c>
    </row>
    <row r="8" spans="2:29" ht="15">
      <c r="B8" s="13" t="s">
        <v>13</v>
      </c>
      <c r="C8" s="14">
        <v>16</v>
      </c>
      <c r="D8" s="42">
        <v>14</v>
      </c>
      <c r="E8" s="42">
        <v>2</v>
      </c>
      <c r="F8" s="38">
        <v>274.41399999999999</v>
      </c>
      <c r="G8" s="15">
        <v>314.27600000000001</v>
      </c>
      <c r="H8" s="15">
        <v>386.94200000000001</v>
      </c>
      <c r="I8" s="15">
        <v>813.52300000000002</v>
      </c>
      <c r="J8" s="46">
        <v>523.88</v>
      </c>
      <c r="K8" s="38">
        <f t="shared" si="1"/>
        <v>1.0775088683399758</v>
      </c>
      <c r="L8" s="15">
        <f t="shared" ref="L8:L52" si="3">G8-G$6</f>
        <v>-0.40755139676696217</v>
      </c>
      <c r="M8" s="15">
        <f t="shared" ref="M8:M52" si="4">H8-H$6</f>
        <v>0.84909971871201151</v>
      </c>
      <c r="N8" s="15">
        <f t="shared" si="2"/>
        <v>0.26025800724403325</v>
      </c>
      <c r="O8" s="15">
        <f>0.0000005897*J8^2 - 0.0011401162*J8 + 0.8091921553</f>
        <v>0.37375139546367997</v>
      </c>
      <c r="P8" s="17">
        <f>J8-O8</f>
        <v>523.50624860453627</v>
      </c>
      <c r="Q8" s="52">
        <v>12.5</v>
      </c>
      <c r="R8" s="19">
        <v>9</v>
      </c>
      <c r="S8" s="14" t="s">
        <v>29</v>
      </c>
      <c r="T8" s="18" t="s">
        <v>28</v>
      </c>
      <c r="U8" s="19">
        <v>10</v>
      </c>
      <c r="V8" s="19">
        <f t="shared" ref="V8:V52" si="5">U8/(R8/2)</f>
        <v>2.2222222222222223</v>
      </c>
      <c r="W8" s="14" t="s">
        <v>5</v>
      </c>
      <c r="X8" s="14" t="s">
        <v>4</v>
      </c>
      <c r="Y8" s="53" t="s">
        <v>21</v>
      </c>
      <c r="Z8" s="49">
        <v>2400</v>
      </c>
      <c r="AA8" s="14">
        <v>900</v>
      </c>
      <c r="AB8" s="19">
        <v>0.1</v>
      </c>
      <c r="AC8" s="20">
        <f t="shared" ref="AC8:AC52" si="6">44*(AB8/100)</f>
        <v>4.3999999999999997E-2</v>
      </c>
    </row>
    <row r="9" spans="2:29" ht="15">
      <c r="B9" s="13" t="s">
        <v>13</v>
      </c>
      <c r="C9" s="14">
        <v>16</v>
      </c>
      <c r="D9" s="42">
        <v>14</v>
      </c>
      <c r="E9" s="42">
        <v>3</v>
      </c>
      <c r="F9" s="38">
        <v>274.291</v>
      </c>
      <c r="G9" s="15">
        <v>314.77</v>
      </c>
      <c r="H9" s="15">
        <v>386.35899999999998</v>
      </c>
      <c r="I9" s="15">
        <v>813.67899999999997</v>
      </c>
      <c r="J9" s="46">
        <v>523.50300000000004</v>
      </c>
      <c r="K9" s="38">
        <f t="shared" si="1"/>
        <v>0.95450886833998538</v>
      </c>
      <c r="L9" s="15">
        <f t="shared" si="3"/>
        <v>8.644860323300918E-2</v>
      </c>
      <c r="M9" s="15">
        <f t="shared" si="4"/>
        <v>0.26609971871198468</v>
      </c>
      <c r="N9" s="15">
        <f t="shared" si="2"/>
        <v>0.41625800724398232</v>
      </c>
      <c r="O9" s="15">
        <f>0.0000117058*J9^2 - 0.0132953247*J9 + 3.4915419194</f>
        <v>-0.26056285095094722</v>
      </c>
      <c r="P9" s="17">
        <f t="shared" ref="P9:P52" si="7">J9-O9</f>
        <v>523.76356285095096</v>
      </c>
      <c r="Q9" s="52">
        <v>7</v>
      </c>
      <c r="R9" s="19">
        <v>4.5</v>
      </c>
      <c r="S9" s="14" t="s">
        <v>29</v>
      </c>
      <c r="T9" s="18" t="s">
        <v>28</v>
      </c>
      <c r="U9" s="19">
        <v>16</v>
      </c>
      <c r="V9" s="19">
        <f t="shared" si="5"/>
        <v>7.1111111111111107</v>
      </c>
      <c r="W9" s="14" t="s">
        <v>5</v>
      </c>
      <c r="X9" s="14" t="s">
        <v>4</v>
      </c>
      <c r="Y9" s="53" t="s">
        <v>22</v>
      </c>
      <c r="Z9" s="49">
        <v>2400</v>
      </c>
      <c r="AA9" s="14">
        <v>900</v>
      </c>
      <c r="AB9" s="19">
        <v>1</v>
      </c>
      <c r="AC9" s="20">
        <f t="shared" si="6"/>
        <v>0.44</v>
      </c>
    </row>
    <row r="10" spans="2:29" ht="15">
      <c r="B10" s="13" t="s">
        <v>13</v>
      </c>
      <c r="C10" s="14">
        <v>16</v>
      </c>
      <c r="D10" s="42">
        <v>14</v>
      </c>
      <c r="E10" s="42">
        <v>4</v>
      </c>
      <c r="F10" s="38">
        <v>274.411</v>
      </c>
      <c r="G10" s="15" t="s">
        <v>6</v>
      </c>
      <c r="H10" s="15" t="s">
        <v>6</v>
      </c>
      <c r="I10" s="15">
        <v>813.86</v>
      </c>
      <c r="J10" s="46">
        <v>523.86099999999999</v>
      </c>
      <c r="K10" s="38">
        <f t="shared" si="1"/>
        <v>1.0745088683399899</v>
      </c>
      <c r="L10" s="15" t="s">
        <v>6</v>
      </c>
      <c r="M10" s="15" t="s">
        <v>6</v>
      </c>
      <c r="N10" s="15">
        <f t="shared" si="2"/>
        <v>0.59725800724402234</v>
      </c>
      <c r="O10" s="15">
        <f>-0.0008839186*J10 + 1.3161160796</f>
        <v>0.85306559788540004</v>
      </c>
      <c r="P10" s="17">
        <f t="shared" si="7"/>
        <v>523.00793440211464</v>
      </c>
      <c r="Q10" s="52">
        <v>3</v>
      </c>
      <c r="R10" s="19">
        <v>3</v>
      </c>
      <c r="S10" s="14" t="s">
        <v>29</v>
      </c>
      <c r="T10" s="18" t="s">
        <v>25</v>
      </c>
      <c r="U10" s="19">
        <v>1</v>
      </c>
      <c r="V10" s="19">
        <f t="shared" si="5"/>
        <v>0.66666666666666663</v>
      </c>
      <c r="W10" s="14" t="s">
        <v>7</v>
      </c>
      <c r="X10" s="14" t="s">
        <v>4</v>
      </c>
      <c r="Y10" s="58" t="s">
        <v>3</v>
      </c>
      <c r="Z10" s="49">
        <v>2400</v>
      </c>
      <c r="AA10" s="14">
        <v>900</v>
      </c>
      <c r="AB10" s="19">
        <v>1</v>
      </c>
      <c r="AC10" s="20">
        <f t="shared" si="6"/>
        <v>0.44</v>
      </c>
    </row>
    <row r="11" spans="2:29" ht="15">
      <c r="B11" s="13" t="s">
        <v>13</v>
      </c>
      <c r="C11" s="14">
        <v>20</v>
      </c>
      <c r="D11" s="42">
        <v>18</v>
      </c>
      <c r="E11" s="42">
        <v>5</v>
      </c>
      <c r="F11" s="38">
        <v>274.25200000000001</v>
      </c>
      <c r="G11" s="15" t="s">
        <v>6</v>
      </c>
      <c r="H11" s="15">
        <v>386.75599999999997</v>
      </c>
      <c r="I11" s="15">
        <v>813.52300000000002</v>
      </c>
      <c r="J11" s="46">
        <v>523.625</v>
      </c>
      <c r="K11" s="38">
        <f t="shared" si="1"/>
        <v>0.91550886833999812</v>
      </c>
      <c r="L11" s="15" t="s">
        <v>6</v>
      </c>
      <c r="M11" s="15">
        <f t="shared" si="4"/>
        <v>0.66309971871197604</v>
      </c>
      <c r="N11" s="15">
        <f t="shared" si="2"/>
        <v>0.26025800724403325</v>
      </c>
      <c r="O11" s="15">
        <f xml:space="preserve"> 0.0000023994*J11^2 - 0.0038207547*J11 + 1.7805962655</f>
        <v>0.43782861332812506</v>
      </c>
      <c r="P11" s="17">
        <f t="shared" si="7"/>
        <v>523.18717138667182</v>
      </c>
      <c r="Q11" s="52">
        <v>1.5</v>
      </c>
      <c r="R11" s="19">
        <v>1.5</v>
      </c>
      <c r="S11" s="14" t="s">
        <v>29</v>
      </c>
      <c r="T11" s="18" t="s">
        <v>28</v>
      </c>
      <c r="U11" s="19">
        <v>34</v>
      </c>
      <c r="V11" s="19">
        <f t="shared" si="5"/>
        <v>45.333333333333336</v>
      </c>
      <c r="W11" s="14" t="s">
        <v>7</v>
      </c>
      <c r="X11" s="14" t="s">
        <v>4</v>
      </c>
      <c r="Y11" s="53" t="s">
        <v>3</v>
      </c>
      <c r="Z11" s="49">
        <v>2400</v>
      </c>
      <c r="AA11" s="14">
        <v>1200</v>
      </c>
      <c r="AB11" s="19">
        <v>1</v>
      </c>
      <c r="AC11" s="20">
        <f t="shared" si="6"/>
        <v>0.44</v>
      </c>
    </row>
    <row r="12" spans="2:29" ht="15">
      <c r="B12" s="13" t="s">
        <v>13</v>
      </c>
      <c r="C12" s="14">
        <v>34</v>
      </c>
      <c r="D12" s="42">
        <v>29</v>
      </c>
      <c r="E12" s="42">
        <v>6</v>
      </c>
      <c r="F12" s="38">
        <v>274.50599999999997</v>
      </c>
      <c r="G12" s="15" t="s">
        <v>6</v>
      </c>
      <c r="H12" s="15" t="s">
        <v>6</v>
      </c>
      <c r="I12" s="15">
        <v>813.02499999999998</v>
      </c>
      <c r="J12" s="46">
        <v>524.13300000000004</v>
      </c>
      <c r="K12" s="38">
        <f t="shared" si="1"/>
        <v>1.1695088683399604</v>
      </c>
      <c r="L12" s="15" t="s">
        <v>6</v>
      </c>
      <c r="M12" s="15" t="s">
        <v>6</v>
      </c>
      <c r="N12" s="15">
        <f t="shared" si="2"/>
        <v>-0.23774199275601404</v>
      </c>
      <c r="O12" s="16">
        <f xml:space="preserve"> -0.0026063761*J12 + 1.8819265585</f>
        <v>0.5158388340786999</v>
      </c>
      <c r="P12" s="17">
        <f t="shared" si="7"/>
        <v>523.61716116592129</v>
      </c>
      <c r="Q12" s="52">
        <v>3.5</v>
      </c>
      <c r="R12" s="19">
        <v>3</v>
      </c>
      <c r="S12" s="14" t="s">
        <v>29</v>
      </c>
      <c r="T12" s="18" t="s">
        <v>28</v>
      </c>
      <c r="U12" s="19">
        <v>12</v>
      </c>
      <c r="V12" s="19">
        <f t="shared" si="5"/>
        <v>8</v>
      </c>
      <c r="W12" s="14" t="s">
        <v>5</v>
      </c>
      <c r="X12" s="14" t="s">
        <v>4</v>
      </c>
      <c r="Y12" s="53" t="s">
        <v>3</v>
      </c>
      <c r="Z12" s="49">
        <v>2400</v>
      </c>
      <c r="AA12" s="14">
        <v>1200</v>
      </c>
      <c r="AB12" s="19">
        <v>10</v>
      </c>
      <c r="AC12" s="20">
        <f t="shared" si="6"/>
        <v>4.4000000000000004</v>
      </c>
    </row>
    <row r="13" spans="2:29" ht="15">
      <c r="B13" s="13" t="s">
        <v>13</v>
      </c>
      <c r="C13" s="14">
        <v>34</v>
      </c>
      <c r="D13" s="42">
        <v>29</v>
      </c>
      <c r="E13" s="42">
        <v>7</v>
      </c>
      <c r="F13" s="38">
        <v>274.495</v>
      </c>
      <c r="G13" s="15" t="s">
        <v>6</v>
      </c>
      <c r="H13" s="15">
        <v>386.73700000000002</v>
      </c>
      <c r="I13" s="15">
        <v>813.68299999999999</v>
      </c>
      <c r="J13" s="46">
        <v>523.49199999999996</v>
      </c>
      <c r="K13" s="38">
        <f t="shared" si="1"/>
        <v>1.1585088683399931</v>
      </c>
      <c r="L13" s="15" t="s">
        <v>6</v>
      </c>
      <c r="M13" s="15">
        <f t="shared" si="4"/>
        <v>0.64409971871202742</v>
      </c>
      <c r="N13" s="15">
        <f t="shared" si="2"/>
        <v>0.42025800724400142</v>
      </c>
      <c r="O13" s="15">
        <f xml:space="preserve"> 0.000007479*J13^2 - 0.0094940104*J13 + 3.1947898963</f>
        <v>0.27432553810785532</v>
      </c>
      <c r="P13" s="17">
        <f t="shared" si="7"/>
        <v>523.2176744618921</v>
      </c>
      <c r="Q13" s="52">
        <v>14</v>
      </c>
      <c r="R13" s="19">
        <v>13</v>
      </c>
      <c r="S13" s="14" t="s">
        <v>8</v>
      </c>
      <c r="T13" s="18" t="s">
        <v>28</v>
      </c>
      <c r="U13" s="19">
        <v>10</v>
      </c>
      <c r="V13" s="19">
        <f t="shared" si="5"/>
        <v>1.5384615384615385</v>
      </c>
      <c r="W13" s="14" t="s">
        <v>9</v>
      </c>
      <c r="X13" s="14" t="s">
        <v>4</v>
      </c>
      <c r="Y13" s="53" t="s">
        <v>36</v>
      </c>
      <c r="Z13" s="49">
        <v>2400</v>
      </c>
      <c r="AA13" s="14">
        <v>1200</v>
      </c>
      <c r="AB13" s="19">
        <v>1</v>
      </c>
      <c r="AC13" s="20">
        <f t="shared" si="6"/>
        <v>0.44</v>
      </c>
    </row>
    <row r="14" spans="2:29" ht="15">
      <c r="B14" s="13" t="s">
        <v>13</v>
      </c>
      <c r="C14" s="14">
        <v>52</v>
      </c>
      <c r="D14" s="42">
        <v>44</v>
      </c>
      <c r="E14" s="42">
        <v>8</v>
      </c>
      <c r="F14" s="38">
        <v>274.02800000000002</v>
      </c>
      <c r="G14" s="15" t="s">
        <v>6</v>
      </c>
      <c r="H14" s="15" t="s">
        <v>6</v>
      </c>
      <c r="I14" s="15">
        <v>813.39200000000005</v>
      </c>
      <c r="J14" s="46">
        <v>523.28</v>
      </c>
      <c r="K14" s="38">
        <f t="shared" si="1"/>
        <v>0.69150886834000858</v>
      </c>
      <c r="L14" s="15" t="s">
        <v>6</v>
      </c>
      <c r="M14" s="15" t="s">
        <v>6</v>
      </c>
      <c r="N14" s="15">
        <f t="shared" si="2"/>
        <v>0.12925800724406145</v>
      </c>
      <c r="O14" s="16">
        <f>-0.0010413475*J14 + 0.9761471449</f>
        <v>0.4312308251000001</v>
      </c>
      <c r="P14" s="17">
        <f t="shared" si="7"/>
        <v>522.84876917489999</v>
      </c>
      <c r="Q14" s="52">
        <v>3</v>
      </c>
      <c r="R14" s="19">
        <v>2.5</v>
      </c>
      <c r="S14" s="14" t="s">
        <v>29</v>
      </c>
      <c r="T14" s="18" t="s">
        <v>28</v>
      </c>
      <c r="U14" s="19">
        <v>9.5</v>
      </c>
      <c r="V14" s="19">
        <f t="shared" si="5"/>
        <v>7.6</v>
      </c>
      <c r="W14" s="14" t="s">
        <v>5</v>
      </c>
      <c r="X14" s="14" t="s">
        <v>4</v>
      </c>
      <c r="Y14" s="53" t="s">
        <v>3</v>
      </c>
      <c r="Z14" s="49">
        <v>2400</v>
      </c>
      <c r="AA14" s="14">
        <v>1200</v>
      </c>
      <c r="AB14" s="19">
        <v>1</v>
      </c>
      <c r="AC14" s="20">
        <f t="shared" si="6"/>
        <v>0.44</v>
      </c>
    </row>
    <row r="15" spans="2:29" ht="15">
      <c r="B15" s="13" t="s">
        <v>13</v>
      </c>
      <c r="C15" s="14">
        <v>62</v>
      </c>
      <c r="D15" s="42">
        <v>51</v>
      </c>
      <c r="E15" s="42">
        <v>9</v>
      </c>
      <c r="F15" s="38">
        <v>274.02300000000002</v>
      </c>
      <c r="G15" s="15">
        <v>314.33800000000002</v>
      </c>
      <c r="H15" s="15">
        <v>386.36599999999999</v>
      </c>
      <c r="I15" s="15">
        <v>813.48099999999999</v>
      </c>
      <c r="J15" s="46">
        <v>523.19000000000005</v>
      </c>
      <c r="K15" s="38">
        <f t="shared" si="1"/>
        <v>0.68650886834001312</v>
      </c>
      <c r="L15" s="15">
        <f t="shared" si="3"/>
        <v>-0.34555139676695035</v>
      </c>
      <c r="M15" s="15">
        <f t="shared" si="4"/>
        <v>0.27309971871198968</v>
      </c>
      <c r="N15" s="15">
        <f t="shared" si="2"/>
        <v>0.21825800724400324</v>
      </c>
      <c r="O15" s="15">
        <f>0.0000061776*J15^2 - 0.0069549235*J15 + 1.7958523377</f>
        <v>-0.15191337862964005</v>
      </c>
      <c r="P15" s="17">
        <f t="shared" si="7"/>
        <v>523.34191337862967</v>
      </c>
      <c r="Q15" s="52">
        <v>5.5</v>
      </c>
      <c r="R15" s="19">
        <v>4.5</v>
      </c>
      <c r="S15" s="14" t="s">
        <v>29</v>
      </c>
      <c r="T15" s="18" t="s">
        <v>28</v>
      </c>
      <c r="U15" s="19">
        <v>4.5</v>
      </c>
      <c r="V15" s="19">
        <f t="shared" si="5"/>
        <v>2</v>
      </c>
      <c r="W15" s="14" t="s">
        <v>5</v>
      </c>
      <c r="X15" s="14" t="s">
        <v>4</v>
      </c>
      <c r="Y15" s="53" t="s">
        <v>3</v>
      </c>
      <c r="Z15" s="49">
        <v>2400</v>
      </c>
      <c r="AA15" s="14">
        <v>1200</v>
      </c>
      <c r="AB15" s="19">
        <v>1</v>
      </c>
      <c r="AC15" s="20">
        <f t="shared" si="6"/>
        <v>0.44</v>
      </c>
    </row>
    <row r="16" spans="2:29" ht="15">
      <c r="B16" s="13" t="s">
        <v>13</v>
      </c>
      <c r="C16" s="14">
        <v>73</v>
      </c>
      <c r="D16" s="42">
        <v>62</v>
      </c>
      <c r="E16" s="42">
        <v>10</v>
      </c>
      <c r="F16" s="38">
        <v>274.99400000000003</v>
      </c>
      <c r="G16" s="15">
        <v>316.14499999999998</v>
      </c>
      <c r="H16" s="15">
        <v>387.48700000000002</v>
      </c>
      <c r="I16" s="15">
        <v>814.21600000000001</v>
      </c>
      <c r="J16" s="46">
        <v>521.00099999999998</v>
      </c>
      <c r="K16" s="38">
        <f t="shared" si="1"/>
        <v>1.6575088683400168</v>
      </c>
      <c r="L16" s="15">
        <f t="shared" si="3"/>
        <v>1.4614486032330092</v>
      </c>
      <c r="M16" s="15">
        <f t="shared" si="4"/>
        <v>1.3940997187120274</v>
      </c>
      <c r="N16" s="15">
        <f t="shared" si="2"/>
        <v>0.95325800724401688</v>
      </c>
      <c r="O16" s="15">
        <f>0.0000002163*J153 - 0.0012506343*J16 + 0.8884543894</f>
        <v>0.2368726684657001</v>
      </c>
      <c r="P16" s="17">
        <f t="shared" si="7"/>
        <v>520.76412733153427</v>
      </c>
      <c r="Q16" s="52">
        <v>19.5</v>
      </c>
      <c r="R16" s="19">
        <v>15</v>
      </c>
      <c r="S16" s="14" t="s">
        <v>8</v>
      </c>
      <c r="T16" s="18" t="s">
        <v>25</v>
      </c>
      <c r="U16" s="19">
        <v>0</v>
      </c>
      <c r="V16" s="19">
        <f t="shared" si="5"/>
        <v>0</v>
      </c>
      <c r="W16" s="14" t="s">
        <v>5</v>
      </c>
      <c r="X16" s="14" t="s">
        <v>4</v>
      </c>
      <c r="Y16" s="53" t="s">
        <v>27</v>
      </c>
      <c r="Z16" s="49">
        <v>2400</v>
      </c>
      <c r="AA16" s="14">
        <v>1200</v>
      </c>
      <c r="AB16" s="19">
        <v>0.1</v>
      </c>
      <c r="AC16" s="20">
        <f t="shared" si="6"/>
        <v>4.3999999999999997E-2</v>
      </c>
    </row>
    <row r="17" spans="2:29" ht="15">
      <c r="B17" s="13" t="s">
        <v>13</v>
      </c>
      <c r="C17" s="14">
        <v>92</v>
      </c>
      <c r="D17" s="42">
        <v>77</v>
      </c>
      <c r="E17" s="42">
        <v>11</v>
      </c>
      <c r="F17" s="38">
        <v>275.38400000000001</v>
      </c>
      <c r="G17" s="15">
        <v>316.46199999999999</v>
      </c>
      <c r="H17" s="15">
        <v>388.24200000000002</v>
      </c>
      <c r="I17" s="15">
        <v>814.62800000000004</v>
      </c>
      <c r="J17" s="46">
        <v>525.93299999999999</v>
      </c>
      <c r="K17" s="38">
        <f t="shared" si="1"/>
        <v>2.0475088683400031</v>
      </c>
      <c r="L17" s="15">
        <f t="shared" si="3"/>
        <v>1.7784486032330165</v>
      </c>
      <c r="M17" s="15">
        <f t="shared" si="4"/>
        <v>2.1490997187120229</v>
      </c>
      <c r="N17" s="15">
        <f t="shared" si="2"/>
        <v>1.3652580072440514</v>
      </c>
      <c r="O17" s="15">
        <f>-0.0000052072*J17^2 + 0.0046277042*J17 + 1.0484608761</f>
        <v>2.0419829628282793</v>
      </c>
      <c r="P17" s="17">
        <f t="shared" si="7"/>
        <v>523.89101703717176</v>
      </c>
      <c r="Q17" s="52">
        <v>9</v>
      </c>
      <c r="R17" s="19">
        <v>8</v>
      </c>
      <c r="S17" s="14" t="s">
        <v>29</v>
      </c>
      <c r="T17" s="18" t="s">
        <v>28</v>
      </c>
      <c r="U17" s="19">
        <v>12</v>
      </c>
      <c r="V17" s="19">
        <f t="shared" si="5"/>
        <v>3</v>
      </c>
      <c r="W17" s="14" t="s">
        <v>5</v>
      </c>
      <c r="X17" s="14" t="s">
        <v>4</v>
      </c>
      <c r="Y17" s="53" t="s">
        <v>3</v>
      </c>
      <c r="Z17" s="49">
        <v>2400</v>
      </c>
      <c r="AA17" s="14">
        <v>1200</v>
      </c>
      <c r="AB17" s="19">
        <v>1</v>
      </c>
      <c r="AC17" s="20">
        <f t="shared" si="6"/>
        <v>0.44</v>
      </c>
    </row>
    <row r="18" spans="2:29" ht="15">
      <c r="B18" s="13" t="s">
        <v>13</v>
      </c>
      <c r="C18" s="14">
        <v>96</v>
      </c>
      <c r="D18" s="42">
        <v>81</v>
      </c>
      <c r="E18" s="42">
        <v>12</v>
      </c>
      <c r="F18" s="38">
        <v>275.029</v>
      </c>
      <c r="G18" s="15">
        <v>316.91199999999998</v>
      </c>
      <c r="H18" s="15">
        <v>387.50299999999999</v>
      </c>
      <c r="I18" s="15">
        <v>814.31100000000004</v>
      </c>
      <c r="J18" s="46">
        <v>524.09500000000003</v>
      </c>
      <c r="K18" s="38">
        <f t="shared" si="1"/>
        <v>1.6925088683399849</v>
      </c>
      <c r="L18" s="15">
        <f t="shared" si="3"/>
        <v>2.2284486032330051</v>
      </c>
      <c r="M18" s="15">
        <f t="shared" si="4"/>
        <v>1.4100997187119901</v>
      </c>
      <c r="N18" s="15">
        <f t="shared" si="2"/>
        <v>1.0482580072440442</v>
      </c>
      <c r="O18" s="15">
        <f>0.0000033525*J18^2 - 0.0053066655*J18 + 3.1411940671</f>
        <v>1.280847057033812</v>
      </c>
      <c r="P18" s="17">
        <f t="shared" si="7"/>
        <v>522.81415294296619</v>
      </c>
      <c r="Q18" s="52">
        <v>3</v>
      </c>
      <c r="R18" s="19">
        <v>3</v>
      </c>
      <c r="S18" s="14" t="s">
        <v>29</v>
      </c>
      <c r="T18" s="18" t="s">
        <v>28</v>
      </c>
      <c r="U18" s="19">
        <v>7</v>
      </c>
      <c r="V18" s="19">
        <f t="shared" si="5"/>
        <v>4.666666666666667</v>
      </c>
      <c r="W18" s="14" t="s">
        <v>7</v>
      </c>
      <c r="X18" s="14" t="s">
        <v>4</v>
      </c>
      <c r="Y18" s="53" t="s">
        <v>3</v>
      </c>
      <c r="Z18" s="49">
        <v>2400</v>
      </c>
      <c r="AA18" s="14">
        <v>1200</v>
      </c>
      <c r="AB18" s="19">
        <v>1</v>
      </c>
      <c r="AC18" s="20">
        <f t="shared" si="6"/>
        <v>0.44</v>
      </c>
    </row>
    <row r="19" spans="2:29" ht="15">
      <c r="B19" s="13" t="s">
        <v>13</v>
      </c>
      <c r="C19" s="14">
        <v>105</v>
      </c>
      <c r="D19" s="42">
        <v>90</v>
      </c>
      <c r="E19" s="42">
        <v>13</v>
      </c>
      <c r="F19" s="38">
        <v>275.27699999999999</v>
      </c>
      <c r="G19" s="15">
        <v>316.565</v>
      </c>
      <c r="H19" s="15">
        <v>387.89600000000002</v>
      </c>
      <c r="I19" s="15">
        <v>814.48</v>
      </c>
      <c r="J19" s="46">
        <v>524.21100000000001</v>
      </c>
      <c r="K19" s="38">
        <f t="shared" si="1"/>
        <v>1.9405088683399754</v>
      </c>
      <c r="L19" s="15">
        <f t="shared" si="3"/>
        <v>1.8814486032330251</v>
      </c>
      <c r="M19" s="15">
        <f t="shared" si="4"/>
        <v>1.8030997187120192</v>
      </c>
      <c r="N19" s="15">
        <f t="shared" si="2"/>
        <v>1.2172580072440269</v>
      </c>
      <c r="O19" s="15">
        <f>-0.0000002872*J19^2 - 0.001020601*J19 + 2.2372857968</f>
        <v>1.6233537780409688</v>
      </c>
      <c r="P19" s="17">
        <f t="shared" si="7"/>
        <v>522.58764622195906</v>
      </c>
      <c r="Q19" s="52">
        <v>5</v>
      </c>
      <c r="R19" s="19">
        <v>4.5</v>
      </c>
      <c r="S19" s="14" t="s">
        <v>29</v>
      </c>
      <c r="T19" s="18" t="s">
        <v>28</v>
      </c>
      <c r="U19" s="19">
        <v>11</v>
      </c>
      <c r="V19" s="19">
        <f t="shared" si="5"/>
        <v>4.8888888888888893</v>
      </c>
      <c r="W19" s="14" t="s">
        <v>5</v>
      </c>
      <c r="X19" s="14" t="s">
        <v>4</v>
      </c>
      <c r="Y19" s="53" t="s">
        <v>3</v>
      </c>
      <c r="Z19" s="49">
        <v>2400</v>
      </c>
      <c r="AA19" s="14">
        <v>1200</v>
      </c>
      <c r="AB19" s="19">
        <v>0.1</v>
      </c>
      <c r="AC19" s="20">
        <f t="shared" si="6"/>
        <v>4.3999999999999997E-2</v>
      </c>
    </row>
    <row r="20" spans="2:29" ht="15">
      <c r="B20" s="13" t="s">
        <v>13</v>
      </c>
      <c r="C20" s="14">
        <v>105</v>
      </c>
      <c r="D20" s="42">
        <v>90</v>
      </c>
      <c r="E20" s="42">
        <v>14</v>
      </c>
      <c r="F20" s="38">
        <v>275.08600000000001</v>
      </c>
      <c r="G20" s="15">
        <v>316.46300000000002</v>
      </c>
      <c r="H20" s="15">
        <v>387.6</v>
      </c>
      <c r="I20" s="15">
        <v>814.29</v>
      </c>
      <c r="J20" s="46">
        <v>524.077</v>
      </c>
      <c r="K20" s="38">
        <f t="shared" si="1"/>
        <v>1.7495088683400013</v>
      </c>
      <c r="L20" s="15">
        <f t="shared" si="3"/>
        <v>1.7794486032330497</v>
      </c>
      <c r="M20" s="15">
        <f t="shared" si="4"/>
        <v>1.507099718712027</v>
      </c>
      <c r="N20" s="15">
        <f t="shared" si="2"/>
        <v>1.0272580072439723</v>
      </c>
      <c r="O20" s="15">
        <f>0.0000019555*J20^2 - 0.0035528169*J20 + 2.6222341204</f>
        <v>1.2973756785208592</v>
      </c>
      <c r="P20" s="17">
        <f t="shared" si="7"/>
        <v>522.7796243214791</v>
      </c>
      <c r="Q20" s="52">
        <v>13</v>
      </c>
      <c r="R20" s="19">
        <v>11.5</v>
      </c>
      <c r="S20" s="14" t="s">
        <v>29</v>
      </c>
      <c r="T20" s="18" t="s">
        <v>28</v>
      </c>
      <c r="U20" s="19">
        <v>13.5</v>
      </c>
      <c r="V20" s="19">
        <f t="shared" si="5"/>
        <v>2.347826086956522</v>
      </c>
      <c r="W20" s="14" t="s">
        <v>5</v>
      </c>
      <c r="X20" s="14" t="s">
        <v>4</v>
      </c>
      <c r="Y20" s="53" t="s">
        <v>3</v>
      </c>
      <c r="Z20" s="49">
        <v>2400</v>
      </c>
      <c r="AA20" s="14">
        <v>1200</v>
      </c>
      <c r="AB20" s="19">
        <v>0.1</v>
      </c>
      <c r="AC20" s="20">
        <f t="shared" si="6"/>
        <v>4.3999999999999997E-2</v>
      </c>
    </row>
    <row r="21" spans="2:29" ht="15">
      <c r="B21" s="13" t="s">
        <v>13</v>
      </c>
      <c r="C21" s="14">
        <v>105</v>
      </c>
      <c r="D21" s="42">
        <v>90</v>
      </c>
      <c r="E21" s="42">
        <v>15</v>
      </c>
      <c r="F21" s="38">
        <v>274.70600000000002</v>
      </c>
      <c r="G21" s="15" t="s">
        <v>6</v>
      </c>
      <c r="H21" s="15">
        <v>387.14400000000001</v>
      </c>
      <c r="I21" s="15">
        <v>814.03599999999994</v>
      </c>
      <c r="J21" s="46">
        <v>523.83699999999999</v>
      </c>
      <c r="K21" s="38">
        <f t="shared" si="1"/>
        <v>1.3695088683400058</v>
      </c>
      <c r="L21" s="15" t="s">
        <v>6</v>
      </c>
      <c r="M21" s="15">
        <f t="shared" si="4"/>
        <v>1.0510997187120097</v>
      </c>
      <c r="N21" s="15">
        <f t="shared" si="2"/>
        <v>0.77325800724395322</v>
      </c>
      <c r="O21" s="16">
        <f>0.0000040254*J21^2 - 0.0054783636*J21 + 2.5661931964</f>
        <v>0.80101434568805252</v>
      </c>
      <c r="P21" s="17">
        <f t="shared" si="7"/>
        <v>523.03598565431196</v>
      </c>
      <c r="Q21" s="52">
        <v>2</v>
      </c>
      <c r="R21" s="19">
        <v>2</v>
      </c>
      <c r="S21" s="14" t="s">
        <v>29</v>
      </c>
      <c r="T21" s="18" t="s">
        <v>28</v>
      </c>
      <c r="U21" s="19">
        <v>10</v>
      </c>
      <c r="V21" s="19">
        <f t="shared" si="5"/>
        <v>10</v>
      </c>
      <c r="W21" s="14" t="s">
        <v>7</v>
      </c>
      <c r="X21" s="14" t="s">
        <v>4</v>
      </c>
      <c r="Y21" s="53" t="s">
        <v>3</v>
      </c>
      <c r="Z21" s="49">
        <v>2400</v>
      </c>
      <c r="AA21" s="14">
        <v>1200</v>
      </c>
      <c r="AB21" s="19">
        <v>1</v>
      </c>
      <c r="AC21" s="20">
        <f t="shared" si="6"/>
        <v>0.44</v>
      </c>
    </row>
    <row r="22" spans="2:29" ht="15">
      <c r="B22" s="13" t="s">
        <v>13</v>
      </c>
      <c r="C22" s="14">
        <v>105</v>
      </c>
      <c r="D22" s="42">
        <v>90</v>
      </c>
      <c r="E22" s="42">
        <v>16</v>
      </c>
      <c r="F22" s="38">
        <v>274.83499999999998</v>
      </c>
      <c r="G22" s="15">
        <v>315.34699999999998</v>
      </c>
      <c r="H22" s="15">
        <v>387.39100000000002</v>
      </c>
      <c r="I22" s="15">
        <v>814.048</v>
      </c>
      <c r="J22" s="46">
        <v>525.83500000000004</v>
      </c>
      <c r="K22" s="38">
        <f t="shared" si="1"/>
        <v>1.4985088683399681</v>
      </c>
      <c r="L22" s="15">
        <f t="shared" si="3"/>
        <v>0.66344860323300736</v>
      </c>
      <c r="M22" s="15">
        <f t="shared" si="4"/>
        <v>1.2980997187120238</v>
      </c>
      <c r="N22" s="15">
        <f t="shared" si="2"/>
        <v>0.78525800724401051</v>
      </c>
      <c r="O22" s="15">
        <f>0.0000007379*J22^2 - 0.0015724321*J22 + 1.5824119053</f>
        <v>0.95960322780382756</v>
      </c>
      <c r="P22" s="17">
        <f t="shared" si="7"/>
        <v>524.87539677219615</v>
      </c>
      <c r="Q22" s="52">
        <v>15.5</v>
      </c>
      <c r="R22" s="19">
        <v>13</v>
      </c>
      <c r="S22" s="14" t="s">
        <v>8</v>
      </c>
      <c r="T22" s="18" t="s">
        <v>28</v>
      </c>
      <c r="U22" s="19">
        <v>9</v>
      </c>
      <c r="V22" s="19">
        <f t="shared" si="5"/>
        <v>1.3846153846153846</v>
      </c>
      <c r="W22" s="14" t="s">
        <v>5</v>
      </c>
      <c r="X22" s="14" t="s">
        <v>4</v>
      </c>
      <c r="Y22" s="53" t="s">
        <v>23</v>
      </c>
      <c r="Z22" s="49">
        <v>2400</v>
      </c>
      <c r="AA22" s="14">
        <v>1200</v>
      </c>
      <c r="AB22" s="19">
        <v>0.1</v>
      </c>
      <c r="AC22" s="20">
        <f t="shared" si="6"/>
        <v>4.3999999999999997E-2</v>
      </c>
    </row>
    <row r="23" spans="2:29" ht="15">
      <c r="B23" s="13" t="s">
        <v>13</v>
      </c>
      <c r="C23" s="14">
        <v>110</v>
      </c>
      <c r="D23" s="42">
        <v>95</v>
      </c>
      <c r="E23" s="42">
        <v>17</v>
      </c>
      <c r="F23" s="38">
        <v>274.63299999999998</v>
      </c>
      <c r="G23" s="15">
        <v>315.58199999999999</v>
      </c>
      <c r="H23" s="15">
        <v>387.22199999999998</v>
      </c>
      <c r="I23" s="15">
        <v>813.95500000000004</v>
      </c>
      <c r="J23" s="46">
        <v>523.60699999999997</v>
      </c>
      <c r="K23" s="38">
        <f t="shared" si="1"/>
        <v>1.2965088683399699</v>
      </c>
      <c r="L23" s="15">
        <f t="shared" si="3"/>
        <v>0.898448603233021</v>
      </c>
      <c r="M23" s="15">
        <f t="shared" si="4"/>
        <v>1.1290997187119842</v>
      </c>
      <c r="N23" s="15">
        <f t="shared" si="2"/>
        <v>0.69225800724404962</v>
      </c>
      <c r="O23" s="16">
        <f>0.0000007102*J23^2 - 0.0016483529*J23 + 1.5658944885</f>
        <v>0.89751685066657982</v>
      </c>
      <c r="P23" s="17">
        <f t="shared" si="7"/>
        <v>522.70948314933344</v>
      </c>
      <c r="Q23" s="52">
        <v>7</v>
      </c>
      <c r="R23" s="19">
        <v>6</v>
      </c>
      <c r="S23" s="14" t="s">
        <v>29</v>
      </c>
      <c r="T23" s="18" t="s">
        <v>28</v>
      </c>
      <c r="U23" s="19">
        <v>2</v>
      </c>
      <c r="V23" s="19">
        <f t="shared" si="5"/>
        <v>0.66666666666666663</v>
      </c>
      <c r="W23" s="14" t="s">
        <v>9</v>
      </c>
      <c r="X23" s="14" t="s">
        <v>4</v>
      </c>
      <c r="Y23" s="53" t="s">
        <v>3</v>
      </c>
      <c r="Z23" s="49">
        <v>2400</v>
      </c>
      <c r="AA23" s="14">
        <v>1200</v>
      </c>
      <c r="AB23" s="19">
        <v>0.1</v>
      </c>
      <c r="AC23" s="20">
        <f t="shared" si="6"/>
        <v>4.3999999999999997E-2</v>
      </c>
    </row>
    <row r="24" spans="2:29" ht="15">
      <c r="B24" s="13" t="s">
        <v>13</v>
      </c>
      <c r="C24" s="14">
        <v>110</v>
      </c>
      <c r="D24" s="42">
        <v>95</v>
      </c>
      <c r="E24" s="42">
        <v>18</v>
      </c>
      <c r="F24" s="38">
        <v>274.62400000000002</v>
      </c>
      <c r="G24" s="15" t="s">
        <v>6</v>
      </c>
      <c r="H24" s="15">
        <v>387.20499999999998</v>
      </c>
      <c r="I24" s="15">
        <v>813.92899999999997</v>
      </c>
      <c r="J24" s="46">
        <v>522.23699999999997</v>
      </c>
      <c r="K24" s="38">
        <f t="shared" si="1"/>
        <v>1.2875088683400122</v>
      </c>
      <c r="L24" s="15" t="s">
        <v>6</v>
      </c>
      <c r="M24" s="15">
        <f t="shared" si="4"/>
        <v>1.1120997187119883</v>
      </c>
      <c r="N24" s="15">
        <f t="shared" si="2"/>
        <v>0.66625800724398232</v>
      </c>
      <c r="O24" s="15">
        <f xml:space="preserve"> 0.0000009482*J24^2 - 0.002180891*J24 + 1.8127862876</f>
        <v>0.93244830772204601</v>
      </c>
      <c r="P24" s="17">
        <f t="shared" si="7"/>
        <v>521.30455169227787</v>
      </c>
      <c r="Q24" s="52">
        <v>5.5</v>
      </c>
      <c r="R24" s="19">
        <v>4</v>
      </c>
      <c r="S24" s="14" t="s">
        <v>29</v>
      </c>
      <c r="T24" s="18" t="s">
        <v>25</v>
      </c>
      <c r="U24" s="19">
        <v>0</v>
      </c>
      <c r="V24" s="19">
        <f t="shared" si="5"/>
        <v>0</v>
      </c>
      <c r="W24" s="14" t="s">
        <v>9</v>
      </c>
      <c r="X24" s="14" t="s">
        <v>4</v>
      </c>
      <c r="Y24" s="53" t="s">
        <v>26</v>
      </c>
      <c r="Z24" s="49">
        <v>2400</v>
      </c>
      <c r="AA24" s="14">
        <v>1200</v>
      </c>
      <c r="AB24" s="19">
        <v>0.1</v>
      </c>
      <c r="AC24" s="20">
        <f t="shared" si="6"/>
        <v>4.3999999999999997E-2</v>
      </c>
    </row>
    <row r="25" spans="2:29" ht="15">
      <c r="B25" s="13" t="s">
        <v>13</v>
      </c>
      <c r="C25" s="14">
        <v>110</v>
      </c>
      <c r="D25" s="42">
        <v>95</v>
      </c>
      <c r="E25" s="42">
        <v>19</v>
      </c>
      <c r="F25" s="38">
        <v>274.65899999999999</v>
      </c>
      <c r="G25" s="15">
        <v>316.488</v>
      </c>
      <c r="H25" s="15">
        <v>387.42599999999999</v>
      </c>
      <c r="I25" s="15">
        <v>814.24800000000005</v>
      </c>
      <c r="J25" s="46">
        <v>524.24400000000003</v>
      </c>
      <c r="K25" s="38">
        <f t="shared" si="1"/>
        <v>1.3225088683399804</v>
      </c>
      <c r="L25" s="15">
        <f t="shared" si="3"/>
        <v>1.8044486032330269</v>
      </c>
      <c r="M25" s="15">
        <f t="shared" si="4"/>
        <v>1.333099718711992</v>
      </c>
      <c r="N25" s="15">
        <f t="shared" si="2"/>
        <v>0.98525800724405599</v>
      </c>
      <c r="O25" s="15">
        <f>-0.000001476*J25^2 + 0.0006358928*J25 + 1.4403512804</f>
        <v>1.3680625706560641</v>
      </c>
      <c r="P25" s="17">
        <f t="shared" si="7"/>
        <v>522.87593742934394</v>
      </c>
      <c r="Q25" s="52">
        <v>3</v>
      </c>
      <c r="R25" s="19">
        <v>2.5</v>
      </c>
      <c r="S25" s="14" t="s">
        <v>29</v>
      </c>
      <c r="T25" s="18" t="s">
        <v>28</v>
      </c>
      <c r="U25" s="19">
        <v>6</v>
      </c>
      <c r="V25" s="19">
        <f t="shared" si="5"/>
        <v>4.8</v>
      </c>
      <c r="W25" s="14" t="s">
        <v>34</v>
      </c>
      <c r="X25" s="14" t="s">
        <v>4</v>
      </c>
      <c r="Y25" s="53" t="s">
        <v>3</v>
      </c>
      <c r="Z25" s="49">
        <v>2400</v>
      </c>
      <c r="AA25" s="14">
        <v>1200</v>
      </c>
      <c r="AB25" s="19">
        <v>0.1</v>
      </c>
      <c r="AC25" s="20">
        <f t="shared" si="6"/>
        <v>4.3999999999999997E-2</v>
      </c>
    </row>
    <row r="26" spans="2:29" ht="15">
      <c r="B26" s="13" t="s">
        <v>13</v>
      </c>
      <c r="C26" s="14">
        <v>110</v>
      </c>
      <c r="D26" s="42">
        <v>95</v>
      </c>
      <c r="E26" s="42">
        <v>20</v>
      </c>
      <c r="F26" s="38">
        <v>274.55099999999999</v>
      </c>
      <c r="G26" s="15" t="s">
        <v>6</v>
      </c>
      <c r="H26" s="15">
        <v>387.2</v>
      </c>
      <c r="I26" s="15">
        <v>813.84199999999998</v>
      </c>
      <c r="J26" s="46">
        <v>524.23199999999997</v>
      </c>
      <c r="K26" s="38">
        <f t="shared" si="1"/>
        <v>1.2145088683399763</v>
      </c>
      <c r="L26" s="15" t="s">
        <v>6</v>
      </c>
      <c r="M26" s="15">
        <f t="shared" si="4"/>
        <v>1.1070997187119929</v>
      </c>
      <c r="N26" s="15">
        <f t="shared" si="2"/>
        <v>0.57925800724399323</v>
      </c>
      <c r="O26" s="15">
        <f xml:space="preserve"> -0.0000005243*J26^2 - 0.000606824*J26 + 1.4195495398</f>
        <v>0.95734527940727687</v>
      </c>
      <c r="P26" s="17">
        <f t="shared" si="7"/>
        <v>523.27465472059271</v>
      </c>
      <c r="Q26" s="52">
        <v>3</v>
      </c>
      <c r="R26" s="19">
        <v>2</v>
      </c>
      <c r="S26" s="14" t="s">
        <v>29</v>
      </c>
      <c r="T26" s="18" t="s">
        <v>28</v>
      </c>
      <c r="U26" s="19">
        <v>9</v>
      </c>
      <c r="V26" s="19">
        <f t="shared" si="5"/>
        <v>9</v>
      </c>
      <c r="W26" s="14" t="s">
        <v>5</v>
      </c>
      <c r="X26" s="14" t="s">
        <v>4</v>
      </c>
      <c r="Y26" s="53" t="s">
        <v>3</v>
      </c>
      <c r="Z26" s="49">
        <v>2400</v>
      </c>
      <c r="AA26" s="14">
        <v>1200</v>
      </c>
      <c r="AB26" s="19">
        <v>0.1</v>
      </c>
      <c r="AC26" s="20">
        <f t="shared" si="6"/>
        <v>4.3999999999999997E-2</v>
      </c>
    </row>
    <row r="27" spans="2:29" s="1" customFormat="1" ht="15">
      <c r="B27" s="21" t="s">
        <v>13</v>
      </c>
      <c r="C27" s="22">
        <v>110</v>
      </c>
      <c r="D27" s="43">
        <v>95</v>
      </c>
      <c r="E27" s="43">
        <v>21</v>
      </c>
      <c r="F27" s="39">
        <v>274.44499999999999</v>
      </c>
      <c r="G27" s="23">
        <v>317.03899999999999</v>
      </c>
      <c r="H27" s="23">
        <v>387.91800000000001</v>
      </c>
      <c r="I27" s="23">
        <v>814.601</v>
      </c>
      <c r="J27" s="47">
        <v>525.27</v>
      </c>
      <c r="K27" s="39">
        <f t="shared" si="1"/>
        <v>1.1085088683399817</v>
      </c>
      <c r="L27" s="23">
        <f t="shared" si="3"/>
        <v>2.3554486032330146</v>
      </c>
      <c r="M27" s="23">
        <f t="shared" si="4"/>
        <v>1.8250997187120106</v>
      </c>
      <c r="N27" s="23">
        <f t="shared" si="2"/>
        <v>1.3382580072440078</v>
      </c>
      <c r="O27" s="24">
        <f xml:space="preserve"> -0.0000134704*J27^2 + 0.0143780232*J27 - 1.453506975</f>
        <v>2.3822384308718396</v>
      </c>
      <c r="P27" s="25">
        <f t="shared" si="7"/>
        <v>522.88776156912809</v>
      </c>
      <c r="Q27" s="54">
        <v>2</v>
      </c>
      <c r="R27" s="27">
        <v>1.5</v>
      </c>
      <c r="S27" s="22" t="s">
        <v>29</v>
      </c>
      <c r="T27" s="26" t="s">
        <v>28</v>
      </c>
      <c r="U27" s="27">
        <v>5</v>
      </c>
      <c r="V27" s="27">
        <f t="shared" si="5"/>
        <v>6.666666666666667</v>
      </c>
      <c r="W27" s="22" t="s">
        <v>5</v>
      </c>
      <c r="X27" s="22" t="s">
        <v>4</v>
      </c>
      <c r="Y27" s="55" t="s">
        <v>3</v>
      </c>
      <c r="Z27" s="50">
        <v>2400</v>
      </c>
      <c r="AA27" s="22">
        <v>1200</v>
      </c>
      <c r="AB27" s="27">
        <v>0.1</v>
      </c>
      <c r="AC27" s="28">
        <f t="shared" si="6"/>
        <v>4.3999999999999997E-2</v>
      </c>
    </row>
    <row r="28" spans="2:29" ht="15">
      <c r="B28" s="13" t="s">
        <v>13</v>
      </c>
      <c r="C28" s="14">
        <v>110</v>
      </c>
      <c r="D28" s="42">
        <v>95</v>
      </c>
      <c r="E28" s="42">
        <v>22</v>
      </c>
      <c r="F28" s="38">
        <v>274.67</v>
      </c>
      <c r="G28" s="15" t="s">
        <v>6</v>
      </c>
      <c r="H28" s="15">
        <v>387.25299999999999</v>
      </c>
      <c r="I28" s="15">
        <v>813.90200000000004</v>
      </c>
      <c r="J28" s="46">
        <v>524.63099999999997</v>
      </c>
      <c r="K28" s="38">
        <f t="shared" si="1"/>
        <v>1.3335088683400045</v>
      </c>
      <c r="L28" s="15" t="s">
        <v>6</v>
      </c>
      <c r="M28" s="15">
        <f t="shared" si="4"/>
        <v>1.1600997187119901</v>
      </c>
      <c r="N28" s="15">
        <f t="shared" si="2"/>
        <v>0.63925800724405235</v>
      </c>
      <c r="O28" s="16">
        <f>0.0000005901*J28^2 - 0.001927056*J28 + 1.816153601</f>
        <v>0.9675780432676061</v>
      </c>
      <c r="P28" s="17">
        <f t="shared" si="7"/>
        <v>523.66342195673235</v>
      </c>
      <c r="Q28" s="52">
        <v>1.5</v>
      </c>
      <c r="R28" s="19">
        <v>1.5</v>
      </c>
      <c r="S28" s="14" t="s">
        <v>29</v>
      </c>
      <c r="T28" s="18" t="s">
        <v>28</v>
      </c>
      <c r="U28" s="19">
        <v>9</v>
      </c>
      <c r="V28" s="19">
        <f t="shared" si="5"/>
        <v>12</v>
      </c>
      <c r="W28" s="14" t="s">
        <v>7</v>
      </c>
      <c r="X28" s="14" t="s">
        <v>4</v>
      </c>
      <c r="Y28" s="53" t="s">
        <v>3</v>
      </c>
      <c r="Z28" s="49">
        <v>2400</v>
      </c>
      <c r="AA28" s="14">
        <v>1200</v>
      </c>
      <c r="AB28" s="19">
        <v>0.1</v>
      </c>
      <c r="AC28" s="20">
        <f t="shared" si="6"/>
        <v>4.3999999999999997E-2</v>
      </c>
    </row>
    <row r="29" spans="2:29" ht="15">
      <c r="B29" s="13" t="s">
        <v>13</v>
      </c>
      <c r="C29" s="14">
        <v>150</v>
      </c>
      <c r="D29" s="42">
        <v>127</v>
      </c>
      <c r="E29" s="42">
        <v>23</v>
      </c>
      <c r="F29" s="38">
        <v>274.69299999999998</v>
      </c>
      <c r="G29" s="15">
        <v>316.56900000000002</v>
      </c>
      <c r="H29" s="15">
        <v>387.28699999999998</v>
      </c>
      <c r="I29" s="15">
        <v>814.06399999999996</v>
      </c>
      <c r="J29" s="46">
        <v>524.12699999999995</v>
      </c>
      <c r="K29" s="38">
        <f t="shared" si="1"/>
        <v>1.3565088683399722</v>
      </c>
      <c r="L29" s="15">
        <f t="shared" si="3"/>
        <v>1.8854486032330442</v>
      </c>
      <c r="M29" s="15">
        <f t="shared" si="4"/>
        <v>1.194099718711982</v>
      </c>
      <c r="N29" s="15">
        <f t="shared" si="2"/>
        <v>0.80125800724397322</v>
      </c>
      <c r="O29" s="16">
        <f>0.0000012221*J29^2 - 0.0027853882*J29 + 2.2532693841</f>
        <v>1.1290942289314514</v>
      </c>
      <c r="P29" s="17">
        <f t="shared" si="7"/>
        <v>522.99790577106853</v>
      </c>
      <c r="Q29" s="52">
        <v>10</v>
      </c>
      <c r="R29" s="19">
        <v>10</v>
      </c>
      <c r="S29" s="14" t="s">
        <v>29</v>
      </c>
      <c r="T29" s="18" t="s">
        <v>28</v>
      </c>
      <c r="U29" s="19">
        <v>15</v>
      </c>
      <c r="V29" s="19">
        <f t="shared" si="5"/>
        <v>3</v>
      </c>
      <c r="W29" s="14" t="s">
        <v>7</v>
      </c>
      <c r="X29" s="14" t="s">
        <v>4</v>
      </c>
      <c r="Y29" s="53" t="s">
        <v>3</v>
      </c>
      <c r="Z29" s="49">
        <v>2400</v>
      </c>
      <c r="AA29" s="14">
        <v>1200</v>
      </c>
      <c r="AB29" s="19">
        <v>0.1</v>
      </c>
      <c r="AC29" s="20">
        <f t="shared" si="6"/>
        <v>4.3999999999999997E-2</v>
      </c>
    </row>
    <row r="30" spans="2:29" ht="15">
      <c r="B30" s="13" t="s">
        <v>13</v>
      </c>
      <c r="C30" s="14">
        <v>187</v>
      </c>
      <c r="D30" s="42">
        <v>161</v>
      </c>
      <c r="E30" s="42">
        <v>24</v>
      </c>
      <c r="F30" s="38">
        <v>274.81</v>
      </c>
      <c r="G30" s="15">
        <v>314.649</v>
      </c>
      <c r="H30" s="15">
        <v>387.44499999999999</v>
      </c>
      <c r="I30" s="15">
        <v>814.19299999999998</v>
      </c>
      <c r="J30" s="46">
        <v>526</v>
      </c>
      <c r="K30" s="38">
        <f t="shared" si="1"/>
        <v>1.4735088683399908</v>
      </c>
      <c r="L30" s="15">
        <f t="shared" si="3"/>
        <v>-3.455139676697172E-2</v>
      </c>
      <c r="M30" s="15">
        <f t="shared" si="4"/>
        <v>1.3520997187119974</v>
      </c>
      <c r="N30" s="15">
        <f t="shared" si="2"/>
        <v>0.93025800724399232</v>
      </c>
      <c r="O30" s="15">
        <f xml:space="preserve"> -0.0000004722*J30^2 + 0.0005686246*J30 + 0.7924396267</f>
        <v>0.96088975909999996</v>
      </c>
      <c r="P30" s="17">
        <f t="shared" si="7"/>
        <v>525.03911024089996</v>
      </c>
      <c r="Q30" s="52">
        <v>12</v>
      </c>
      <c r="R30" s="19">
        <v>8.5</v>
      </c>
      <c r="S30" s="14" t="s">
        <v>29</v>
      </c>
      <c r="T30" s="18" t="s">
        <v>28</v>
      </c>
      <c r="U30" s="19">
        <v>25</v>
      </c>
      <c r="V30" s="19">
        <f t="shared" si="5"/>
        <v>5.882352941176471</v>
      </c>
      <c r="W30" s="14" t="s">
        <v>5</v>
      </c>
      <c r="X30" s="14" t="s">
        <v>4</v>
      </c>
      <c r="Y30" s="53" t="s">
        <v>3</v>
      </c>
      <c r="Z30" s="49">
        <v>2400</v>
      </c>
      <c r="AA30" s="14">
        <v>1200</v>
      </c>
      <c r="AB30" s="19">
        <v>1</v>
      </c>
      <c r="AC30" s="20">
        <f t="shared" si="6"/>
        <v>0.44</v>
      </c>
    </row>
    <row r="31" spans="2:29" ht="15">
      <c r="B31" s="13" t="s">
        <v>13</v>
      </c>
      <c r="C31" s="14">
        <v>195</v>
      </c>
      <c r="D31" s="42">
        <v>165</v>
      </c>
      <c r="E31" s="42">
        <v>25</v>
      </c>
      <c r="F31" s="38">
        <v>274.54000000000002</v>
      </c>
      <c r="G31" s="15" t="s">
        <v>6</v>
      </c>
      <c r="H31" s="15">
        <v>387.21499999999997</v>
      </c>
      <c r="I31" s="15">
        <v>813.77700000000004</v>
      </c>
      <c r="J31" s="46">
        <v>520.91099999999994</v>
      </c>
      <c r="K31" s="38">
        <f t="shared" si="1"/>
        <v>1.203508868340009</v>
      </c>
      <c r="L31" s="15" t="s">
        <v>6</v>
      </c>
      <c r="M31" s="15">
        <f t="shared" si="4"/>
        <v>1.1220997187119792</v>
      </c>
      <c r="N31" s="15">
        <f t="shared" si="2"/>
        <v>0.51425800724405235</v>
      </c>
      <c r="O31" s="16">
        <f xml:space="preserve"> -0.0000012983*J31^2 + 0.0001341133*J31 + 1.2638468035</f>
        <v>0.9814164378778657</v>
      </c>
      <c r="P31" s="17">
        <f t="shared" si="7"/>
        <v>519.92958356212205</v>
      </c>
      <c r="Q31" s="52">
        <v>10</v>
      </c>
      <c r="R31" s="19">
        <v>7.5</v>
      </c>
      <c r="S31" s="14" t="s">
        <v>29</v>
      </c>
      <c r="T31" s="18" t="s">
        <v>25</v>
      </c>
      <c r="U31" s="19">
        <v>0</v>
      </c>
      <c r="V31" s="19">
        <f t="shared" si="5"/>
        <v>0</v>
      </c>
      <c r="W31" s="14" t="s">
        <v>5</v>
      </c>
      <c r="X31" s="14" t="s">
        <v>4</v>
      </c>
      <c r="Y31" s="53" t="s">
        <v>10</v>
      </c>
      <c r="Z31" s="49">
        <v>2400</v>
      </c>
      <c r="AA31" s="14">
        <v>1200</v>
      </c>
      <c r="AB31" s="19">
        <v>1</v>
      </c>
      <c r="AC31" s="20">
        <f t="shared" si="6"/>
        <v>0.44</v>
      </c>
    </row>
    <row r="32" spans="2:29" ht="15">
      <c r="B32" s="13" t="s">
        <v>13</v>
      </c>
      <c r="C32" s="14">
        <v>195</v>
      </c>
      <c r="D32" s="42">
        <v>165</v>
      </c>
      <c r="E32" s="42">
        <v>26</v>
      </c>
      <c r="F32" s="38">
        <v>274.31799999999998</v>
      </c>
      <c r="G32" s="15" t="s">
        <v>6</v>
      </c>
      <c r="H32" s="15">
        <v>386.59</v>
      </c>
      <c r="I32" s="15">
        <v>813.80200000000002</v>
      </c>
      <c r="J32" s="46">
        <v>524.85599999999999</v>
      </c>
      <c r="K32" s="38">
        <f t="shared" si="1"/>
        <v>0.9815088683399722</v>
      </c>
      <c r="L32" s="15" t="s">
        <v>6</v>
      </c>
      <c r="M32" s="15">
        <f t="shared" si="4"/>
        <v>0.49709971871197922</v>
      </c>
      <c r="N32" s="15">
        <f t="shared" si="2"/>
        <v>0.53925800724402961</v>
      </c>
      <c r="O32" s="15">
        <f>0.0000081396*J32^2 - 0.0096635296*J32 + 3.0147748664</f>
        <v>0.18506008592514611</v>
      </c>
      <c r="P32" s="17">
        <f t="shared" si="7"/>
        <v>524.67093991407489</v>
      </c>
      <c r="Q32" s="52">
        <v>6</v>
      </c>
      <c r="R32" s="19">
        <v>6</v>
      </c>
      <c r="S32" s="14" t="s">
        <v>29</v>
      </c>
      <c r="T32" s="18" t="s">
        <v>28</v>
      </c>
      <c r="U32" s="19">
        <v>7</v>
      </c>
      <c r="V32" s="19">
        <f t="shared" si="5"/>
        <v>2.3333333333333335</v>
      </c>
      <c r="W32" s="14" t="s">
        <v>7</v>
      </c>
      <c r="X32" s="14" t="s">
        <v>4</v>
      </c>
      <c r="Y32" s="53" t="s">
        <v>23</v>
      </c>
      <c r="Z32" s="49">
        <v>2400</v>
      </c>
      <c r="AA32" s="14">
        <v>1200</v>
      </c>
      <c r="AB32" s="19">
        <v>1</v>
      </c>
      <c r="AC32" s="20">
        <f t="shared" si="6"/>
        <v>0.44</v>
      </c>
    </row>
    <row r="33" spans="2:29" ht="15">
      <c r="B33" s="13" t="s">
        <v>13</v>
      </c>
      <c r="C33" s="14">
        <v>195</v>
      </c>
      <c r="D33" s="42">
        <v>165</v>
      </c>
      <c r="E33" s="42">
        <v>27</v>
      </c>
      <c r="F33" s="38">
        <v>273.83999999999997</v>
      </c>
      <c r="G33" s="15" t="s">
        <v>6</v>
      </c>
      <c r="H33" s="15" t="s">
        <v>6</v>
      </c>
      <c r="I33" s="15" t="s">
        <v>6</v>
      </c>
      <c r="J33" s="46">
        <v>523.76099999999997</v>
      </c>
      <c r="K33" s="38">
        <f t="shared" si="1"/>
        <v>0.50350886833996356</v>
      </c>
      <c r="L33" s="15" t="s">
        <v>6</v>
      </c>
      <c r="M33" s="15" t="s">
        <v>6</v>
      </c>
      <c r="N33" s="15" t="s">
        <v>6</v>
      </c>
      <c r="O33" s="15" t="s">
        <v>6</v>
      </c>
      <c r="P33" s="17">
        <f>J33</f>
        <v>523.76099999999997</v>
      </c>
      <c r="Q33" s="52">
        <v>4.5</v>
      </c>
      <c r="R33" s="19">
        <v>3.5</v>
      </c>
      <c r="S33" s="14" t="s">
        <v>29</v>
      </c>
      <c r="T33" s="18" t="s">
        <v>28</v>
      </c>
      <c r="U33" s="19">
        <v>2.5</v>
      </c>
      <c r="V33" s="19">
        <f t="shared" si="5"/>
        <v>1.4285714285714286</v>
      </c>
      <c r="W33" s="14" t="s">
        <v>5</v>
      </c>
      <c r="X33" s="14" t="s">
        <v>4</v>
      </c>
      <c r="Y33" s="53" t="s">
        <v>3</v>
      </c>
      <c r="Z33" s="49">
        <v>2400</v>
      </c>
      <c r="AA33" s="14">
        <v>1200</v>
      </c>
      <c r="AB33" s="19">
        <v>10</v>
      </c>
      <c r="AC33" s="20">
        <f t="shared" si="6"/>
        <v>4.4000000000000004</v>
      </c>
    </row>
    <row r="34" spans="2:29" ht="15">
      <c r="B34" s="13" t="s">
        <v>13</v>
      </c>
      <c r="C34" s="14">
        <v>197</v>
      </c>
      <c r="D34" s="42">
        <v>166</v>
      </c>
      <c r="E34" s="42">
        <v>28</v>
      </c>
      <c r="F34" s="38">
        <v>273.57</v>
      </c>
      <c r="G34" s="15">
        <v>314.93900000000002</v>
      </c>
      <c r="H34" s="15">
        <v>385.86200000000002</v>
      </c>
      <c r="I34" s="15">
        <v>812.93100000000004</v>
      </c>
      <c r="J34" s="46">
        <v>524.24800000000005</v>
      </c>
      <c r="K34" s="38">
        <f t="shared" si="1"/>
        <v>0.23350886833998175</v>
      </c>
      <c r="L34" s="15">
        <f t="shared" si="3"/>
        <v>0.25544860323304874</v>
      </c>
      <c r="M34" s="15">
        <f t="shared" si="4"/>
        <v>-0.23090028128797258</v>
      </c>
      <c r="N34" s="15">
        <f t="shared" si="2"/>
        <v>-0.33174199275595129</v>
      </c>
      <c r="O34" s="15">
        <f>0.000007284*J34^2 - 0.0091166343*J34 + 2.2630487752</f>
        <v>-0.51442335057526467</v>
      </c>
      <c r="P34" s="17">
        <f t="shared" si="7"/>
        <v>524.76242335057532</v>
      </c>
      <c r="Q34" s="52">
        <v>17.5</v>
      </c>
      <c r="R34" s="19">
        <v>13.5</v>
      </c>
      <c r="S34" s="14" t="s">
        <v>8</v>
      </c>
      <c r="T34" s="18" t="s">
        <v>28</v>
      </c>
      <c r="U34" s="19">
        <v>4</v>
      </c>
      <c r="V34" s="19">
        <f t="shared" si="5"/>
        <v>0.59259259259259256</v>
      </c>
      <c r="W34" s="14" t="s">
        <v>9</v>
      </c>
      <c r="X34" s="14" t="s">
        <v>4</v>
      </c>
      <c r="Y34" s="53" t="s">
        <v>3</v>
      </c>
      <c r="Z34" s="49">
        <v>2400</v>
      </c>
      <c r="AA34" s="14">
        <v>1200</v>
      </c>
      <c r="AB34" s="19">
        <v>0.1</v>
      </c>
      <c r="AC34" s="20">
        <f t="shared" si="6"/>
        <v>4.3999999999999997E-2</v>
      </c>
    </row>
    <row r="35" spans="2:29" ht="15">
      <c r="B35" s="13" t="s">
        <v>13</v>
      </c>
      <c r="C35" s="14">
        <v>197</v>
      </c>
      <c r="D35" s="42">
        <v>166</v>
      </c>
      <c r="E35" s="42">
        <v>29</v>
      </c>
      <c r="F35" s="38">
        <v>273.37099999999998</v>
      </c>
      <c r="G35" s="15">
        <v>314.66300000000001</v>
      </c>
      <c r="H35" s="15">
        <v>385.47699999999998</v>
      </c>
      <c r="I35" s="15">
        <v>812.75400000000002</v>
      </c>
      <c r="J35" s="46">
        <v>521.07299999999998</v>
      </c>
      <c r="K35" s="38">
        <f t="shared" si="1"/>
        <v>3.4508868339969467E-2</v>
      </c>
      <c r="L35" s="15">
        <f t="shared" si="3"/>
        <v>-2.0551396766961716E-2</v>
      </c>
      <c r="M35" s="15">
        <f t="shared" si="4"/>
        <v>-0.61590028128802032</v>
      </c>
      <c r="N35" s="15">
        <f t="shared" si="2"/>
        <v>-0.50874199275597221</v>
      </c>
      <c r="O35" s="15">
        <f>0.0000112423*J35^2 - 0.0133790471*J35 + 2.9344948646</f>
        <v>-0.9844889739362821</v>
      </c>
      <c r="P35" s="17">
        <f t="shared" si="7"/>
        <v>522.0574889739363</v>
      </c>
      <c r="Q35" s="52">
        <v>6</v>
      </c>
      <c r="R35" s="19">
        <v>3.5</v>
      </c>
      <c r="S35" s="14" t="s">
        <v>29</v>
      </c>
      <c r="T35" s="18" t="s">
        <v>25</v>
      </c>
      <c r="U35" s="19">
        <v>0</v>
      </c>
      <c r="V35" s="19">
        <f t="shared" si="5"/>
        <v>0</v>
      </c>
      <c r="W35" s="14" t="s">
        <v>9</v>
      </c>
      <c r="X35" s="14" t="s">
        <v>4</v>
      </c>
      <c r="Y35" s="53" t="s">
        <v>26</v>
      </c>
      <c r="Z35" s="49">
        <v>2400</v>
      </c>
      <c r="AA35" s="14">
        <v>1200</v>
      </c>
      <c r="AB35" s="19">
        <v>0.1</v>
      </c>
      <c r="AC35" s="20">
        <f t="shared" si="6"/>
        <v>4.3999999999999997E-2</v>
      </c>
    </row>
    <row r="36" spans="2:29" ht="15">
      <c r="B36" s="13" t="s">
        <v>13</v>
      </c>
      <c r="C36" s="14">
        <v>206</v>
      </c>
      <c r="D36" s="42">
        <v>173</v>
      </c>
      <c r="E36" s="42">
        <v>30</v>
      </c>
      <c r="F36" s="38">
        <v>275.11099999999999</v>
      </c>
      <c r="G36" s="15" t="s">
        <v>6</v>
      </c>
      <c r="H36" s="15">
        <v>387.565</v>
      </c>
      <c r="I36" s="15">
        <v>813.32</v>
      </c>
      <c r="J36" s="46">
        <v>524.14200000000005</v>
      </c>
      <c r="K36" s="38">
        <f t="shared" si="1"/>
        <v>1.7745088683399786</v>
      </c>
      <c r="L36" s="15" t="s">
        <v>6</v>
      </c>
      <c r="M36" s="15">
        <f t="shared" si="4"/>
        <v>1.472099718712002</v>
      </c>
      <c r="N36" s="15">
        <f t="shared" si="2"/>
        <v>5.7258007244058717E-2</v>
      </c>
      <c r="O36" s="15">
        <f xml:space="preserve"> -0.0000011671*J36^2 - 0.0019123331*J36 + 2.3844183894</f>
        <v>1.0614529374127954</v>
      </c>
      <c r="P36" s="17">
        <f t="shared" si="7"/>
        <v>523.08054706258724</v>
      </c>
      <c r="Q36" s="52">
        <v>5</v>
      </c>
      <c r="R36" s="19">
        <v>5</v>
      </c>
      <c r="S36" s="14" t="s">
        <v>29</v>
      </c>
      <c r="T36" s="18" t="s">
        <v>28</v>
      </c>
      <c r="U36" s="19">
        <v>5</v>
      </c>
      <c r="V36" s="19">
        <f t="shared" si="5"/>
        <v>2</v>
      </c>
      <c r="W36" s="14" t="s">
        <v>7</v>
      </c>
      <c r="X36" s="14" t="s">
        <v>4</v>
      </c>
      <c r="Y36" s="53" t="s">
        <v>3</v>
      </c>
      <c r="Z36" s="49">
        <v>2400</v>
      </c>
      <c r="AA36" s="14">
        <v>1200</v>
      </c>
      <c r="AB36" s="19">
        <v>0.1</v>
      </c>
      <c r="AC36" s="20">
        <f t="shared" si="6"/>
        <v>4.3999999999999997E-2</v>
      </c>
    </row>
    <row r="37" spans="2:29" ht="15">
      <c r="B37" s="13" t="s">
        <v>13</v>
      </c>
      <c r="C37" s="14">
        <v>226</v>
      </c>
      <c r="D37" s="42">
        <v>188</v>
      </c>
      <c r="E37" s="42">
        <v>31</v>
      </c>
      <c r="F37" s="38">
        <v>274.75900000000001</v>
      </c>
      <c r="G37" s="15" t="s">
        <v>6</v>
      </c>
      <c r="H37" s="15">
        <v>387.6</v>
      </c>
      <c r="I37" s="15">
        <v>814.46199999999999</v>
      </c>
      <c r="J37" s="46">
        <v>524.01499999999999</v>
      </c>
      <c r="K37" s="38">
        <f t="shared" si="1"/>
        <v>1.4225088683400031</v>
      </c>
      <c r="L37" s="15" t="s">
        <v>6</v>
      </c>
      <c r="M37" s="15">
        <f t="shared" si="4"/>
        <v>1.507099718712027</v>
      </c>
      <c r="N37" s="15">
        <f t="shared" si="2"/>
        <v>1.1992580072439978</v>
      </c>
      <c r="O37" s="15">
        <f xml:space="preserve"> -0.0000027242*J37^2 + 0.0025466213*J37 + 0.9299564831</f>
        <v>1.516381479382555</v>
      </c>
      <c r="P37" s="17">
        <f t="shared" si="7"/>
        <v>522.49861852061747</v>
      </c>
      <c r="Q37" s="52">
        <v>8</v>
      </c>
      <c r="R37" s="19">
        <v>8</v>
      </c>
      <c r="S37" s="14" t="s">
        <v>29</v>
      </c>
      <c r="T37" s="18" t="s">
        <v>28</v>
      </c>
      <c r="U37" s="19">
        <v>6</v>
      </c>
      <c r="V37" s="19">
        <f t="shared" si="5"/>
        <v>1.5</v>
      </c>
      <c r="W37" s="14" t="s">
        <v>7</v>
      </c>
      <c r="X37" s="14" t="s">
        <v>4</v>
      </c>
      <c r="Y37" s="53" t="s">
        <v>3</v>
      </c>
      <c r="Z37" s="49">
        <v>2400</v>
      </c>
      <c r="AA37" s="14">
        <v>1200</v>
      </c>
      <c r="AB37" s="19">
        <v>0.1</v>
      </c>
      <c r="AC37" s="20">
        <f t="shared" si="6"/>
        <v>4.3999999999999997E-2</v>
      </c>
    </row>
    <row r="38" spans="2:29" ht="15">
      <c r="B38" s="13" t="s">
        <v>13</v>
      </c>
      <c r="C38" s="14">
        <v>240</v>
      </c>
      <c r="D38" s="42">
        <v>200</v>
      </c>
      <c r="E38" s="42">
        <v>32</v>
      </c>
      <c r="F38" s="38">
        <v>273.84399999999999</v>
      </c>
      <c r="G38" s="15" t="s">
        <v>6</v>
      </c>
      <c r="H38" s="15">
        <v>386.21899999999999</v>
      </c>
      <c r="I38" s="15">
        <v>813.16600000000005</v>
      </c>
      <c r="J38" s="46">
        <v>522.06500000000005</v>
      </c>
      <c r="K38" s="38">
        <f t="shared" si="1"/>
        <v>0.50750886833998266</v>
      </c>
      <c r="L38" s="15" t="s">
        <v>6</v>
      </c>
      <c r="M38" s="15">
        <f t="shared" si="4"/>
        <v>0.12609971871199832</v>
      </c>
      <c r="N38" s="15">
        <f t="shared" si="2"/>
        <v>-9.6741992755937645E-2</v>
      </c>
      <c r="O38" s="15">
        <f>0.0000052987*J38^2 - 0.0068767329*J38 + 1.9912876819</f>
        <v>-0.15464331656949271</v>
      </c>
      <c r="P38" s="17">
        <f t="shared" si="7"/>
        <v>522.21964331656955</v>
      </c>
      <c r="Q38" s="52">
        <v>3.5</v>
      </c>
      <c r="R38" s="19">
        <v>3.5</v>
      </c>
      <c r="S38" s="14" t="s">
        <v>29</v>
      </c>
      <c r="T38" s="18" t="s">
        <v>28</v>
      </c>
      <c r="U38" s="19">
        <v>6</v>
      </c>
      <c r="V38" s="19">
        <f t="shared" si="5"/>
        <v>3.4285714285714284</v>
      </c>
      <c r="W38" s="14" t="s">
        <v>9</v>
      </c>
      <c r="X38" s="14" t="s">
        <v>4</v>
      </c>
      <c r="Y38" s="53" t="s">
        <v>3</v>
      </c>
      <c r="Z38" s="49">
        <v>2400</v>
      </c>
      <c r="AA38" s="14">
        <v>1200</v>
      </c>
      <c r="AB38" s="19">
        <v>0.1</v>
      </c>
      <c r="AC38" s="20">
        <f t="shared" si="6"/>
        <v>4.3999999999999997E-2</v>
      </c>
    </row>
    <row r="39" spans="2:29" ht="15">
      <c r="B39" s="13" t="s">
        <v>13</v>
      </c>
      <c r="C39" s="14">
        <v>240</v>
      </c>
      <c r="D39" s="42">
        <v>200</v>
      </c>
      <c r="E39" s="42">
        <v>33</v>
      </c>
      <c r="F39" s="38">
        <v>274.584</v>
      </c>
      <c r="G39" s="15" t="s">
        <v>6</v>
      </c>
      <c r="H39" s="15">
        <v>386.8</v>
      </c>
      <c r="I39" s="15">
        <v>813.79499999999996</v>
      </c>
      <c r="J39" s="46">
        <v>524.23099999999999</v>
      </c>
      <c r="K39" s="38">
        <f t="shared" si="1"/>
        <v>1.2475088683399917</v>
      </c>
      <c r="L39" s="15" t="s">
        <v>6</v>
      </c>
      <c r="M39" s="15">
        <f t="shared" si="4"/>
        <v>0.7070997187120156</v>
      </c>
      <c r="N39" s="15">
        <f t="shared" si="2"/>
        <v>0.53225800724396777</v>
      </c>
      <c r="O39" s="15">
        <f>0.0000081185*J39^2 - 0.0101463147*J39 + 3.414308065</f>
        <v>0.32640644414357833</v>
      </c>
      <c r="P39" s="17">
        <f t="shared" si="7"/>
        <v>523.90459355585642</v>
      </c>
      <c r="Q39" s="52">
        <v>1.5</v>
      </c>
      <c r="R39" s="19">
        <v>1.5</v>
      </c>
      <c r="S39" s="14" t="s">
        <v>29</v>
      </c>
      <c r="T39" s="18" t="s">
        <v>28</v>
      </c>
      <c r="U39" s="19">
        <v>2</v>
      </c>
      <c r="V39" s="19">
        <f t="shared" si="5"/>
        <v>2.6666666666666665</v>
      </c>
      <c r="W39" s="14" t="s">
        <v>7</v>
      </c>
      <c r="X39" s="14" t="s">
        <v>4</v>
      </c>
      <c r="Y39" s="53" t="s">
        <v>3</v>
      </c>
      <c r="Z39" s="49">
        <v>2400</v>
      </c>
      <c r="AA39" s="14">
        <v>1200</v>
      </c>
      <c r="AB39" s="19">
        <v>1</v>
      </c>
      <c r="AC39" s="20">
        <f t="shared" si="6"/>
        <v>0.44</v>
      </c>
    </row>
    <row r="40" spans="2:29" ht="15">
      <c r="B40" s="13" t="s">
        <v>14</v>
      </c>
      <c r="C40" s="14">
        <v>364</v>
      </c>
      <c r="D40" s="42">
        <v>137</v>
      </c>
      <c r="E40" s="42">
        <v>34</v>
      </c>
      <c r="F40" s="38">
        <v>274.78199999999998</v>
      </c>
      <c r="G40" s="15">
        <v>315.94200000000001</v>
      </c>
      <c r="H40" s="15">
        <v>387.29500000000002</v>
      </c>
      <c r="I40" s="15">
        <v>814.06200000000001</v>
      </c>
      <c r="J40" s="46">
        <v>523.52</v>
      </c>
      <c r="K40" s="38">
        <f t="shared" si="1"/>
        <v>1.4455088683399708</v>
      </c>
      <c r="L40" s="15">
        <f t="shared" si="3"/>
        <v>1.2584486032330346</v>
      </c>
      <c r="M40" s="15">
        <f t="shared" si="4"/>
        <v>1.2020997187120201</v>
      </c>
      <c r="N40" s="15">
        <f t="shared" si="2"/>
        <v>0.79925800724402052</v>
      </c>
      <c r="O40" s="16">
        <f>0.0000022118*J40^2 - 0.0035341489*J40 + 2.2113201532</f>
        <v>0.9673176035987201</v>
      </c>
      <c r="P40" s="17">
        <f t="shared" si="7"/>
        <v>522.55268239640122</v>
      </c>
      <c r="Q40" s="52">
        <v>6</v>
      </c>
      <c r="R40" s="19">
        <v>6</v>
      </c>
      <c r="S40" s="14" t="s">
        <v>29</v>
      </c>
      <c r="T40" s="18" t="s">
        <v>28</v>
      </c>
      <c r="U40" s="19">
        <v>6</v>
      </c>
      <c r="V40" s="19">
        <f t="shared" si="5"/>
        <v>2</v>
      </c>
      <c r="W40" s="14" t="s">
        <v>7</v>
      </c>
      <c r="X40" s="14" t="s">
        <v>4</v>
      </c>
      <c r="Y40" s="53" t="s">
        <v>3</v>
      </c>
      <c r="Z40" s="49">
        <v>2400</v>
      </c>
      <c r="AA40" s="14">
        <v>1200</v>
      </c>
      <c r="AB40" s="19">
        <v>0.1</v>
      </c>
      <c r="AC40" s="20">
        <f t="shared" si="6"/>
        <v>4.3999999999999997E-2</v>
      </c>
    </row>
    <row r="41" spans="2:29" ht="15">
      <c r="B41" s="13" t="s">
        <v>14</v>
      </c>
      <c r="C41" s="14">
        <v>364</v>
      </c>
      <c r="D41" s="42">
        <v>137</v>
      </c>
      <c r="E41" s="42">
        <v>35</v>
      </c>
      <c r="F41" s="38">
        <v>274.88200000000001</v>
      </c>
      <c r="G41" s="15" t="s">
        <v>6</v>
      </c>
      <c r="H41" s="15">
        <v>387.47800000000001</v>
      </c>
      <c r="I41" s="15">
        <v>814.13499999999999</v>
      </c>
      <c r="J41" s="46">
        <v>525.88900000000001</v>
      </c>
      <c r="K41" s="38">
        <f t="shared" si="1"/>
        <v>1.5455088683399936</v>
      </c>
      <c r="L41" s="15" t="s">
        <v>6</v>
      </c>
      <c r="M41" s="15">
        <f t="shared" si="4"/>
        <v>1.3850997187120129</v>
      </c>
      <c r="N41" s="15">
        <f t="shared" si="2"/>
        <v>0.8722580072439996</v>
      </c>
      <c r="O41" s="15">
        <f>0.0000004113*J41^2 - 0.0016938255*J41 + 1.9777654341</f>
        <v>1.2007500512745271</v>
      </c>
      <c r="P41" s="17">
        <f t="shared" si="7"/>
        <v>524.68824994872546</v>
      </c>
      <c r="Q41" s="52">
        <v>8</v>
      </c>
      <c r="R41" s="19">
        <v>7</v>
      </c>
      <c r="S41" s="14" t="s">
        <v>29</v>
      </c>
      <c r="T41" s="18" t="s">
        <v>28</v>
      </c>
      <c r="U41" s="19">
        <v>9</v>
      </c>
      <c r="V41" s="19">
        <f t="shared" si="5"/>
        <v>2.5714285714285716</v>
      </c>
      <c r="W41" s="14" t="s">
        <v>5</v>
      </c>
      <c r="X41" s="14" t="s">
        <v>4</v>
      </c>
      <c r="Y41" s="53" t="s">
        <v>3</v>
      </c>
      <c r="Z41" s="49">
        <v>2400</v>
      </c>
      <c r="AA41" s="14">
        <v>1200</v>
      </c>
      <c r="AB41" s="19">
        <v>0.1</v>
      </c>
      <c r="AC41" s="20">
        <f t="shared" si="6"/>
        <v>4.3999999999999997E-2</v>
      </c>
    </row>
    <row r="42" spans="2:29" ht="15">
      <c r="B42" s="13" t="s">
        <v>15</v>
      </c>
      <c r="C42" s="14">
        <v>83</v>
      </c>
      <c r="D42" s="42">
        <v>56</v>
      </c>
      <c r="E42" s="42">
        <v>36</v>
      </c>
      <c r="F42" s="38">
        <v>275.52100000000002</v>
      </c>
      <c r="G42" s="15">
        <v>317.029</v>
      </c>
      <c r="H42" s="15">
        <v>388.04500000000002</v>
      </c>
      <c r="I42" s="15">
        <v>814.65</v>
      </c>
      <c r="J42" s="46">
        <v>526.00599999999997</v>
      </c>
      <c r="K42" s="38">
        <f t="shared" si="1"/>
        <v>2.1845088683400036</v>
      </c>
      <c r="L42" s="15">
        <f t="shared" si="3"/>
        <v>2.3454486032330237</v>
      </c>
      <c r="M42" s="15">
        <f t="shared" si="4"/>
        <v>1.9520997187120201</v>
      </c>
      <c r="N42" s="15">
        <f t="shared" si="2"/>
        <v>1.387258007243986</v>
      </c>
      <c r="O42" s="15">
        <f>0.0000014775*J42^2 - 0.0032635849*J42 + 3.0621049439</f>
        <v>1.7542378210237903</v>
      </c>
      <c r="P42" s="17">
        <f t="shared" si="7"/>
        <v>524.25176217897615</v>
      </c>
      <c r="Q42" s="52">
        <v>14.5</v>
      </c>
      <c r="R42" s="19">
        <v>9</v>
      </c>
      <c r="S42" s="14" t="s">
        <v>8</v>
      </c>
      <c r="T42" s="18" t="s">
        <v>28</v>
      </c>
      <c r="U42" s="19">
        <v>4</v>
      </c>
      <c r="V42" s="19">
        <f t="shared" si="5"/>
        <v>0.88888888888888884</v>
      </c>
      <c r="W42" s="14" t="s">
        <v>9</v>
      </c>
      <c r="X42" s="14" t="s">
        <v>4</v>
      </c>
      <c r="Y42" s="53" t="s">
        <v>3</v>
      </c>
      <c r="Z42" s="49">
        <v>2400</v>
      </c>
      <c r="AA42" s="14">
        <v>1200</v>
      </c>
      <c r="AB42" s="19">
        <v>0.1</v>
      </c>
      <c r="AC42" s="20">
        <f t="shared" si="6"/>
        <v>4.3999999999999997E-2</v>
      </c>
    </row>
    <row r="43" spans="2:29" ht="15">
      <c r="B43" s="13" t="s">
        <v>15</v>
      </c>
      <c r="C43" s="14">
        <v>272</v>
      </c>
      <c r="D43" s="42">
        <v>186</v>
      </c>
      <c r="E43" s="42">
        <v>37</v>
      </c>
      <c r="F43" s="38">
        <v>274.83699999999999</v>
      </c>
      <c r="G43" s="15">
        <v>316.19200000000001</v>
      </c>
      <c r="H43" s="15">
        <v>387.36399999999998</v>
      </c>
      <c r="I43" s="15">
        <v>814.12900000000002</v>
      </c>
      <c r="J43" s="46">
        <v>525.32899999999995</v>
      </c>
      <c r="K43" s="38">
        <f t="shared" si="1"/>
        <v>1.5005088683399777</v>
      </c>
      <c r="L43" s="15">
        <f t="shared" si="3"/>
        <v>1.5084486032330346</v>
      </c>
      <c r="M43" s="15">
        <f t="shared" si="4"/>
        <v>1.2710997187119801</v>
      </c>
      <c r="N43" s="15">
        <f t="shared" si="2"/>
        <v>0.86625800724402779</v>
      </c>
      <c r="O43" s="15">
        <f>0.0000020556*J43^2 - 0.0034794472*J43 + 2.3355626868</f>
        <v>1.0749932481913995</v>
      </c>
      <c r="P43" s="17">
        <f t="shared" si="7"/>
        <v>524.25400675180856</v>
      </c>
      <c r="Q43" s="52">
        <v>10</v>
      </c>
      <c r="R43" s="19">
        <v>9</v>
      </c>
      <c r="S43" s="14" t="s">
        <v>29</v>
      </c>
      <c r="T43" s="18" t="s">
        <v>28</v>
      </c>
      <c r="U43" s="19">
        <v>8</v>
      </c>
      <c r="V43" s="19">
        <f t="shared" si="5"/>
        <v>1.7777777777777777</v>
      </c>
      <c r="W43" s="14" t="s">
        <v>5</v>
      </c>
      <c r="X43" s="14" t="s">
        <v>4</v>
      </c>
      <c r="Y43" s="53" t="s">
        <v>3</v>
      </c>
      <c r="Z43" s="49">
        <v>2400</v>
      </c>
      <c r="AA43" s="14">
        <v>1200</v>
      </c>
      <c r="AB43" s="19">
        <v>0.1</v>
      </c>
      <c r="AC43" s="20">
        <f t="shared" si="6"/>
        <v>4.3999999999999997E-2</v>
      </c>
    </row>
    <row r="44" spans="2:29" ht="15">
      <c r="B44" s="13" t="s">
        <v>15</v>
      </c>
      <c r="C44" s="14">
        <v>272</v>
      </c>
      <c r="D44" s="42">
        <v>186</v>
      </c>
      <c r="E44" s="42">
        <v>38</v>
      </c>
      <c r="F44" s="38">
        <v>274.36599999999999</v>
      </c>
      <c r="G44" s="15">
        <v>315.88900000000001</v>
      </c>
      <c r="H44" s="15">
        <v>386.94799999999998</v>
      </c>
      <c r="I44" s="15">
        <v>813.63400000000001</v>
      </c>
      <c r="J44" s="46">
        <v>523.46400000000006</v>
      </c>
      <c r="K44" s="38">
        <f t="shared" si="1"/>
        <v>1.029508868339974</v>
      </c>
      <c r="L44" s="15">
        <f t="shared" si="3"/>
        <v>1.2054486032330374</v>
      </c>
      <c r="M44" s="15">
        <f t="shared" si="4"/>
        <v>0.85509971871198331</v>
      </c>
      <c r="N44" s="15">
        <f t="shared" si="2"/>
        <v>0.37125800724402325</v>
      </c>
      <c r="O44" s="16">
        <f>0.0000008725*J44^2 - 0.0023429125*J44 + 1.6975687552</f>
        <v>0.71021610928575996</v>
      </c>
      <c r="P44" s="17">
        <f t="shared" si="7"/>
        <v>522.75378389071432</v>
      </c>
      <c r="Q44" s="52">
        <v>10</v>
      </c>
      <c r="R44" s="19">
        <v>6</v>
      </c>
      <c r="S44" s="14" t="s">
        <v>29</v>
      </c>
      <c r="T44" s="18" t="s">
        <v>28</v>
      </c>
      <c r="U44" s="19">
        <v>6</v>
      </c>
      <c r="V44" s="19">
        <f t="shared" si="5"/>
        <v>2</v>
      </c>
      <c r="W44" s="14" t="s">
        <v>5</v>
      </c>
      <c r="X44" s="14" t="s">
        <v>4</v>
      </c>
      <c r="Y44" s="53" t="s">
        <v>3</v>
      </c>
      <c r="Z44" s="49">
        <v>2400</v>
      </c>
      <c r="AA44" s="14">
        <v>1200</v>
      </c>
      <c r="AB44" s="19">
        <v>0.1</v>
      </c>
      <c r="AC44" s="20">
        <f t="shared" si="6"/>
        <v>4.3999999999999997E-2</v>
      </c>
    </row>
    <row r="45" spans="2:29" ht="15">
      <c r="B45" s="13" t="s">
        <v>12</v>
      </c>
      <c r="C45" s="14">
        <v>1</v>
      </c>
      <c r="D45" s="42">
        <v>1</v>
      </c>
      <c r="E45" s="42">
        <v>39</v>
      </c>
      <c r="F45" s="38">
        <v>274.09100000000001</v>
      </c>
      <c r="G45" s="15">
        <v>315.15100000000001</v>
      </c>
      <c r="H45" s="15">
        <v>386.584</v>
      </c>
      <c r="I45" s="15">
        <v>813.34299999999996</v>
      </c>
      <c r="J45" s="46">
        <v>523.17499999999995</v>
      </c>
      <c r="K45" s="38">
        <f t="shared" si="1"/>
        <v>0.75450886833999675</v>
      </c>
      <c r="L45" s="15">
        <f t="shared" si="3"/>
        <v>0.46744860323303783</v>
      </c>
      <c r="M45" s="15">
        <f t="shared" si="4"/>
        <v>0.49109971871200742</v>
      </c>
      <c r="N45" s="15">
        <f t="shared" si="2"/>
        <v>8.0258007243969587E-2</v>
      </c>
      <c r="O45" s="15">
        <f xml:space="preserve"> 0.0000024657*J45^2 - 0.0037952074*J45 + 1.5375175226</f>
        <v>0.22685176830206277</v>
      </c>
      <c r="P45" s="17">
        <f t="shared" si="7"/>
        <v>522.94814823169793</v>
      </c>
      <c r="Q45" s="52">
        <v>6.5</v>
      </c>
      <c r="R45" s="19">
        <v>5</v>
      </c>
      <c r="S45" s="14" t="s">
        <v>29</v>
      </c>
      <c r="T45" s="18" t="s">
        <v>28</v>
      </c>
      <c r="U45" s="19">
        <v>2</v>
      </c>
      <c r="V45" s="19">
        <f t="shared" si="5"/>
        <v>0.8</v>
      </c>
      <c r="W45" s="14" t="s">
        <v>5</v>
      </c>
      <c r="X45" s="14" t="s">
        <v>4</v>
      </c>
      <c r="Y45" s="53" t="s">
        <v>3</v>
      </c>
      <c r="Z45" s="49">
        <v>2400</v>
      </c>
      <c r="AA45" s="14">
        <v>1200</v>
      </c>
      <c r="AB45" s="19">
        <v>0.1</v>
      </c>
      <c r="AC45" s="20">
        <f t="shared" si="6"/>
        <v>4.3999999999999997E-2</v>
      </c>
    </row>
    <row r="46" spans="2:29" ht="15">
      <c r="B46" s="13" t="s">
        <v>12</v>
      </c>
      <c r="C46" s="14">
        <v>1</v>
      </c>
      <c r="D46" s="42">
        <v>1</v>
      </c>
      <c r="E46" s="42">
        <v>40</v>
      </c>
      <c r="F46" s="38">
        <v>274.012</v>
      </c>
      <c r="G46" s="15">
        <v>314.63099999999997</v>
      </c>
      <c r="H46" s="15">
        <v>386.66500000000002</v>
      </c>
      <c r="I46" s="15">
        <v>813.34799999999996</v>
      </c>
      <c r="J46" s="46">
        <v>520.96</v>
      </c>
      <c r="K46" s="38">
        <f t="shared" si="1"/>
        <v>0.67550886833998902</v>
      </c>
      <c r="L46" s="15">
        <f t="shared" si="3"/>
        <v>-5.2551396767000824E-2</v>
      </c>
      <c r="M46" s="15">
        <f t="shared" si="4"/>
        <v>0.5720997187120247</v>
      </c>
      <c r="N46" s="15">
        <f t="shared" si="2"/>
        <v>8.5258007243965039E-2</v>
      </c>
      <c r="O46" s="16">
        <f xml:space="preserve"> -0.0000007135*J46^2 + 0.0001837478*J46 + 0.4135281708</f>
        <v>0.31561000872639994</v>
      </c>
      <c r="P46" s="17">
        <f t="shared" si="7"/>
        <v>520.64438999127367</v>
      </c>
      <c r="Q46" s="52">
        <v>12</v>
      </c>
      <c r="R46" s="19">
        <v>12</v>
      </c>
      <c r="S46" s="14" t="s">
        <v>29</v>
      </c>
      <c r="T46" s="18" t="s">
        <v>25</v>
      </c>
      <c r="U46" s="19">
        <v>0</v>
      </c>
      <c r="V46" s="19">
        <f t="shared" si="5"/>
        <v>0</v>
      </c>
      <c r="W46" s="14" t="s">
        <v>7</v>
      </c>
      <c r="X46" s="14" t="s">
        <v>4</v>
      </c>
      <c r="Y46" s="53" t="s">
        <v>10</v>
      </c>
      <c r="Z46" s="49">
        <v>2400</v>
      </c>
      <c r="AA46" s="14">
        <v>1200</v>
      </c>
      <c r="AB46" s="19">
        <v>0.1</v>
      </c>
      <c r="AC46" s="20">
        <f t="shared" si="6"/>
        <v>4.3999999999999997E-2</v>
      </c>
    </row>
    <row r="47" spans="2:29" ht="15">
      <c r="B47" s="13" t="s">
        <v>12</v>
      </c>
      <c r="C47" s="14">
        <v>35</v>
      </c>
      <c r="D47" s="42">
        <v>28</v>
      </c>
      <c r="E47" s="42">
        <v>41</v>
      </c>
      <c r="F47" s="38">
        <v>273.863</v>
      </c>
      <c r="G47" s="15">
        <v>313.52699999999999</v>
      </c>
      <c r="H47" s="15">
        <v>386.26100000000002</v>
      </c>
      <c r="I47" s="15">
        <v>813.13800000000003</v>
      </c>
      <c r="J47" s="46">
        <v>523.23500000000001</v>
      </c>
      <c r="K47" s="38">
        <f t="shared" si="1"/>
        <v>0.52650886833998811</v>
      </c>
      <c r="L47" s="15">
        <f>G47-G$6</f>
        <v>-1.1565513967669858</v>
      </c>
      <c r="M47" s="15">
        <f t="shared" si="4"/>
        <v>0.16809971871202833</v>
      </c>
      <c r="N47" s="15">
        <f t="shared" si="2"/>
        <v>-0.12474199275595765</v>
      </c>
      <c r="O47" s="16">
        <f>0.0000039473*J47^2 - 0.004379299*J47 + 0.8389557578</f>
        <v>-0.37177522896235726</v>
      </c>
      <c r="P47" s="17">
        <f t="shared" si="7"/>
        <v>523.60677522896242</v>
      </c>
      <c r="Q47" s="52">
        <v>6</v>
      </c>
      <c r="R47" s="19">
        <v>5.5</v>
      </c>
      <c r="S47" s="14" t="s">
        <v>29</v>
      </c>
      <c r="T47" s="18" t="s">
        <v>28</v>
      </c>
      <c r="U47" s="19">
        <v>6.5</v>
      </c>
      <c r="V47" s="19">
        <f t="shared" si="5"/>
        <v>2.3636363636363638</v>
      </c>
      <c r="W47" s="14" t="s">
        <v>5</v>
      </c>
      <c r="X47" s="14" t="s">
        <v>4</v>
      </c>
      <c r="Y47" s="53" t="s">
        <v>3</v>
      </c>
      <c r="Z47" s="49">
        <v>2400</v>
      </c>
      <c r="AA47" s="14">
        <v>1200</v>
      </c>
      <c r="AB47" s="19">
        <v>0.1</v>
      </c>
      <c r="AC47" s="20">
        <f t="shared" si="6"/>
        <v>4.3999999999999997E-2</v>
      </c>
    </row>
    <row r="48" spans="2:29" ht="15">
      <c r="B48" s="13" t="s">
        <v>12</v>
      </c>
      <c r="C48" s="14">
        <v>116</v>
      </c>
      <c r="D48" s="42">
        <v>90</v>
      </c>
      <c r="E48" s="42">
        <v>42</v>
      </c>
      <c r="F48" s="38">
        <v>273.74700000000001</v>
      </c>
      <c r="G48" s="15" t="s">
        <v>6</v>
      </c>
      <c r="H48" s="15">
        <v>387.24099999999999</v>
      </c>
      <c r="I48" s="15">
        <v>813.33100000000002</v>
      </c>
      <c r="J48" s="46">
        <v>525.01700000000005</v>
      </c>
      <c r="K48" s="38">
        <f t="shared" si="1"/>
        <v>0.41050886834000266</v>
      </c>
      <c r="L48" s="15" t="s">
        <v>6</v>
      </c>
      <c r="M48" s="15">
        <f t="shared" si="4"/>
        <v>1.1480997187119897</v>
      </c>
      <c r="N48" s="15">
        <f t="shared" si="2"/>
        <v>6.8258007244025976E-2</v>
      </c>
      <c r="O48" s="15">
        <f xml:space="preserve"> -0.0000167974*J48^2 + 0.0176181464*J48 - 3.150192801</f>
        <v>1.4695503540443511</v>
      </c>
      <c r="P48" s="17">
        <f t="shared" si="7"/>
        <v>523.54744964595568</v>
      </c>
      <c r="Q48" s="52">
        <v>20</v>
      </c>
      <c r="R48" s="19">
        <v>9</v>
      </c>
      <c r="S48" s="14" t="s">
        <v>8</v>
      </c>
      <c r="T48" s="18" t="s">
        <v>28</v>
      </c>
      <c r="U48" s="19">
        <v>10</v>
      </c>
      <c r="V48" s="19">
        <f t="shared" si="5"/>
        <v>2.2222222222222223</v>
      </c>
      <c r="W48" s="14" t="s">
        <v>5</v>
      </c>
      <c r="X48" s="14" t="s">
        <v>4</v>
      </c>
      <c r="Y48" s="53" t="s">
        <v>3</v>
      </c>
      <c r="Z48" s="49">
        <v>2400</v>
      </c>
      <c r="AA48" s="14">
        <v>1200</v>
      </c>
      <c r="AB48" s="19">
        <v>0.1</v>
      </c>
      <c r="AC48" s="20">
        <f t="shared" si="6"/>
        <v>4.3999999999999997E-2</v>
      </c>
    </row>
    <row r="49" spans="2:29" ht="15">
      <c r="B49" s="13" t="s">
        <v>12</v>
      </c>
      <c r="C49" s="14">
        <v>189</v>
      </c>
      <c r="D49" s="42">
        <v>153</v>
      </c>
      <c r="E49" s="42">
        <v>43</v>
      </c>
      <c r="F49" s="38">
        <v>273.74099999999999</v>
      </c>
      <c r="G49" s="15" t="s">
        <v>6</v>
      </c>
      <c r="H49" s="15" t="s">
        <v>6</v>
      </c>
      <c r="I49" s="15">
        <v>813.154</v>
      </c>
      <c r="J49" s="46">
        <v>520.18399999999997</v>
      </c>
      <c r="K49" s="38">
        <f t="shared" si="1"/>
        <v>0.40450886833997401</v>
      </c>
      <c r="L49" s="15" t="s">
        <v>6</v>
      </c>
      <c r="M49" s="15" t="s">
        <v>6</v>
      </c>
      <c r="N49" s="15">
        <f t="shared" si="2"/>
        <v>-0.10874199275599494</v>
      </c>
      <c r="O49" s="15">
        <f>-0.0009505944*J49 + 0.6643410014</f>
        <v>0.16985700403039999</v>
      </c>
      <c r="P49" s="17">
        <f t="shared" si="7"/>
        <v>520.01414299596956</v>
      </c>
      <c r="Q49" s="52">
        <v>8.5</v>
      </c>
      <c r="R49" s="19">
        <v>7</v>
      </c>
      <c r="S49" s="14" t="s">
        <v>29</v>
      </c>
      <c r="T49" s="18" t="s">
        <v>25</v>
      </c>
      <c r="U49" s="19">
        <v>0</v>
      </c>
      <c r="V49" s="19">
        <f t="shared" si="5"/>
        <v>0</v>
      </c>
      <c r="W49" s="14" t="s">
        <v>9</v>
      </c>
      <c r="X49" s="14" t="s">
        <v>4</v>
      </c>
      <c r="Y49" s="53" t="s">
        <v>10</v>
      </c>
      <c r="Z49" s="49">
        <v>2400</v>
      </c>
      <c r="AA49" s="14">
        <v>1200</v>
      </c>
      <c r="AB49" s="19">
        <v>0.1</v>
      </c>
      <c r="AC49" s="20">
        <f t="shared" si="6"/>
        <v>4.3999999999999997E-2</v>
      </c>
    </row>
    <row r="50" spans="2:29" ht="15">
      <c r="B50" s="13" t="s">
        <v>16</v>
      </c>
      <c r="C50" s="14">
        <v>89</v>
      </c>
      <c r="D50" s="42">
        <v>47</v>
      </c>
      <c r="E50" s="42">
        <v>44</v>
      </c>
      <c r="F50" s="38">
        <v>274.92200000000003</v>
      </c>
      <c r="G50" s="15" t="s">
        <v>6</v>
      </c>
      <c r="H50" s="15">
        <v>387.37099999999998</v>
      </c>
      <c r="I50" s="15">
        <v>814.14200000000005</v>
      </c>
      <c r="J50" s="46">
        <v>523.94500000000005</v>
      </c>
      <c r="K50" s="38">
        <f t="shared" si="1"/>
        <v>1.585508868340014</v>
      </c>
      <c r="L50" s="15" t="s">
        <v>6</v>
      </c>
      <c r="M50" s="15">
        <f t="shared" si="4"/>
        <v>1.2780997187119851</v>
      </c>
      <c r="N50" s="15">
        <f t="shared" si="2"/>
        <v>0.87925800724406145</v>
      </c>
      <c r="O50" s="15">
        <f>0.0000033201*J50^2 - 0.0049157063*J50 + 2.6810941109</f>
        <v>1.0169627906258025</v>
      </c>
      <c r="P50" s="17">
        <f t="shared" si="7"/>
        <v>522.92803720937422</v>
      </c>
      <c r="Q50" s="52">
        <v>10</v>
      </c>
      <c r="R50" s="19">
        <v>7</v>
      </c>
      <c r="S50" s="14" t="s">
        <v>29</v>
      </c>
      <c r="T50" s="18" t="s">
        <v>28</v>
      </c>
      <c r="U50" s="19">
        <v>10</v>
      </c>
      <c r="V50" s="19">
        <f t="shared" si="5"/>
        <v>2.8571428571428572</v>
      </c>
      <c r="W50" s="14" t="s">
        <v>5</v>
      </c>
      <c r="X50" s="14" t="s">
        <v>4</v>
      </c>
      <c r="Y50" s="53" t="s">
        <v>3</v>
      </c>
      <c r="Z50" s="49">
        <v>2400</v>
      </c>
      <c r="AA50" s="14">
        <v>1200</v>
      </c>
      <c r="AB50" s="19">
        <v>0.1</v>
      </c>
      <c r="AC50" s="20">
        <f t="shared" si="6"/>
        <v>4.3999999999999997E-2</v>
      </c>
    </row>
    <row r="51" spans="2:29" ht="15">
      <c r="B51" s="13" t="s">
        <v>16</v>
      </c>
      <c r="C51" s="14">
        <v>89</v>
      </c>
      <c r="D51" s="42">
        <v>47</v>
      </c>
      <c r="E51" s="42">
        <v>45</v>
      </c>
      <c r="F51" s="38">
        <v>274.62400000000002</v>
      </c>
      <c r="G51" s="15" t="s">
        <v>6</v>
      </c>
      <c r="H51" s="15">
        <v>387.16199999999998</v>
      </c>
      <c r="I51" s="15">
        <v>813.85699999999997</v>
      </c>
      <c r="J51" s="46">
        <v>523.71600000000001</v>
      </c>
      <c r="K51" s="38">
        <f t="shared" si="1"/>
        <v>1.2875088683400122</v>
      </c>
      <c r="L51" s="15" t="s">
        <v>6</v>
      </c>
      <c r="M51" s="15">
        <f t="shared" si="4"/>
        <v>1.069099718711982</v>
      </c>
      <c r="N51" s="15">
        <f t="shared" si="2"/>
        <v>0.59425800724397959</v>
      </c>
      <c r="O51" s="15">
        <f xml:space="preserve"> 0.0000015287*J51^2 - 0.0029450882*J51 + 1.9782933241</f>
        <v>0.85519297680922723</v>
      </c>
      <c r="P51" s="17">
        <f t="shared" si="7"/>
        <v>522.86080702319077</v>
      </c>
      <c r="Q51" s="52">
        <v>11</v>
      </c>
      <c r="R51" s="19">
        <v>9.5</v>
      </c>
      <c r="S51" s="14" t="s">
        <v>29</v>
      </c>
      <c r="T51" s="18" t="s">
        <v>28</v>
      </c>
      <c r="U51" s="19">
        <v>14</v>
      </c>
      <c r="V51" s="19">
        <f t="shared" si="5"/>
        <v>2.9473684210526314</v>
      </c>
      <c r="W51" s="14" t="s">
        <v>5</v>
      </c>
      <c r="X51" s="14" t="s">
        <v>4</v>
      </c>
      <c r="Y51" s="53" t="s">
        <v>3</v>
      </c>
      <c r="Z51" s="49">
        <v>2400</v>
      </c>
      <c r="AA51" s="14">
        <v>1200</v>
      </c>
      <c r="AB51" s="19">
        <v>0.1</v>
      </c>
      <c r="AC51" s="20">
        <f t="shared" si="6"/>
        <v>4.3999999999999997E-2</v>
      </c>
    </row>
    <row r="52" spans="2:29" ht="15.75" thickBot="1">
      <c r="B52" s="29" t="s">
        <v>16</v>
      </c>
      <c r="C52" s="30">
        <v>242</v>
      </c>
      <c r="D52" s="44">
        <v>138</v>
      </c>
      <c r="E52" s="44">
        <v>46</v>
      </c>
      <c r="F52" s="40">
        <v>274.63600000000002</v>
      </c>
      <c r="G52" s="31">
        <v>315.56200000000001</v>
      </c>
      <c r="H52" s="31">
        <v>387.404</v>
      </c>
      <c r="I52" s="31">
        <v>814.06299999999999</v>
      </c>
      <c r="J52" s="48">
        <v>524.327</v>
      </c>
      <c r="K52" s="40">
        <f t="shared" si="1"/>
        <v>1.2995088683400127</v>
      </c>
      <c r="L52" s="31">
        <f t="shared" si="3"/>
        <v>0.87844860323303919</v>
      </c>
      <c r="M52" s="31">
        <f t="shared" si="4"/>
        <v>1.3110997187120006</v>
      </c>
      <c r="N52" s="31">
        <f t="shared" si="2"/>
        <v>0.80025800724399687</v>
      </c>
      <c r="O52" s="31">
        <f xml:space="preserve"> -0.0000025937*J52^2 + 0.0022074014*J52 + 0.7241424016</f>
        <v>1.1684856563008528</v>
      </c>
      <c r="P52" s="32">
        <f t="shared" si="7"/>
        <v>523.15851434369915</v>
      </c>
      <c r="Q52" s="56">
        <v>16</v>
      </c>
      <c r="R52" s="34">
        <v>13.5</v>
      </c>
      <c r="S52" s="30" t="s">
        <v>8</v>
      </c>
      <c r="T52" s="33" t="s">
        <v>28</v>
      </c>
      <c r="U52" s="34">
        <v>8</v>
      </c>
      <c r="V52" s="34">
        <f t="shared" si="5"/>
        <v>1.1851851851851851</v>
      </c>
      <c r="W52" s="30" t="s">
        <v>5</v>
      </c>
      <c r="X52" s="30" t="s">
        <v>4</v>
      </c>
      <c r="Y52" s="57" t="s">
        <v>24</v>
      </c>
      <c r="Z52" s="51">
        <v>2400</v>
      </c>
      <c r="AA52" s="30">
        <v>1200</v>
      </c>
      <c r="AB52" s="34">
        <v>0.1</v>
      </c>
      <c r="AC52" s="35">
        <f t="shared" si="6"/>
        <v>4.3999999999999997E-2</v>
      </c>
    </row>
    <row r="53" spans="2:29" ht="1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3"/>
      <c r="Q53" s="4"/>
      <c r="R53" s="4"/>
      <c r="S53" s="2"/>
      <c r="T53" s="2"/>
      <c r="U53" s="2"/>
      <c r="V53" s="2"/>
      <c r="W53" s="2"/>
      <c r="X53" s="2"/>
      <c r="Y53" s="2"/>
      <c r="Z53" s="5"/>
      <c r="AA53" s="2"/>
      <c r="AB53" s="2"/>
      <c r="AC53" s="2"/>
    </row>
    <row r="54" spans="2:29" ht="1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3"/>
      <c r="Q54" s="4"/>
      <c r="R54" s="4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</sheetData>
  <mergeCells count="9">
    <mergeCell ref="B2:E2"/>
    <mergeCell ref="B4:B5"/>
    <mergeCell ref="C4:C5"/>
    <mergeCell ref="E4:E5"/>
    <mergeCell ref="Z4:AC4"/>
    <mergeCell ref="Q4:Y4"/>
    <mergeCell ref="K4:P4"/>
    <mergeCell ref="F4:J4"/>
    <mergeCell ref="D4:D5"/>
  </mergeCells>
  <phoneticPr fontId="0" type="noConversion"/>
  <pageMargins left="0" right="0" top="0.39374999999999999" bottom="0.39374999999999999" header="0" footer="0"/>
  <pageSetup paperSize="9" orientation="portrait" r:id="rId1"/>
  <headerFooter>
    <oddHeader>&amp;C&amp;A</oddHeader>
    <oddFooter>&amp;CPage &amp;P</oddFooter>
  </headerFooter>
  <ignoredErrors>
    <ignoredError sqref="P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DR3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Schönig, Jan</dc:creator>
  <cp:lastModifiedBy>Schönig, Jan</cp:lastModifiedBy>
  <cp:revision>27</cp:revision>
  <dcterms:created xsi:type="dcterms:W3CDTF">2018-12-03T09:50:53Z</dcterms:created>
  <dcterms:modified xsi:type="dcterms:W3CDTF">2019-05-08T09:22:05Z</dcterms:modified>
</cp:coreProperties>
</file>