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1805" yWindow="600" windowWidth="24240" windowHeight="13740" tabRatio="500"/>
  </bookViews>
  <sheets>
    <sheet name="DR1" sheetId="2" r:id="rId1"/>
    <sheet name="DD2" sheetId="3" r:id="rId2"/>
    <sheet name="DR3" sheetId="4" r:id="rId3"/>
    <sheet name="DR4" sheetId="5" r:id="rId4"/>
  </sheets>
  <calcPr calcId="145621"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5" l="1"/>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D56" i="5"/>
  <c r="C56" i="5"/>
  <c r="D55" i="5"/>
  <c r="C55" i="5"/>
  <c r="D54" i="5"/>
  <c r="C54" i="5"/>
  <c r="D53" i="5"/>
  <c r="C53" i="5"/>
  <c r="D52" i="5"/>
  <c r="C52" i="5"/>
  <c r="D51" i="5"/>
  <c r="C51" i="5"/>
  <c r="D50" i="5"/>
  <c r="C50" i="5"/>
  <c r="D49" i="5"/>
  <c r="C49" i="5"/>
  <c r="D48" i="5"/>
  <c r="C48" i="5"/>
  <c r="D47" i="5"/>
  <c r="C47" i="5"/>
  <c r="D46" i="5"/>
  <c r="C46" i="5"/>
  <c r="D45" i="5"/>
  <c r="C45" i="5"/>
  <c r="D44" i="5"/>
  <c r="C44" i="5"/>
  <c r="D43" i="5"/>
  <c r="C43" i="5"/>
  <c r="D42" i="5"/>
  <c r="C42" i="5"/>
  <c r="D41" i="5"/>
  <c r="C41" i="5"/>
  <c r="D40" i="5"/>
  <c r="C40" i="5"/>
  <c r="D39" i="5"/>
  <c r="C39" i="5"/>
  <c r="D38" i="5"/>
  <c r="C38" i="5"/>
  <c r="D37" i="5"/>
  <c r="C37" i="5"/>
  <c r="D36" i="5"/>
  <c r="C36" i="5"/>
  <c r="D35" i="5"/>
  <c r="C35" i="5"/>
  <c r="D34" i="5"/>
  <c r="C34" i="5"/>
  <c r="D33" i="5"/>
  <c r="C33" i="5"/>
  <c r="D32" i="5"/>
  <c r="C32" i="5"/>
  <c r="D31" i="5"/>
  <c r="C31" i="5"/>
  <c r="D30" i="5"/>
  <c r="C30" i="5"/>
  <c r="D29" i="5"/>
  <c r="C29" i="5"/>
  <c r="D28" i="5"/>
  <c r="C28" i="5"/>
  <c r="D27" i="5"/>
  <c r="C27" i="5"/>
  <c r="D26" i="5"/>
  <c r="C26" i="5"/>
  <c r="D25" i="5"/>
  <c r="C25" i="5"/>
  <c r="D24" i="5"/>
  <c r="C24" i="5"/>
  <c r="D23" i="5"/>
  <c r="C23" i="5"/>
  <c r="D22" i="5"/>
  <c r="C22" i="5"/>
  <c r="D21" i="5"/>
  <c r="C21" i="5"/>
  <c r="D20" i="5"/>
  <c r="C20" i="5"/>
  <c r="D19" i="5"/>
  <c r="C19" i="5"/>
  <c r="D18" i="5"/>
  <c r="C18" i="5"/>
  <c r="R205" i="4"/>
  <c r="W205" i="4"/>
  <c r="X205" i="4"/>
  <c r="V205" i="4"/>
  <c r="R204" i="4"/>
  <c r="W202" i="4"/>
  <c r="X202" i="4"/>
  <c r="V202" i="4"/>
  <c r="R199" i="4"/>
  <c r="R198" i="4"/>
  <c r="W198" i="4"/>
  <c r="X198" i="4"/>
  <c r="V195" i="4"/>
  <c r="V190" i="4"/>
  <c r="R189" i="4"/>
  <c r="X187" i="4"/>
  <c r="R186" i="4"/>
  <c r="R187" i="4"/>
  <c r="R184" i="4"/>
  <c r="V184" i="4"/>
  <c r="R183" i="4"/>
  <c r="R182" i="4"/>
  <c r="R181" i="4"/>
  <c r="R180" i="4"/>
  <c r="V176" i="4"/>
  <c r="V174" i="4"/>
  <c r="R171" i="4"/>
  <c r="V171" i="4"/>
  <c r="R170" i="4"/>
  <c r="R169" i="4"/>
  <c r="V166" i="4"/>
  <c r="V163" i="4"/>
  <c r="R161" i="4"/>
  <c r="W161" i="4"/>
  <c r="X161" i="4"/>
  <c r="V161" i="4"/>
  <c r="R160" i="4"/>
  <c r="R159" i="4"/>
  <c r="R158" i="4"/>
  <c r="V151" i="4"/>
  <c r="R149" i="4"/>
  <c r="R150" i="4"/>
  <c r="V147" i="4"/>
  <c r="R145" i="4"/>
  <c r="V145" i="4"/>
  <c r="W145" i="4"/>
  <c r="X145" i="4"/>
  <c r="R144" i="4"/>
  <c r="R141" i="4"/>
  <c r="W141" i="4"/>
  <c r="X141" i="4"/>
  <c r="V141" i="4"/>
  <c r="R140" i="4"/>
  <c r="X138" i="4"/>
  <c r="V138" i="4"/>
  <c r="R138" i="4"/>
  <c r="R137" i="4"/>
  <c r="R136" i="4"/>
  <c r="R135" i="4"/>
  <c r="R134" i="4"/>
  <c r="R133" i="4"/>
  <c r="R115" i="4"/>
  <c r="R114" i="4"/>
  <c r="V104" i="4"/>
  <c r="V103" i="4"/>
  <c r="V102" i="4"/>
  <c r="R95" i="4"/>
  <c r="R98" i="4"/>
  <c r="R97" i="4"/>
  <c r="V97" i="4"/>
  <c r="R89" i="4"/>
  <c r="W88" i="4"/>
  <c r="X88" i="4"/>
  <c r="V88" i="4"/>
  <c r="V83" i="4"/>
  <c r="W83" i="4"/>
  <c r="X83" i="4"/>
  <c r="R81" i="4"/>
  <c r="R80" i="4"/>
  <c r="R79" i="4"/>
  <c r="X78" i="4"/>
  <c r="R78" i="4"/>
  <c r="V78" i="4"/>
  <c r="R77" i="4"/>
  <c r="R76" i="4"/>
  <c r="X75" i="4"/>
  <c r="R75" i="4"/>
  <c r="V75" i="4"/>
  <c r="R74" i="4"/>
  <c r="R72" i="4"/>
  <c r="R73" i="4"/>
  <c r="R69" i="4"/>
  <c r="R68" i="4"/>
  <c r="R66" i="4"/>
  <c r="X65" i="4"/>
  <c r="R65" i="4"/>
  <c r="R64" i="4"/>
  <c r="R63" i="4"/>
  <c r="R62" i="4"/>
  <c r="R61" i="4"/>
  <c r="R59" i="4"/>
  <c r="R58" i="4"/>
  <c r="S58" i="4"/>
  <c r="V60" i="4"/>
  <c r="W60" i="4"/>
  <c r="X60" i="4"/>
  <c r="X54" i="4"/>
  <c r="V54" i="4"/>
  <c r="X52" i="4"/>
  <c r="R50" i="4"/>
  <c r="R51" i="4"/>
  <c r="R52" i="4"/>
  <c r="V52" i="4"/>
  <c r="X47" i="4"/>
  <c r="R46" i="4"/>
  <c r="R45" i="4"/>
  <c r="V47" i="4"/>
  <c r="R41" i="4"/>
  <c r="R42" i="4"/>
  <c r="R43" i="4"/>
  <c r="R44" i="4"/>
  <c r="V44" i="4"/>
  <c r="R39" i="4"/>
  <c r="V39" i="4"/>
  <c r="R36" i="4"/>
  <c r="V30" i="4"/>
  <c r="V24" i="4"/>
  <c r="X23" i="4"/>
  <c r="V11" i="4"/>
</calcChain>
</file>

<file path=xl/sharedStrings.xml><?xml version="1.0" encoding="utf-8"?>
<sst xmlns="http://schemas.openxmlformats.org/spreadsheetml/2006/main" count="3528" uniqueCount="1550">
  <si>
    <t xml:space="preserve">Sample No.
</t>
  </si>
  <si>
    <t>Lat</t>
  </si>
  <si>
    <t>Long</t>
  </si>
  <si>
    <t>Description</t>
  </si>
  <si>
    <t>Packet #</t>
    <phoneticPr fontId="0" type="noConversion"/>
  </si>
  <si>
    <t>Weight (mg)</t>
  </si>
  <si>
    <t xml:space="preserve">Mineral </t>
    <phoneticPr fontId="0" type="noConversion"/>
  </si>
  <si>
    <t>Grade</t>
    <phoneticPr fontId="0" type="noConversion"/>
  </si>
  <si>
    <t>Lab Notes</t>
    <phoneticPr fontId="0" type="noConversion"/>
  </si>
  <si>
    <t>CI-11-1</t>
    <phoneticPr fontId="0" type="noConversion"/>
  </si>
  <si>
    <t xml:space="preserve">basalt </t>
    <phoneticPr fontId="0" type="noConversion"/>
  </si>
  <si>
    <t>I57</t>
    <phoneticPr fontId="0" type="noConversion"/>
  </si>
  <si>
    <t>R</t>
    <phoneticPr fontId="0" type="noConversion"/>
  </si>
  <si>
    <t>GM</t>
    <phoneticPr fontId="0" type="noConversion"/>
  </si>
  <si>
    <t>C-</t>
    <phoneticPr fontId="0" type="noConversion"/>
  </si>
  <si>
    <t xml:space="preserve">fine grain. Med grey. Brittle. Plag glass oxides pyroxene all small. Brittle. Lots of olivine in almost all grains.  </t>
  </si>
  <si>
    <t>CI-11-2</t>
    <phoneticPr fontId="0" type="noConversion"/>
  </si>
  <si>
    <t>W</t>
    <phoneticPr fontId="0" type="noConversion"/>
  </si>
  <si>
    <t>C</t>
    <phoneticPr fontId="0" type="noConversion"/>
  </si>
  <si>
    <t xml:space="preserve">Coarse grain. Brittle. Light grey. Large plag xtals.  Lots of olivine larger olivine removed. </t>
    <phoneticPr fontId="0" type="noConversion"/>
  </si>
  <si>
    <t>CI-11-3</t>
    <phoneticPr fontId="0" type="noConversion"/>
  </si>
  <si>
    <t>Y</t>
    <phoneticPr fontId="0" type="noConversion"/>
  </si>
  <si>
    <t>C+</t>
    <phoneticPr fontId="0" type="noConversion"/>
  </si>
  <si>
    <t xml:space="preserve">med coarse grain. Light grey. Large glass and plag.  Brittle. </t>
    <phoneticPr fontId="0" type="noConversion"/>
  </si>
  <si>
    <t>CI-11-4</t>
    <phoneticPr fontId="0" type="noConversion"/>
  </si>
  <si>
    <t>basalt</t>
    <phoneticPr fontId="0" type="noConversion"/>
  </si>
  <si>
    <t>\U/</t>
    <phoneticPr fontId="0" type="noConversion"/>
  </si>
  <si>
    <t>B</t>
    <phoneticPr fontId="0" type="noConversion"/>
  </si>
  <si>
    <t xml:space="preserve">very dark fine grain. Some larger plag or glass. Mineral id not possible. </t>
    <phoneticPr fontId="0" type="noConversion"/>
  </si>
  <si>
    <t>CI-11-6</t>
    <phoneticPr fontId="0" type="noConversion"/>
  </si>
  <si>
    <t>S</t>
    <phoneticPr fontId="0" type="noConversion"/>
  </si>
  <si>
    <t xml:space="preserve">med grain. Lots of olivine that is altered to a red brown color. Grains are brittle.  </t>
    <phoneticPr fontId="0" type="noConversion"/>
  </si>
  <si>
    <t>CI-11-11</t>
    <phoneticPr fontId="0" type="noConversion"/>
  </si>
  <si>
    <t>V</t>
    <phoneticPr fontId="0" type="noConversion"/>
  </si>
  <si>
    <t>B+</t>
    <phoneticPr fontId="0" type="noConversion"/>
  </si>
  <si>
    <t>med coarse grain. Large plag and glass medium oxides and pyroxene.</t>
  </si>
  <si>
    <t>CI-11-12</t>
    <phoneticPr fontId="0" type="noConversion"/>
  </si>
  <si>
    <t>T</t>
    <phoneticPr fontId="0" type="noConversion"/>
  </si>
  <si>
    <t xml:space="preserve">med grain very dark. Oxides and pyroxene dominant.  Glass my be very dark as well. Some larger Plag. </t>
  </si>
  <si>
    <t>11mola1</t>
  </si>
  <si>
    <t>basalt</t>
  </si>
  <si>
    <t>B6</t>
    <phoneticPr fontId="0" type="noConversion"/>
  </si>
  <si>
    <t>light grey. Plag and glass dominant. Small oxides and pyroxene</t>
  </si>
  <si>
    <t>11mola2</t>
  </si>
  <si>
    <t>B7</t>
    <phoneticPr fontId="0" type="noConversion"/>
  </si>
  <si>
    <t>fine grain dark. Minor red discoloration of some mineral in few grains, possibly olive alteration. Glass, plag oxides, pyroxene look ok</t>
  </si>
  <si>
    <t>11mola3</t>
  </si>
  <si>
    <t>C3</t>
    <phoneticPr fontId="0" type="noConversion"/>
  </si>
  <si>
    <t>Fine grain. Plag and glass dominant. Small mafic. Some light green yellow tint to some GM grains.</t>
  </si>
  <si>
    <t>11mola4</t>
  </si>
  <si>
    <t>C2</t>
    <phoneticPr fontId="0" type="noConversion"/>
  </si>
  <si>
    <t>fine grain dark. Some larger euhedral plag. Minor altered olivine removed</t>
  </si>
  <si>
    <t>11mola5</t>
  </si>
  <si>
    <t>B8</t>
    <phoneticPr fontId="0" type="noConversion"/>
  </si>
  <si>
    <t>fine grain very dark hard to id minerals. Some larger plag xtals. Minor olivine phenocrysts. Some may have been altered to iddigsite</t>
  </si>
  <si>
    <t>11mola6</t>
  </si>
  <si>
    <t>B9</t>
    <phoneticPr fontId="0" type="noConversion"/>
  </si>
  <si>
    <t>med to coarse grain. Large glass and plag. Some glass and olive discolored. Smaller pyroxene and oxides. Large olivine and glass grain removed.</t>
  </si>
  <si>
    <t>11mola7</t>
  </si>
  <si>
    <t>B5</t>
    <phoneticPr fontId="0" type="noConversion"/>
  </si>
  <si>
    <t>B-</t>
    <phoneticPr fontId="0" type="noConversion"/>
  </si>
  <si>
    <t xml:space="preserve">Med grain. Plag, glass, oxides, mafics. Minor olivine. Some slight red discoloration </t>
  </si>
  <si>
    <t>11mola8</t>
  </si>
  <si>
    <t>B3</t>
    <phoneticPr fontId="0" type="noConversion"/>
  </si>
  <si>
    <t xml:space="preserve">Fine to med grain dark gm. Minor olivine in most grains </t>
  </si>
  <si>
    <t>11mola9</t>
  </si>
  <si>
    <t>.Q.</t>
    <phoneticPr fontId="0" type="noConversion"/>
  </si>
  <si>
    <t>fine grain. Plag, glass, pyroxene, oxides. All grains have a slight red tint. Possibly some alteration of glass or olivine. Some large altered olives removed</t>
  </si>
  <si>
    <t>11mola10</t>
    <phoneticPr fontId="0" type="noConversion"/>
  </si>
  <si>
    <t xml:space="preserve">I57 </t>
    <phoneticPr fontId="0" type="noConversion"/>
  </si>
  <si>
    <t>C4</t>
    <phoneticPr fontId="0" type="noConversion"/>
  </si>
  <si>
    <t xml:space="preserve">med grey opaque grains. Med grain. Larger plag and glass. Plag sometimes euhedral. Small oxide and pyroxene. </t>
  </si>
  <si>
    <t>11mola11</t>
  </si>
  <si>
    <t>11mola13</t>
  </si>
  <si>
    <t>C1</t>
    <phoneticPr fontId="0" type="noConversion"/>
  </si>
  <si>
    <t xml:space="preserve">med grain light grey. Plag and glass dominant. Small oxides and pyroxenes. Some large olivine removed. </t>
  </si>
  <si>
    <t>11mola14</t>
  </si>
  <si>
    <t>B4</t>
    <phoneticPr fontId="0" type="noConversion"/>
  </si>
  <si>
    <t xml:space="preserve">med color. Med grain. Plag, glass, pyroxene. Oxides. </t>
  </si>
  <si>
    <t>11mola15</t>
  </si>
  <si>
    <t>C5</t>
    <phoneticPr fontId="0" type="noConversion"/>
  </si>
  <si>
    <t>med to dark grey. Fine to med grain. Minor olivine</t>
  </si>
  <si>
    <t>11mola16</t>
  </si>
  <si>
    <t>I55</t>
    <phoneticPr fontId="0" type="noConversion"/>
  </si>
  <si>
    <t>A1</t>
    <phoneticPr fontId="0" type="noConversion"/>
  </si>
  <si>
    <t xml:space="preserve">ok GM. Med grain. Gm dominated by plag. Minor oxides and mafics. Some brown devitrified glass. No other phenocrysts observed. </t>
  </si>
  <si>
    <t>11mola17</t>
  </si>
  <si>
    <t>A2</t>
    <phoneticPr fontId="0" type="noConversion"/>
  </si>
  <si>
    <t xml:space="preserve">avg to poor gm. Med grain. Clear plag. Minor mafic minerals. Some brown/red devitrified glass. Minor olivine. </t>
  </si>
  <si>
    <t>11mola18</t>
  </si>
  <si>
    <t>A3</t>
    <phoneticPr fontId="0" type="noConversion"/>
  </si>
  <si>
    <t xml:space="preserve">avg GM. Pale yellow gm grains. Possible devitrified glass. Gm is mostly plag, glass, oxides. Very minor pyroxene and olivine phenocrysts. </t>
  </si>
  <si>
    <t>11mola19</t>
  </si>
  <si>
    <t>A4</t>
    <phoneticPr fontId="0" type="noConversion"/>
  </si>
  <si>
    <t>A</t>
    <phoneticPr fontId="0" type="noConversion"/>
  </si>
  <si>
    <t>good gm. Med grain. GM mostly clear. Euhedral plag. Smaller oxides. Some large glass grains. Little to no olivine.</t>
  </si>
  <si>
    <t>11mola20</t>
  </si>
  <si>
    <t>A5</t>
    <phoneticPr fontId="0" type="noConversion"/>
  </si>
  <si>
    <t>Good gm. Large plag, smaller pyroxene and oxides. Glass and plag are clear. Some olivine phenocrysts.</t>
  </si>
  <si>
    <t>11mola21</t>
  </si>
  <si>
    <t>A6</t>
    <phoneticPr fontId="0" type="noConversion"/>
  </si>
  <si>
    <t>avg GM. Very fine. minor olivine and pyroxene phenocrysts picked out. Possible minor devitrified glass</t>
  </si>
  <si>
    <t>11mola22</t>
  </si>
  <si>
    <t>A7</t>
    <phoneticPr fontId="0" type="noConversion"/>
  </si>
  <si>
    <t>ok GM. Large pyroxene. Gm dominated by pyroxene and glass. Mafics are very minor and small. Glass and pyroxene are clear. Some large glass chips.</t>
  </si>
  <si>
    <t>11mola23</t>
  </si>
  <si>
    <t>A8</t>
    <phoneticPr fontId="0" type="noConversion"/>
  </si>
  <si>
    <t xml:space="preserve">avg GM. Fine. Mix of oxides, plag pyroxene and some olivine in GM. Some minor devitrified glass.  </t>
  </si>
  <si>
    <t>11mola24</t>
  </si>
  <si>
    <t>A9</t>
    <phoneticPr fontId="0" type="noConversion"/>
  </si>
  <si>
    <t>avg GM. Fine grain . Plag phenocrysts left in. Even mix of large pyroxene, plag and oxides. Minor amounts of small olivine. Minor red minerals picked out possibly devitrified glass.</t>
  </si>
  <si>
    <t>11mola25</t>
  </si>
  <si>
    <t>I55</t>
  </si>
  <si>
    <t>B1</t>
    <phoneticPr fontId="0" type="noConversion"/>
  </si>
  <si>
    <t>ok GM. Dominated by plag and glass, minor mafics. Some very minor red minerals in gm picked out. Possibly devitrified glass-very minor.</t>
  </si>
  <si>
    <t>11mola26</t>
  </si>
  <si>
    <t>quartzite</t>
  </si>
  <si>
    <t>-</t>
    <phoneticPr fontId="0" type="noConversion"/>
  </si>
  <si>
    <t>11mola27</t>
  </si>
  <si>
    <t>11mola28</t>
  </si>
  <si>
    <t>B2</t>
    <phoneticPr fontId="0" type="noConversion"/>
  </si>
  <si>
    <t xml:space="preserve">OK GM. Med grain. Lots of olivine, moderately magnetic. Plag is clear, glass is clear. Minor pyroxene, olivine picked out, mostly in phenocrysts.  </t>
  </si>
  <si>
    <t>11mola29</t>
  </si>
  <si>
    <t xml:space="preserve">avg GM. Coarse grain. Large milky plag. Mafics and oxides also large. Some red minerals picked out. Minor olivine phenocrysts </t>
  </si>
  <si>
    <t>11mola30</t>
  </si>
  <si>
    <t>ok GM, small gm all minerals</t>
    <phoneticPr fontId="0" type="noConversion"/>
  </si>
  <si>
    <t>11mola31</t>
  </si>
  <si>
    <t>GM has some pale yellow grain. Possibly olivine or devitrified glass. Dominated by plag. Small oxides and pyroxene.</t>
  </si>
  <si>
    <t>11mola32</t>
  </si>
  <si>
    <t>11mola33A</t>
    <phoneticPr fontId="0" type="noConversion"/>
  </si>
  <si>
    <t xml:space="preserve">Ok GM. Some olivine. Med grain plag. Plag is milky/grey. Small oxides. </t>
    <phoneticPr fontId="0" type="noConversion"/>
  </si>
  <si>
    <t>llmoal33B</t>
    <phoneticPr fontId="0" type="noConversion"/>
  </si>
  <si>
    <t>Med Grain, plag, glass dominant. Minor olivine. Red/brown mineral in GM (picked out)</t>
  </si>
  <si>
    <t>11mola34</t>
  </si>
  <si>
    <t xml:space="preserve">Fine grain GM dark. Lots of plag phenocrysts. Picked Gm. Often with large plag grains left in if attached to GM. Some pyroxene and olivine phenocrysts were not picked. </t>
  </si>
  <si>
    <t>11mola35</t>
  </si>
  <si>
    <t xml:space="preserve">GM </t>
    <phoneticPr fontId="0" type="noConversion"/>
  </si>
  <si>
    <t>good GM. Fine grain. Dominated by plag and glass minor oxides and pyroxene. Minor olivine phenocrysts</t>
  </si>
  <si>
    <t>11mola36</t>
  </si>
  <si>
    <t xml:space="preserve">average GM. Very magnetic. Small magnetite grains in gm.  GM is pale yellow to clear. Plag and mafics are all small. </t>
    <phoneticPr fontId="0" type="noConversion"/>
  </si>
  <si>
    <t>11mola37</t>
  </si>
  <si>
    <t xml:space="preserve">poor GM. Lots of olivine. Some devitrified glass. GM has some small red minerals. </t>
  </si>
  <si>
    <t>11mola38</t>
  </si>
  <si>
    <t xml:space="preserve">Large grain GM. Plag and glass are dominant. Large plag. Some is milky. Med to large pyroxene and oxides </t>
  </si>
  <si>
    <t>11mola39</t>
  </si>
  <si>
    <t xml:space="preserve">Med Grain GM. Some pale yellow to brown discoloration of GM. Dominant minerals are Plag and glass with minor olivine, pyroxene and oxides </t>
  </si>
  <si>
    <t>11mola40</t>
  </si>
  <si>
    <t xml:space="preserve">good GM, small mafics larger plag. Plag is clear. Some minor olivine. Few white milky colored unknown minerals. Some small pyroxene in gm. </t>
  </si>
  <si>
    <t>11mola41</t>
  </si>
  <si>
    <t>F</t>
    <phoneticPr fontId="0" type="noConversion"/>
  </si>
  <si>
    <t>NOT PICKED. Strong reaction with HN03</t>
  </si>
  <si>
    <t>11mola42a</t>
    <phoneticPr fontId="0" type="noConversion"/>
  </si>
  <si>
    <t>C6</t>
    <phoneticPr fontId="0" type="noConversion"/>
  </si>
  <si>
    <t>good gm, med grain, larger plag, glass, mirror smaller oxides and pyroxene. Some large red/brown minerals removed</t>
  </si>
  <si>
    <t>11mola42b</t>
    <phoneticPr fontId="0" type="noConversion"/>
  </si>
  <si>
    <t>C7</t>
    <phoneticPr fontId="0" type="noConversion"/>
  </si>
  <si>
    <t>good gm, med grain, larger plag, glass, minor smaller oxides and pyroxene. Some large red/brown minerals removed</t>
  </si>
  <si>
    <t>11mola43</t>
  </si>
  <si>
    <t>C8</t>
    <phoneticPr fontId="0" type="noConversion"/>
  </si>
  <si>
    <t>D+</t>
    <phoneticPr fontId="0" type="noConversion"/>
  </si>
  <si>
    <t>Med grain GM. Most has a red/yellow tint. Possibly altered. Sample had weak reaction with HN03</t>
  </si>
  <si>
    <t>11mola44</t>
  </si>
  <si>
    <t>C9</t>
    <phoneticPr fontId="0" type="noConversion"/>
  </si>
  <si>
    <t xml:space="preserve">Fine grain Gm. Dark. Some grains had red/yellow grains picked out. Minor olivine phenocrysts </t>
  </si>
  <si>
    <t>11mola45</t>
  </si>
  <si>
    <t>D1</t>
    <phoneticPr fontId="0" type="noConversion"/>
  </si>
  <si>
    <t>Med grain. Plag glass dominate. Smaller oxides and pyroxene. Most gm has a red yellow tint. Clearest gm picked out</t>
  </si>
  <si>
    <t>11mola46</t>
  </si>
  <si>
    <t>D2</t>
    <phoneticPr fontId="0" type="noConversion"/>
  </si>
  <si>
    <t>med grain GM. Lots of olivine phenos. Some olivine has been altered to iddingsite.. Gm dominated by plag with mafics and minor olivine.</t>
  </si>
  <si>
    <t>11mola47</t>
  </si>
  <si>
    <t>D3</t>
    <phoneticPr fontId="0" type="noConversion"/>
  </si>
  <si>
    <t xml:space="preserve">Med to coarse grain GM. Large plag and glass. Smaller oxides and pyroxene. Some minor olivine. Some gm has red yellow tint possibly alteration. </t>
  </si>
  <si>
    <t>11mola48</t>
  </si>
  <si>
    <t>D4</t>
    <phoneticPr fontId="0" type="noConversion"/>
  </si>
  <si>
    <t>Fine to Med Grain GM. Milky to clear. Plag and glass most abundant. Minor small oxides and pyroxene. Some olivine picked out. Some grains have an white/yellow tint. Some larger plag and plag phenocrysts</t>
  </si>
  <si>
    <t>11mola49</t>
  </si>
  <si>
    <t>D5</t>
    <phoneticPr fontId="0" type="noConversion"/>
  </si>
  <si>
    <t>Fine grain. Plag and glass dominant. Small mafics. Some light green yellow tint to some GM grains.</t>
  </si>
  <si>
    <t>11mola50</t>
  </si>
  <si>
    <t>D6</t>
    <phoneticPr fontId="0" type="noConversion"/>
  </si>
  <si>
    <t xml:space="preserve">fine grain GM. Dark. Some plag phenocrysts. Minor olivine phenocrysts. </t>
  </si>
  <si>
    <t>11mobi1</t>
  </si>
  <si>
    <t>E3</t>
    <phoneticPr fontId="0" type="noConversion"/>
  </si>
  <si>
    <t>chalky white grains. Med grain. Some red brown discoloration</t>
    <phoneticPr fontId="0" type="noConversion"/>
  </si>
  <si>
    <t>11mobi2</t>
  </si>
  <si>
    <t>E4</t>
    <phoneticPr fontId="0" type="noConversion"/>
  </si>
  <si>
    <t xml:space="preserve">fine to med grain. Chalky. Plag and glass dominant </t>
  </si>
  <si>
    <t>11mobi3</t>
    <phoneticPr fontId="0" type="noConversion"/>
  </si>
  <si>
    <t xml:space="preserve">dark gm. Fine mafics. Med sized plag. Some olivine phenocrysts removed. </t>
  </si>
  <si>
    <t>11mobi4</t>
    <phoneticPr fontId="0" type="noConversion"/>
  </si>
  <si>
    <t>med grey opaque grains. Med grain. Larger plag and glass. Plag sometimes euhedral. Small oxide any pyroxene.  Some grains had slight yellow tint removed</t>
  </si>
  <si>
    <t>11mobi5</t>
    <phoneticPr fontId="0" type="noConversion"/>
  </si>
  <si>
    <t>Fine to med grain. Plag and glass larger and dominant. Minor small oxides and pyroxene</t>
  </si>
  <si>
    <t>11mopz1</t>
  </si>
  <si>
    <t xml:space="preserve">Discolored pale yellow GM. Some olivine. Possibly some alteration of glass. </t>
  </si>
  <si>
    <t>11mopz2</t>
  </si>
  <si>
    <t xml:space="preserve">Med to fine grain GM. Plag, glass, pyroxene and oxides dominant.  Some large plag phenocrysts picked out. Minor white chalky grains removed.  Some GM is slightly darker, most is light </t>
  </si>
  <si>
    <t>11mopz3</t>
  </si>
  <si>
    <t>Med grain GM, very light. Minor mafics. Some olivine possible, some gm has a pale green tint</t>
  </si>
  <si>
    <t>11mopz4</t>
  </si>
  <si>
    <t>11mopz5a</t>
  </si>
  <si>
    <t>11mopz5b</t>
  </si>
  <si>
    <t>11mopz6</t>
  </si>
  <si>
    <t>tuff</t>
  </si>
  <si>
    <t>11mopz7</t>
  </si>
  <si>
    <t>conglomerate</t>
  </si>
  <si>
    <t>11mopz8</t>
  </si>
  <si>
    <t>Med grain, salt and pepper. Plag, glass, pyroxenes oxides. No phenocrysts. A few red minerals picked out</t>
  </si>
  <si>
    <t>11mopz9a</t>
  </si>
  <si>
    <t>Fine grain. Some large plag, lots of olivine megacrysts. Not all olivine was picked out. Lots of olivine in GM</t>
  </si>
  <si>
    <t>11mopz9b</t>
  </si>
  <si>
    <t>11mopz10</t>
  </si>
  <si>
    <t>D</t>
    <phoneticPr fontId="0" type="noConversion"/>
  </si>
  <si>
    <t>D-</t>
    <phoneticPr fontId="0" type="noConversion"/>
  </si>
  <si>
    <t>Reactive</t>
    <phoneticPr fontId="0" type="noConversion"/>
  </si>
  <si>
    <t>11mopz11</t>
  </si>
  <si>
    <t>E</t>
    <phoneticPr fontId="0" type="noConversion"/>
  </si>
  <si>
    <t xml:space="preserve">Reactive with nitric. Visually not bad. Clean looking GM. Minor grains have red/brown alteration minerals. Med grain. Plag and glass dominant. Smaller mafic minerals. </t>
  </si>
  <si>
    <t>11mopz12</t>
  </si>
  <si>
    <t>E5</t>
    <phoneticPr fontId="0" type="noConversion"/>
  </si>
  <si>
    <t>Good gm. Med grain. Minor large glass grains picked out. Some large red minerals picked out. Gm looks fairly clean mostly glass and plag with minor oxides and pyroxene</t>
  </si>
  <si>
    <t>11mopz13</t>
  </si>
  <si>
    <t xml:space="preserve">Large grain GM. Glass, plag, pyroxene, olivine and oxides present.  Larger more mafic GM or phenocrysts picked out. </t>
  </si>
  <si>
    <t>11mopz14</t>
  </si>
  <si>
    <t xml:space="preserve">Med to fine grain GM. Opaque grains. Glass and plag dominant minor oxides and pyroxene. </t>
  </si>
  <si>
    <t>11mokw006</t>
  </si>
  <si>
    <t>D7</t>
    <phoneticPr fontId="0" type="noConversion"/>
  </si>
  <si>
    <t>Med grain GM. Minor olivine, some red/yellow grains picked out.  Pyroxene, plag, glass oxides dominant</t>
  </si>
  <si>
    <t>11mokw007</t>
    <phoneticPr fontId="0" type="noConversion"/>
  </si>
  <si>
    <t>D8</t>
    <phoneticPr fontId="0" type="noConversion"/>
  </si>
  <si>
    <t xml:space="preserve">Very dark fine grain HM. Abundant plag phenocrysts. </t>
  </si>
  <si>
    <t>11mokw005</t>
  </si>
  <si>
    <t>.H.</t>
    <phoneticPr fontId="0" type="noConversion"/>
  </si>
  <si>
    <t xml:space="preserve">Reactive with nitric. Picked for SH. Fine grain grungy GM. Some discoloration. Minor red brown grains removed </t>
  </si>
  <si>
    <t>11mola51</t>
  </si>
  <si>
    <t>Very dark fine grain GM. Mafic minerals seem dominant, hard to see. Some olivine and plag phenos picked out</t>
  </si>
  <si>
    <t>11mola52</t>
  </si>
  <si>
    <t xml:space="preserve">Dark med grain GM. Abundant Olivine, pyroxene. Glass is dark/maybe altered. Some larger Plag xtals. Chalky white mineral picked out. </t>
  </si>
  <si>
    <t>11mola53</t>
  </si>
  <si>
    <t>D9</t>
    <phoneticPr fontId="0" type="noConversion"/>
  </si>
  <si>
    <t xml:space="preserve">Large grain GM. Plag, glass, pyroxene, oxides. Most gm has a red yellow tint. Possibly altered </t>
  </si>
  <si>
    <t>11mola54</t>
  </si>
  <si>
    <t>E1</t>
    <phoneticPr fontId="0" type="noConversion"/>
  </si>
  <si>
    <t xml:space="preserve">Med Grain GM. Some olivine pehneos, some are altered to iddingsite. Some minor olivine in GM. Mostly Plag and glass with small oxides and pyroxene </t>
  </si>
  <si>
    <t>11mola55</t>
  </si>
  <si>
    <t>E2</t>
    <phoneticPr fontId="0" type="noConversion"/>
  </si>
  <si>
    <t xml:space="preserve">Med grain Gm. Lots of olivine. Some evidence of alteration. </t>
    <phoneticPr fontId="0" type="noConversion"/>
  </si>
  <si>
    <t>11mola56</t>
  </si>
  <si>
    <t xml:space="preserve">med grain Gm. Picked for TF </t>
  </si>
  <si>
    <t>11mola57</t>
  </si>
  <si>
    <t>Very dark GM. Fine grain, lots of pyroxene and oxides, minor large plag.</t>
  </si>
  <si>
    <t>11mola58</t>
  </si>
  <si>
    <t>E6</t>
    <phoneticPr fontId="0" type="noConversion"/>
  </si>
  <si>
    <t>Light med to large grain GM. Some brown/yellow discoloration of a few grains. Large pyroxene.</t>
  </si>
  <si>
    <t>11mola59</t>
  </si>
  <si>
    <t>I51</t>
    <phoneticPr fontId="0" type="noConversion"/>
  </si>
  <si>
    <t>Ground Mass</t>
    <phoneticPr fontId="0" type="noConversion"/>
  </si>
  <si>
    <t xml:space="preserve">Ok Gm. Picked for tf.  Olivine dominate in gm, very fine grained.  Pyroxene phenocrysts </t>
  </si>
  <si>
    <t>11mola60</t>
  </si>
  <si>
    <t>Good Gm. Picked for SH ~25mg.  Grains are mostly darker.  Some milky white grains?</t>
    <phoneticPr fontId="0" type="noConversion"/>
  </si>
  <si>
    <t>11mola61</t>
  </si>
  <si>
    <t>I51</t>
  </si>
  <si>
    <t>A-</t>
    <phoneticPr fontId="0" type="noConversion"/>
  </si>
  <si>
    <t xml:space="preserve">good Gm. Fine grained, Picked for TF ~4.5mg.  Grains are light , very fined grained mafic.  Minor olivine and pyroxene microclines </t>
  </si>
  <si>
    <t>11mola62</t>
  </si>
  <si>
    <t>Sub Par Gm. Coarse grained, picked for TF. Lots of pale yellow and amber grains (olivine, pyroxene?)</t>
  </si>
  <si>
    <t>11mola63</t>
  </si>
  <si>
    <t xml:space="preserve">Good Gm. Lots of very small mafics, overall grains are dark.  Fine grained. ~6.5gm for TF, very minor pyroxene and olivine microlites. </t>
    <phoneticPr fontId="0" type="noConversion"/>
  </si>
  <si>
    <t>11mola64</t>
  </si>
  <si>
    <t>Average Gm. Medium grain ~3.2mg picked for TF.  Some plag. and olivine microlites</t>
  </si>
  <si>
    <t>11mola65</t>
  </si>
  <si>
    <t>Coarse grained Gm. Lots of pale yellow polymineralic grains. TF  Picked clear w/ abundant mafics ~2.5mg.</t>
    <phoneticPr fontId="0" type="noConversion"/>
  </si>
  <si>
    <t>11mola66</t>
  </si>
  <si>
    <t>Fine to Medium grain GM. Lots of amber and pale yellow grains, milky white brittle grains, lots of picking TF</t>
  </si>
  <si>
    <t>11mola67</t>
  </si>
  <si>
    <t>Fine grained very mafic Gm. Grains nearly black. ~4.1mg Picked Gm for TF. Some elongate plag in dark gm grains.  LM could be picked for plag.  Some plag microlites, some pale yellow grains.</t>
    <phoneticPr fontId="0" type="noConversion"/>
  </si>
  <si>
    <t>11mola68</t>
  </si>
  <si>
    <t>Fine to Med grain Gm. Lots of pale yellow gm grains, picked mostly clear 3.6mg TF</t>
    <phoneticPr fontId="0" type="noConversion"/>
  </si>
  <si>
    <t>11mola69</t>
  </si>
  <si>
    <t>very fine grained Gm w/ lots of mafics. ~24.2mg Picked for SH.  Dark grains. Some minor olivine and plag microlites?</t>
  </si>
  <si>
    <t>11mola70</t>
  </si>
  <si>
    <t>Avg Gm. Fine to med grain, Picked for ~2.6mg TF. some pale yellow green in grains likely olivine.</t>
  </si>
  <si>
    <t>11mola71</t>
  </si>
  <si>
    <t>med grain Gm.~3.9mg Picked for TF.  Lots of small olivine? In gm.  Most greens have a green yellow tint, clearest grains picked</t>
  </si>
  <si>
    <t>11mola72</t>
  </si>
  <si>
    <t>med grain Gm. Picked for ~2.8mg TF. Grains have a red yellow tint, alteration?.  Some larger pyroxene and plag grains</t>
    <phoneticPr fontId="0" type="noConversion"/>
  </si>
  <si>
    <t>11mola73</t>
  </si>
  <si>
    <t xml:space="preserve">fine to med grain some olivine. ~3.5mg for TF.  A few grains have light red to ruby color </t>
    <phoneticPr fontId="0" type="noConversion"/>
  </si>
  <si>
    <t>11mola74</t>
  </si>
  <si>
    <t>Med grain very dark gm. Picked for~3.2mg TF.  Loaded with mafics, pyroxene? Some brittle grains, Plag phenos, LM could be picked for plag</t>
  </si>
  <si>
    <t>11mola75</t>
  </si>
  <si>
    <t>granite</t>
  </si>
  <si>
    <t>11mola76</t>
  </si>
  <si>
    <t>Med grain Gm. ~3mg picked for TF good clear pl or glass with a few small mafics.  Some grains have olivine.</t>
    <phoneticPr fontId="0" type="noConversion"/>
  </si>
  <si>
    <t>11mola77</t>
  </si>
  <si>
    <t>NOT PICKED, Strong reaction w/ HNO3</t>
  </si>
  <si>
    <t>11mola78</t>
  </si>
  <si>
    <t>Fine grained dark Gm. ~3.9mg Picked for TF. Some dark red grains</t>
    <phoneticPr fontId="0" type="noConversion"/>
  </si>
  <si>
    <t>11mola79</t>
  </si>
  <si>
    <t xml:space="preserve">coarse grain, Lots of mafics in clear glass/plag.  Picked for TF.  Some orange dark red grains. Sample was sticky </t>
    <phoneticPr fontId="0" type="noConversion"/>
  </si>
  <si>
    <t>11mola80</t>
  </si>
  <si>
    <t>Med grain, clear to light grey gm.  ~3mg. Some small mafics and a fair amount of olivine in some gm. Picked for TF</t>
  </si>
  <si>
    <t>11mola81</t>
  </si>
  <si>
    <t xml:space="preserve">very dark, med grain gm.  ~3.1mg Picked for tf.  Lots of pyroxene in gm.  Some plag phenos.  Moderate olivine in Gm </t>
  </si>
  <si>
    <t>11mola82</t>
  </si>
  <si>
    <t xml:space="preserve">fine to Med grain Gm,~3.2mg Picked for TF most has a light yellow to grey tint.  Possibly from olivine or alteration, finem mafics.  </t>
  </si>
  <si>
    <t>11mola83</t>
  </si>
  <si>
    <t xml:space="preserve">Med Grain GM ~20mg Picked for SH.  Light colored grains. Some have yellow/green tint. Possibly olivine, few plag phenos, mafics are fine grained </t>
  </si>
  <si>
    <t>11mola84a</t>
  </si>
  <si>
    <t>fine to med GM. Med grey. ~3.1mg Picked for TF.  Most grains have small red/orange xtals?</t>
    <phoneticPr fontId="0" type="noConversion"/>
  </si>
  <si>
    <t>11mola84b</t>
  </si>
  <si>
    <t>fine to med GM. Med grey. ~2.6mg Picked for TF.  Most grains have small red/orange xtals?</t>
    <phoneticPr fontId="0" type="noConversion"/>
  </si>
  <si>
    <t>11mola85</t>
  </si>
  <si>
    <t>11mola86</t>
  </si>
  <si>
    <t>11mola87</t>
  </si>
  <si>
    <t>Ground Mass</t>
  </si>
  <si>
    <t xml:space="preserve">fine to med grain GM. ~22mg Picked for SH.  dark lots of mafics. Some grains have small red grains, picked out Some olivine phenos (yellow).  </t>
    <phoneticPr fontId="0" type="noConversion"/>
  </si>
  <si>
    <t>11mola88</t>
  </si>
  <si>
    <t>fine to me grain, dark.  ~3.4mg picked for TF.  Some chalky white brittle grains.  Some small red brown xtals in gm</t>
  </si>
  <si>
    <t>11mola89</t>
  </si>
  <si>
    <t xml:space="preserve">med grain, light. ~4.6mg picked for TF.  Some grains have a red/yellow tint (picked out) </t>
    <phoneticPr fontId="0" type="noConversion"/>
  </si>
  <si>
    <t>11mola90</t>
  </si>
  <si>
    <t xml:space="preserve">fine to med grain, med/light color ~3.2mg picked for TF some grains have green tint/xtals olivine? Other red/yellow grains? Mafics generally small.  </t>
    <phoneticPr fontId="0" type="noConversion"/>
  </si>
  <si>
    <t>11mola91</t>
  </si>
  <si>
    <t>11mola92</t>
  </si>
  <si>
    <t xml:space="preserve">med to coarse grain. Light color to clear ~2.8mg GM picked for TF. Olivine in gm.  Some dark red orange xtals in GM and as phenos.  Mafics medium grain size </t>
    <phoneticPr fontId="0" type="noConversion"/>
  </si>
  <si>
    <t>11mola93</t>
  </si>
  <si>
    <t xml:space="preserve">Fine to med grain GM. ~3.4mg GM Picked for TF. Light color though all grains have a red brown tint. Olivine phenos.  Large dark red xtals.  Some chalky brittle grains. </t>
    <phoneticPr fontId="0" type="noConversion"/>
  </si>
  <si>
    <t>11mola94</t>
  </si>
  <si>
    <t>Fine to med grain GM ~3.4mg GM picked for TF.  Most/all grains have green tint, lots of olivine?</t>
    <phoneticPr fontId="0" type="noConversion"/>
  </si>
  <si>
    <t>11mola95</t>
  </si>
  <si>
    <t xml:space="preserve">Med to lrg grain GM.  ~4.1mg picked for TF. Olivine phenos.  Some grains have a dark/green tint maybe olivine.  Larger and abundant mafics </t>
    <phoneticPr fontId="0" type="noConversion"/>
  </si>
  <si>
    <t>11mola96</t>
  </si>
  <si>
    <t>med grain GM. ~20mg picked for SH.  Lots of olivine. Most grains have a slight green tint.  A few chalky white grains, minor larger olivine phenos.  A few grains have some red/brn</t>
  </si>
  <si>
    <t>11mola97</t>
  </si>
  <si>
    <t xml:space="preserve">fine to med grain GM.  ~3.3mg picked for TF.  Small mafics, generally clear plag/glass.  Slight discoloration in some gm, green to red tints.  A few larger red xtals.  Some very dark grains pyroxenes? , a few chalky grains.  </t>
  </si>
  <si>
    <t>11mola98</t>
  </si>
  <si>
    <t xml:space="preserve">med to lrg grain GM.  Most off color, red tint some w/ green tint. ~3.2mg picked for TF.  Grains lack good clarity.  Some chalky grins.  Plag. Phenos.  </t>
    <phoneticPr fontId="0" type="noConversion"/>
  </si>
  <si>
    <t>11mola99</t>
  </si>
  <si>
    <t>med grain GM. Most has a green tint (olivine?) ~mg picked for TF.  Lots of white chalky grains.</t>
    <phoneticPr fontId="0" type="noConversion"/>
  </si>
  <si>
    <t>11mola100</t>
  </si>
  <si>
    <t>fine to med GM.  Some grains have red brown tint.  Clear grains picked for TF (4.04mg).  Some large red/brown/yellow grains.  A few large mafics but mostly small in GM.</t>
    <phoneticPr fontId="0" type="noConversion"/>
  </si>
  <si>
    <t>11mola101</t>
  </si>
  <si>
    <t>Coarse GM, Picked GM for TF.  Picked from LMM fraction.  Lots of plag or glass phenocrysts.  Large pyroxene grains.  Some grey brittle grains.  A few red/brown grains</t>
    <phoneticPr fontId="0" type="noConversion"/>
  </si>
  <si>
    <t>11mola102</t>
  </si>
  <si>
    <t>11mola103</t>
  </si>
  <si>
    <t>Plagioclase</t>
    <phoneticPr fontId="0" type="noConversion"/>
  </si>
  <si>
    <t>Picked for plag TF (29.7mg).  Very coarse grain.  Plag is clear, some slight yellow tint, a few milky grains.  Plag is not 100% pure some grains have some darker mafic minerals</t>
    <phoneticPr fontId="0" type="noConversion"/>
  </si>
  <si>
    <t>11mola104</t>
  </si>
  <si>
    <t xml:space="preserve">Picked GM for TF (8mg). Fine grain gm, most grains have a yellow/green tint.  Some plag Phenocrysts </t>
    <phoneticPr fontId="0" type="noConversion"/>
  </si>
  <si>
    <t>11mola105</t>
  </si>
  <si>
    <t>Picked GM for TF (10.4mg). Very dark/magnetic coarse.  Ran hand mag over MM fraction then picked remainder</t>
  </si>
  <si>
    <t>11mola106</t>
  </si>
  <si>
    <t>E7</t>
    <phoneticPr fontId="0" type="noConversion"/>
  </si>
  <si>
    <t xml:space="preserve">Picked GM for TF (7mg. Med grain gm. Some off color grains, slight brow color.  Most grains are fairly dark, mafics </t>
    <phoneticPr fontId="0" type="noConversion"/>
  </si>
  <si>
    <t>11mola107</t>
  </si>
  <si>
    <t>E8</t>
    <phoneticPr fontId="0" type="noConversion"/>
  </si>
  <si>
    <t xml:space="preserve">fine to med GM. Picked gm for TF. Mostly clear/white grains with small mafics.  Removed several white chalky brittle grains? </t>
    <phoneticPr fontId="0" type="noConversion"/>
  </si>
  <si>
    <t>11mola108</t>
  </si>
  <si>
    <t>E9</t>
    <phoneticPr fontId="0" type="noConversion"/>
  </si>
  <si>
    <t xml:space="preserve">med grain GM. Picked for TF (6.7mg). Most grains are discolored, yellow/brown/green.  Some chalky brittle grains picked out. Possibly a lot of olivine? </t>
  </si>
  <si>
    <t>11mola109</t>
  </si>
  <si>
    <t>F1</t>
    <phoneticPr fontId="0" type="noConversion"/>
  </si>
  <si>
    <t>very dark very magnetic GM, Picked for TF</t>
    <phoneticPr fontId="0" type="noConversion"/>
  </si>
  <si>
    <t>11mola110</t>
  </si>
  <si>
    <t>F2</t>
    <phoneticPr fontId="0" type="noConversion"/>
  </si>
  <si>
    <t xml:space="preserve">Fine grain GM. Picked for TF (8mg).  Very magnetic. Could not use pin to pick. Gm is light in color with very fine mafics, likely lots of magnetite.  Some olivine phenocrysts.  Some grains have small red-brown xtal </t>
  </si>
  <si>
    <t>11mola111</t>
  </si>
  <si>
    <t>F3</t>
    <phoneticPr fontId="0" type="noConversion"/>
  </si>
  <si>
    <t xml:space="preserve">Fine Grain GM.  Picked for TF (6.8mg) very magnetic.  Hand mag 70% off of LM fraction.  Olivine phenocrysts.  Some grain have a red tint. </t>
  </si>
  <si>
    <t>11mola112</t>
  </si>
  <si>
    <t>F4</t>
    <phoneticPr fontId="0" type="noConversion"/>
  </si>
  <si>
    <t>Fine to med Grain GM. Picked for TF. Fairly magnetic.  Lots of olivine phenocrysts. Some red/brown phenocrysts pyroxenes?</t>
  </si>
  <si>
    <t>11mopz15</t>
  </si>
  <si>
    <t>Very dark fine grain. Some small plag and olivine phenocrysts (DUPLICATE IN I56)</t>
    <phoneticPr fontId="0" type="noConversion"/>
  </si>
  <si>
    <t>11mopz16</t>
  </si>
  <si>
    <t xml:space="preserve">Reactive with nitric, Light colored finer grain GM. Opaque grains. Glad and plag likely dominate. Minor pyroxene and oxides. Some grains have a pale green tint-removed </t>
  </si>
  <si>
    <t>11mopz17b</t>
    <phoneticPr fontId="0" type="noConversion"/>
  </si>
  <si>
    <t xml:space="preserve">Med grain GM. Plag and glass are dominant with minor oxides and pyroxene. Salt and pepper appearance.  Minor olivine phenocrysts removed. </t>
  </si>
  <si>
    <t>11mopz17</t>
  </si>
  <si>
    <t>11mopz18</t>
  </si>
  <si>
    <t xml:space="preserve">Most grains discolored. Evidence of alteration. Med to large grains GM. Lots of plag and glass. Oxides and pyroxenes smaller. Some grains have green yellow tint likely abundant olivine. </t>
  </si>
  <si>
    <t>11mopz19</t>
  </si>
  <si>
    <t>G</t>
    <phoneticPr fontId="0" type="noConversion"/>
  </si>
  <si>
    <t>Reactive with nitric. Very dark grm. Mafic minerals abundant. All grains have a red brown discoloration.</t>
    <phoneticPr fontId="0" type="noConversion"/>
  </si>
  <si>
    <t>11mopz20a</t>
  </si>
  <si>
    <t xml:space="preserve">Med grain dark GM. No phenocrysts. All grains have a slight green yellow tint. Possibly abundant small olivine or some slight alteration. Plag, glass, pyroxene and oxides are dominant </t>
  </si>
  <si>
    <t>11mopz20b</t>
  </si>
  <si>
    <t xml:space="preserve">see above, duplicate sample </t>
    <phoneticPr fontId="0" type="noConversion"/>
  </si>
  <si>
    <t>Altai</t>
  </si>
  <si>
    <t>fault rock</t>
  </si>
  <si>
    <t>11mopz15b</t>
    <phoneticPr fontId="0" type="noConversion"/>
  </si>
  <si>
    <t>12MOLA01</t>
  </si>
  <si>
    <t>Basalt</t>
  </si>
  <si>
    <t>I58</t>
  </si>
  <si>
    <t>P7</t>
    <phoneticPr fontId="0" type="noConversion"/>
  </si>
  <si>
    <t>Med grain. Lots of altered olivine. Most removed. Plag, glass, pyroxene and oxides looked ok</t>
  </si>
  <si>
    <t>12MOLA02</t>
  </si>
  <si>
    <t>I1</t>
    <phoneticPr fontId="0" type="noConversion"/>
  </si>
  <si>
    <t xml:space="preserve">Coarse grain. Large plag and mafic minerals. Minor olivine. Grains with red/brown discoloration removed. </t>
  </si>
  <si>
    <t>12MOLA03</t>
  </si>
  <si>
    <t>P9</t>
    <phoneticPr fontId="0" type="noConversion"/>
  </si>
  <si>
    <t xml:space="preserve">Med to coarse grain. Plag, glass, mafics. Abundant olivine with signs of alteration. Most olivine removed </t>
    <phoneticPr fontId="0" type="noConversion"/>
  </si>
  <si>
    <t>12MOLA04</t>
  </si>
  <si>
    <t>P1</t>
    <phoneticPr fontId="0" type="noConversion"/>
  </si>
  <si>
    <t>Med to course grain. Large plag and mafic minerals. Abundant olivine. Large olivine removed. Some grains have red brown tint</t>
  </si>
  <si>
    <t>12MOLA05</t>
  </si>
  <si>
    <t>K4</t>
    <phoneticPr fontId="0" type="noConversion"/>
  </si>
  <si>
    <t>Med grain. Plag, glass mafics all near equal in size and abundance. Some red/brown minerals removed</t>
    <phoneticPr fontId="0" type="noConversion"/>
  </si>
  <si>
    <t>12MOLA06</t>
  </si>
  <si>
    <t>X1</t>
    <phoneticPr fontId="0" type="noConversion"/>
  </si>
  <si>
    <t xml:space="preserve">Med grain, plag, glass, pyroxene all abundant. Some mafic xenocrysts removed. Some grains have red brown color possibly altered olivine. </t>
  </si>
  <si>
    <t>12MOLA07</t>
  </si>
  <si>
    <t>X7</t>
    <phoneticPr fontId="0" type="noConversion"/>
  </si>
  <si>
    <t xml:space="preserve">Med grain. Plag, glass, mafics, olivine. Large olivine looks clean removed. Some grains have red brown spots possibly devitrified glass. </t>
  </si>
  <si>
    <t>12MOLA08</t>
  </si>
  <si>
    <t>S4</t>
    <phoneticPr fontId="0" type="noConversion"/>
  </si>
  <si>
    <t xml:space="preserve">Med to coarse grain. Plag and glass abundant with smaller oxides. Clear light grey mineral. Possibly pyroxene or glass? </t>
  </si>
  <si>
    <t>12MOLA09</t>
  </si>
  <si>
    <t>P6</t>
    <phoneticPr fontId="0" type="noConversion"/>
  </si>
  <si>
    <t>fine grain dark. Some plag phenocrysts left in. Picked for SH. No olivine or significant alteration observed</t>
  </si>
  <si>
    <t>12MOLA10</t>
  </si>
  <si>
    <t>S2</t>
    <phoneticPr fontId="0" type="noConversion"/>
  </si>
  <si>
    <t xml:space="preserve">Fine grain dark. Plag phenocrysts removed. While opaque chalky grains removed. </t>
  </si>
  <si>
    <t>12MOLA11</t>
  </si>
  <si>
    <t>L1</t>
    <phoneticPr fontId="0" type="noConversion"/>
  </si>
  <si>
    <t xml:space="preserve">Plag dominant, with some glass? Very light color. Some minor mafics. Lots of olivine megacrysts removed </t>
  </si>
  <si>
    <t>12MOLA12</t>
  </si>
  <si>
    <t>12MOLA13</t>
  </si>
  <si>
    <t>H9</t>
    <phoneticPr fontId="0" type="noConversion"/>
  </si>
  <si>
    <t xml:space="preserve">med to coarse grain. Plag and glass abundant. Some glass may show minor alteration with a red/brown color. Minor oxides and pyroxene. Some clean olivine megacrysts removed. </t>
  </si>
  <si>
    <t>12MOLA14</t>
  </si>
  <si>
    <t xml:space="preserve">high degree of alteration. Lots of chalky white minerals. All olivine is alters. GM is very fine grain and not distinguishable. </t>
  </si>
  <si>
    <t>12MOLA15</t>
  </si>
  <si>
    <t>P</t>
    <phoneticPr fontId="0" type="noConversion"/>
  </si>
  <si>
    <t xml:space="preserve">fine grain. Med grey in color. Very brittle. Mineral id difficult. Evidence of alteration. Some grains have red/brown larger xtals. </t>
  </si>
  <si>
    <t>12MOLA16</t>
  </si>
  <si>
    <t>P5</t>
    <phoneticPr fontId="0" type="noConversion"/>
  </si>
  <si>
    <t>Fine grain, med gray. Minor plag phenocrysts. No alteration apparent. Picked for SH</t>
  </si>
  <si>
    <t>12MOLA17</t>
  </si>
  <si>
    <t>S5</t>
    <phoneticPr fontId="0" type="noConversion"/>
  </si>
  <si>
    <t>Coarse grain. Brittle. Large plag and glass. Med sized oxides and pyroxene. Some olivine present. Minor alteration. Grains have a yellow/brown tint</t>
  </si>
  <si>
    <t>12MOLA18</t>
  </si>
  <si>
    <t>O3</t>
    <phoneticPr fontId="0" type="noConversion"/>
  </si>
  <si>
    <t xml:space="preserve">Large euhedral plag in fine grain dark Gm. Picked fraction has large plag and fine grain gm. Clean plag without GM was removed. </t>
  </si>
  <si>
    <t>12MOLA19</t>
  </si>
  <si>
    <t>I4</t>
    <phoneticPr fontId="0" type="noConversion"/>
  </si>
  <si>
    <t>Very dark glass with plagioclase megacrysts</t>
  </si>
  <si>
    <t>12MOLA20</t>
  </si>
  <si>
    <t>P8</t>
    <phoneticPr fontId="0" type="noConversion"/>
  </si>
  <si>
    <t xml:space="preserve">Med to coarse grain. Large pag and glass, smaller mafics. Minor olivine. </t>
  </si>
  <si>
    <t>12MOLA21</t>
  </si>
  <si>
    <t>12MOLA22</t>
  </si>
  <si>
    <t>N</t>
    <phoneticPr fontId="0" type="noConversion"/>
  </si>
  <si>
    <t>large grain light color. Large plag. Abundant glass. Smaller oxides and pyroxene. Larger glass is devitrified. Only clean grains picked.</t>
  </si>
  <si>
    <t>12MOLA23</t>
  </si>
  <si>
    <t>Z3</t>
    <phoneticPr fontId="0" type="noConversion"/>
  </si>
  <si>
    <t>Fine grain. All grains have slight red/brown tint. Large red/brown megacrysts removed possibly altered olivine</t>
    <phoneticPr fontId="0" type="noConversion"/>
  </si>
  <si>
    <t>12MOLA24</t>
  </si>
  <si>
    <t>I</t>
    <phoneticPr fontId="0" type="noConversion"/>
  </si>
  <si>
    <t>large chunky grains. Plag, glass, pyroxene and oxides all abundant. Some minor olivine. Minerals are all large. Some white chalky grains removed</t>
  </si>
  <si>
    <t>12MOLA25</t>
  </si>
  <si>
    <t>Z2</t>
    <phoneticPr fontId="0" type="noConversion"/>
  </si>
  <si>
    <t xml:space="preserve">Med grain. Light color. Plag nd glass dominant. Smaller mafics. Some grains have a slight green tint. Possibly small olivine in GM. </t>
  </si>
  <si>
    <t>12MOLA26</t>
  </si>
  <si>
    <t>H2</t>
    <phoneticPr fontId="0" type="noConversion"/>
  </si>
  <si>
    <t xml:space="preserve">Med to coarse grain. Lots of large plag. Discoloration in most grains. </t>
    <phoneticPr fontId="0" type="noConversion"/>
  </si>
  <si>
    <t>12MOLA27</t>
  </si>
  <si>
    <t>H4</t>
    <phoneticPr fontId="0" type="noConversion"/>
  </si>
  <si>
    <t>Med grain. Plag, glass, pyroxene and oxides all present. Some grains with large olivine crystals removed. Some minor red brown discoloration in few grains</t>
  </si>
  <si>
    <t>12MOLA28</t>
  </si>
  <si>
    <t>I8</t>
    <phoneticPr fontId="0" type="noConversion"/>
  </si>
  <si>
    <t>Fine to med grain. Brittle. Lots of altered olivine in Gm and as phenocrysts</t>
    <phoneticPr fontId="0" type="noConversion"/>
  </si>
  <si>
    <t>12MOLA29</t>
  </si>
  <si>
    <t>S3</t>
    <phoneticPr fontId="0" type="noConversion"/>
  </si>
  <si>
    <t>Med grain. Plag, glass larger. Smaller pyx and oxides. Minor olivine and pyroxene phenocrysts removed</t>
  </si>
  <si>
    <t>12MOLA30</t>
  </si>
  <si>
    <t>H7</t>
    <phoneticPr fontId="0" type="noConversion"/>
  </si>
  <si>
    <t xml:space="preserve">Med grain. Plag, glass, pyroxene all abundant. Many grains show discoloration and evidence of alteration. Possibly abundant altered olivine. </t>
  </si>
  <si>
    <t>12MOLA31</t>
  </si>
  <si>
    <t xml:space="preserve">very brittle. Fine grain light grey gm. Plag, glass, pyx and oxides all small. Larger unidentified pale white yellow mineral in all grains. Best effort to remove. </t>
  </si>
  <si>
    <t>12MOLA32</t>
  </si>
  <si>
    <t>K5</t>
    <phoneticPr fontId="0" type="noConversion"/>
  </si>
  <si>
    <t xml:space="preserve">Very dark Med grain. Plag, glass mafics. Some chalky white brittle grains removed. Few red/brown grains removed. Some altered looking olivine removed. </t>
    <phoneticPr fontId="0" type="noConversion"/>
  </si>
  <si>
    <t>12MOLA33</t>
  </si>
  <si>
    <t>P3</t>
    <phoneticPr fontId="0" type="noConversion"/>
  </si>
  <si>
    <t>Fine grin dark groundmass with plag phenocrysts</t>
    <phoneticPr fontId="0" type="noConversion"/>
  </si>
  <si>
    <t>12MOLA34</t>
  </si>
  <si>
    <t>large grain light color g,. Plag and glass dominant and large. Smaller oxides and pyroxene. Pale blue mineral?</t>
  </si>
  <si>
    <t>12MOLA35</t>
  </si>
  <si>
    <t>O7</t>
    <phoneticPr fontId="0" type="noConversion"/>
  </si>
  <si>
    <t>Fine grain dark gm. Some plag phenocrysts</t>
    <phoneticPr fontId="0" type="noConversion"/>
  </si>
  <si>
    <t>12MOLA36</t>
  </si>
  <si>
    <t>O6</t>
    <phoneticPr fontId="0" type="noConversion"/>
  </si>
  <si>
    <t xml:space="preserve">Coarse grain. Plag and glass dominant. Small oxides. Abundant olivine phenocrysts removed. Olivine shows slight alteration </t>
  </si>
  <si>
    <t>12MOLA37</t>
  </si>
  <si>
    <t>Med to coarse grain. Large plag and glass. Some glass my be devitrified. Yellow/red grains removed. Some olivine possible. Smaller oxides and pyroxene</t>
  </si>
  <si>
    <t>12MOLA38</t>
  </si>
  <si>
    <t xml:space="preserve">Light color med grain. Larger plag and glass. Smaller oxides and pyroxene. Lots of olivine. Most grains have a yellow green tint. </t>
  </si>
  <si>
    <t>12MOLA39</t>
  </si>
  <si>
    <t>K3</t>
    <phoneticPr fontId="0" type="noConversion"/>
  </si>
  <si>
    <t xml:space="preserve">Med grain. Plag and mafics. Abundant olivine removed. Some may be present in GM. </t>
    <phoneticPr fontId="0" type="noConversion"/>
  </si>
  <si>
    <t>12MOLA40</t>
  </si>
  <si>
    <t>K6</t>
    <phoneticPr fontId="0" type="noConversion"/>
  </si>
  <si>
    <t>coarse grain. Glass shards and plag picked with minor small mafics. Lots of large pyroxene and olivine removed</t>
  </si>
  <si>
    <t>12MOLA41</t>
  </si>
  <si>
    <t>K</t>
    <phoneticPr fontId="0" type="noConversion"/>
  </si>
  <si>
    <t>very fine grain. Med grey. Mineral id difficult. Some large altered olivine removed. Some white chalky brittle grains also removed.</t>
  </si>
  <si>
    <t>12MOLA42</t>
  </si>
  <si>
    <t>K1</t>
    <phoneticPr fontId="0" type="noConversion"/>
  </si>
  <si>
    <t>Med grain, plag and glass dominant. Smaller mafics. Some altered olivine removed</t>
  </si>
  <si>
    <t>12MOLA43</t>
  </si>
  <si>
    <t xml:space="preserve">Light color. Med grain. Abundant plag and glass. Smaller less abundant pyroxene and oxides. Some minor small unaltered olivine. </t>
  </si>
  <si>
    <t>12MOLA44</t>
  </si>
  <si>
    <t>I6</t>
    <phoneticPr fontId="0" type="noConversion"/>
  </si>
  <si>
    <t xml:space="preserve">Med to fine grain. Plag and glass dominant. Smaller mafics. </t>
  </si>
  <si>
    <t>12MOLA45</t>
  </si>
  <si>
    <t>H3</t>
    <phoneticPr fontId="0" type="noConversion"/>
  </si>
  <si>
    <t xml:space="preserve">med grain. Lots of brown/red tints in grains. Olivine phenocrysts removed looked clean. Mafics, plag and glass look near equal in size. </t>
    <phoneticPr fontId="0" type="noConversion"/>
  </si>
  <si>
    <t>12MOLA46</t>
  </si>
  <si>
    <t>K7</t>
    <phoneticPr fontId="0" type="noConversion"/>
  </si>
  <si>
    <t>Very coarse grain. Plag xtals and glass shards picked. Abundant large pyroxene crystals removed. Large olivine also removed. Some grains have small red/brown minerals</t>
  </si>
  <si>
    <t>12MOLA47</t>
  </si>
  <si>
    <t>S1</t>
    <phoneticPr fontId="0" type="noConversion"/>
  </si>
  <si>
    <t xml:space="preserve">Med grain. Plag and glass dominant with smaller mafics. Minor olivine with slight alteration removed </t>
  </si>
  <si>
    <t>12MOLA48</t>
  </si>
  <si>
    <t>I2</t>
    <phoneticPr fontId="0" type="noConversion"/>
  </si>
  <si>
    <t xml:space="preserve">Fine grain, mineral ID difficult Plag and glass likely dominant with small mafics. Some minor olivine removed. </t>
  </si>
  <si>
    <t>12MOLA49</t>
  </si>
  <si>
    <t>Z5</t>
    <phoneticPr fontId="0" type="noConversion"/>
  </si>
  <si>
    <t xml:space="preserve">med grain plag and glass. Some plag phenocrysts removed. </t>
    <phoneticPr fontId="0" type="noConversion"/>
  </si>
  <si>
    <t>12MOLA50</t>
  </si>
  <si>
    <t>P4</t>
    <phoneticPr fontId="0" type="noConversion"/>
  </si>
  <si>
    <t>Fine grain dark. Abundant olivine phenocrysts that were slightly altered. Minor plag phenocrysts. Most olivine was removed but some small xtals in picked grains may remain. Watch for recoil redistribution in step heat</t>
  </si>
  <si>
    <t>12MOLA51</t>
  </si>
  <si>
    <t>Z9</t>
    <phoneticPr fontId="0" type="noConversion"/>
  </si>
  <si>
    <t xml:space="preserve">Med grain gm. Plag and glass dominant. Small oxides and pyroxenes. Abundant altered olivine. </t>
  </si>
  <si>
    <t>12MOLA52</t>
  </si>
  <si>
    <t>I9</t>
    <phoneticPr fontId="0" type="noConversion"/>
  </si>
  <si>
    <t xml:space="preserve">Fine grain. Clean looking GM. Minor plag phenocrysts. Few yellow white opaque grains possibly vesicle fill removed. </t>
  </si>
  <si>
    <t>12MOLA53</t>
  </si>
  <si>
    <t>L4</t>
    <phoneticPr fontId="0" type="noConversion"/>
  </si>
  <si>
    <t xml:space="preserve">Med grain. Light grey. Plag, glass, pyroxene, oxides. Some small olivine. Visible olivine removed. </t>
  </si>
  <si>
    <t>12MOLA54</t>
  </si>
  <si>
    <t>H8</t>
    <phoneticPr fontId="0" type="noConversion"/>
  </si>
  <si>
    <t xml:space="preserve">fine grain. Glass and plag dominant. Small mafic minerals can’t ID. Minor plag phenocrysts removed. Few grain with red/discoloration/alteration </t>
  </si>
  <si>
    <t>12MOLA55</t>
  </si>
  <si>
    <t>I5</t>
    <phoneticPr fontId="0" type="noConversion"/>
  </si>
  <si>
    <t xml:space="preserve">fine grain very dark. Minerals too small to ID in groundmass. Some clean plag and olivine phenocrysts removed. </t>
    <phoneticPr fontId="0" type="noConversion"/>
  </si>
  <si>
    <t>12MOLA56</t>
  </si>
  <si>
    <t xml:space="preserve">dark fine to med grain gm. Plag, pyroxene oxides. Some large dark glass removed. </t>
  </si>
  <si>
    <t>12MOLA57</t>
  </si>
  <si>
    <t>H1</t>
    <phoneticPr fontId="0" type="noConversion"/>
  </si>
  <si>
    <t>Med grain very light. Plag and glass dominant very small mafics. Possibly some olivine in GM</t>
  </si>
  <si>
    <t>12MOLA58</t>
  </si>
  <si>
    <t>K9</t>
    <phoneticPr fontId="0" type="noConversion"/>
  </si>
  <si>
    <t xml:space="preserve">Dark, fine grain gm. Some grains have red/brown tint. May have altered olivine in GM. Red brown grains removed </t>
  </si>
  <si>
    <t>12MOLA59</t>
  </si>
  <si>
    <t>S6</t>
    <phoneticPr fontId="0" type="noConversion"/>
  </si>
  <si>
    <t xml:space="preserve">med to fine grain dark. Slight green/grey tint. Possibly very small olivine in GM. Some shards of dark/black glass removed </t>
    <phoneticPr fontId="0" type="noConversion"/>
  </si>
  <si>
    <t>12MOLA60</t>
  </si>
  <si>
    <t>Z4</t>
    <phoneticPr fontId="0" type="noConversion"/>
  </si>
  <si>
    <t xml:space="preserve">med grain plag and glass dominant. Minor small mafics </t>
  </si>
  <si>
    <t>12MOLA61</t>
  </si>
  <si>
    <t>X3</t>
    <phoneticPr fontId="0" type="noConversion"/>
  </si>
  <si>
    <t>Fine grain dark. Plag, glass, pyroxene and oxides all abundant. Some grains with slightly larger olivine were slightly altered and removed.</t>
  </si>
  <si>
    <t>12MOLA62</t>
  </si>
  <si>
    <t>S7</t>
    <phoneticPr fontId="0" type="noConversion"/>
  </si>
  <si>
    <t>fine grain very dark. Some altered olivine removed.</t>
  </si>
  <si>
    <t>12MOLA63</t>
  </si>
  <si>
    <t>L2</t>
    <phoneticPr fontId="0" type="noConversion"/>
  </si>
  <si>
    <t xml:space="preserve">Med to fine grain. Plag and glass dominant with small mafic minerals. Abundant olivine megacrysts removed. </t>
  </si>
  <si>
    <t>12MOLA64</t>
  </si>
  <si>
    <t>K2</t>
    <phoneticPr fontId="0" type="noConversion"/>
  </si>
  <si>
    <t>Fine grain. Lots of altered olivine removed</t>
    <phoneticPr fontId="0" type="noConversion"/>
  </si>
  <si>
    <t>12MOLA65</t>
  </si>
  <si>
    <t>X6</t>
    <phoneticPr fontId="0" type="noConversion"/>
  </si>
  <si>
    <t xml:space="preserve">Good clean GM. Med grain plag, glass mafics. Lots of olivine mega cysts removed. </t>
  </si>
  <si>
    <t>12MOLA66</t>
  </si>
  <si>
    <t>O4</t>
    <phoneticPr fontId="0" type="noConversion"/>
  </si>
  <si>
    <t xml:space="preserve">Med grain Gm plag nd glass abundant. Small mafics. Some plag phenocrysts. </t>
  </si>
  <si>
    <t>12MOLA67</t>
  </si>
  <si>
    <t>Z8</t>
    <phoneticPr fontId="0" type="noConversion"/>
  </si>
  <si>
    <t xml:space="preserve">Med grain. Plag and glass dominant. Slightly smaller mafics. Minor grains with red/brown minerals possibly altered olivine those grains were removed. </t>
  </si>
  <si>
    <t>12MOLA68</t>
  </si>
  <si>
    <t>12MOLA69</t>
  </si>
  <si>
    <t>O9</t>
    <phoneticPr fontId="0" type="noConversion"/>
  </si>
  <si>
    <t xml:space="preserve">Plag and glass dominant. Opaque plag. Some Pyroxene phenocrysts removed. Few small oxides. </t>
  </si>
  <si>
    <t>12MOLA70</t>
  </si>
  <si>
    <t>X2</t>
    <phoneticPr fontId="0" type="noConversion"/>
  </si>
  <si>
    <t>light color. Med grain plag and glass. Milky appearance. Some large mafic minerals removed. Most mafics are small in size.</t>
  </si>
  <si>
    <t>12MOLA71</t>
  </si>
  <si>
    <t>X5</t>
    <phoneticPr fontId="0" type="noConversion"/>
  </si>
  <si>
    <t>Tan color med grain. Evidence of alteration some grains are tan/brown. Possibly alteration of glass. The most discolored grains were removed.</t>
    <phoneticPr fontId="0" type="noConversion"/>
  </si>
  <si>
    <t>12MOLA72</t>
  </si>
  <si>
    <t>L3</t>
    <phoneticPr fontId="0" type="noConversion"/>
  </si>
  <si>
    <t xml:space="preserve">Med grain. Plag, glass mafics. Some evidence of small altered olivine. Most removed </t>
    <phoneticPr fontId="0" type="noConversion"/>
  </si>
  <si>
    <t>12MOLA73</t>
  </si>
  <si>
    <t>H6</t>
    <phoneticPr fontId="0" type="noConversion"/>
  </si>
  <si>
    <t xml:space="preserve">Med to fine grain. Plag and glass abundant with small mafics. Some grains that may have altered olivine removed. </t>
    <phoneticPr fontId="0" type="noConversion"/>
  </si>
  <si>
    <t>12MOLA74</t>
  </si>
  <si>
    <t>X9</t>
    <phoneticPr fontId="0" type="noConversion"/>
  </si>
  <si>
    <t xml:space="preserve">Light grey, med grain. Some clay grains removed. Large clean olivine grains removed. </t>
  </si>
  <si>
    <t>12MOLA75</t>
  </si>
  <si>
    <t>X8</t>
    <phoneticPr fontId="0" type="noConversion"/>
  </si>
  <si>
    <t xml:space="preserve">med grey fine grain. Some grains with red brown coloration removed </t>
  </si>
  <si>
    <t>12MOLA76</t>
  </si>
  <si>
    <t>Z7</t>
    <phoneticPr fontId="0" type="noConversion"/>
  </si>
  <si>
    <t xml:space="preserve">light grey. Glass and plag dominant. Med grain. Small minor  pyroxene and oxides. </t>
  </si>
  <si>
    <t>12MOLA77</t>
  </si>
  <si>
    <t>Z1</t>
    <phoneticPr fontId="0" type="noConversion"/>
  </si>
  <si>
    <t>Fine grain. Med grey. Some grains have slight green tint may have olivine in the GM.</t>
    <phoneticPr fontId="0" type="noConversion"/>
  </si>
  <si>
    <t>12MOLA78</t>
  </si>
  <si>
    <t>K8</t>
    <phoneticPr fontId="0" type="noConversion"/>
  </si>
  <si>
    <t>Fine to med grain. Polymineralic. Plag. Glass, mafics. Grains somewhat brittle and were breaking up</t>
  </si>
  <si>
    <t>12MOLA79</t>
  </si>
  <si>
    <t>P2</t>
    <phoneticPr fontId="0" type="noConversion"/>
  </si>
  <si>
    <t xml:space="preserve">Med to fine grain. Plag and glass dominant. Smaller mafic minerals. Some chalky white grains removed. Minor plag phenocrysts </t>
  </si>
  <si>
    <t>12MOLA80</t>
  </si>
  <si>
    <t>I3</t>
    <phoneticPr fontId="0" type="noConversion"/>
  </si>
  <si>
    <t xml:space="preserve">Fine grain. Med to dark grey. Elongate minerals. Plag and mafics abundant. Minor olivine. </t>
  </si>
  <si>
    <t>12MOLA81</t>
  </si>
  <si>
    <t>Z6</t>
    <phoneticPr fontId="0" type="noConversion"/>
  </si>
  <si>
    <t xml:space="preserve">med/fine grain dark gm. Glass, plag, mafic minerals all abundant. Some red brown alteration possibly from altered olivine </t>
  </si>
  <si>
    <t>12MOLA82</t>
  </si>
  <si>
    <t>I7</t>
    <phoneticPr fontId="0" type="noConversion"/>
  </si>
  <si>
    <t>light color</t>
    <phoneticPr fontId="0" type="noConversion"/>
  </si>
  <si>
    <t>12MOLA83</t>
  </si>
  <si>
    <t>X4</t>
    <phoneticPr fontId="0" type="noConversion"/>
  </si>
  <si>
    <t>med grain. Glass, plag, pyroxene, oxides. Lots of clean olivine megecrysts removed. Some grains have some red/brown minerals, altered glass?</t>
  </si>
  <si>
    <t>12MOLA300</t>
  </si>
  <si>
    <t>12MOLA301</t>
  </si>
  <si>
    <t>Quartzite</t>
  </si>
  <si>
    <t>12MOLA302</t>
  </si>
  <si>
    <t>Diabase</t>
  </si>
  <si>
    <t>12MOBI-05</t>
  </si>
  <si>
    <t>O5</t>
    <phoneticPr fontId="0" type="noConversion"/>
  </si>
  <si>
    <t>Med fine grain. Plag, glass, oxides pyroxene Some minor small olivine in GM looks clean. Removed if large</t>
  </si>
  <si>
    <t>12MOBI-06</t>
  </si>
  <si>
    <t>O8</t>
    <phoneticPr fontId="0" type="noConversion"/>
  </si>
  <si>
    <t>Coarse grain. Plag and glass dominant with small mafics. Some larger pyroxene phenocrysts removed</t>
  </si>
  <si>
    <t>12MOBI-07</t>
  </si>
  <si>
    <t>H5</t>
    <phoneticPr fontId="0" type="noConversion"/>
  </si>
  <si>
    <t xml:space="preserve">Coarse grain. Plag/glass with some small oxides picked. Minor discoloration of some GM. Megacrysts of pyroxene and olivine removed. </t>
  </si>
  <si>
    <t>DS13-01</t>
    <phoneticPr fontId="0" type="noConversion"/>
  </si>
  <si>
    <t>DS13-02</t>
    <phoneticPr fontId="0" type="noConversion"/>
  </si>
  <si>
    <t>light color. Med to large plag. Lots of glass. Small oxides and maybe pyroxene. Red minerals removed, possibly altered olivine or devitrified glass. More likely the later. Some small minor unaltered olivine. Minor white chalky brittle grains removed, may be amygdaloidal material</t>
  </si>
  <si>
    <t>DS13-03</t>
    <phoneticPr fontId="0" type="noConversion"/>
  </si>
  <si>
    <t>DS13-04</t>
  </si>
  <si>
    <t>Med to coarse grain. Large plag. Some glass. Smaller oxides and pyx. Minor large pyroxene grains. Some larger dark red brown minarets removed, possibly altered olivine?</t>
  </si>
  <si>
    <t>DS13-05</t>
  </si>
  <si>
    <t>DS13-06</t>
  </si>
  <si>
    <t>DS13-07</t>
  </si>
  <si>
    <t>DS13-08</t>
  </si>
  <si>
    <t>coarse grain. Large plag and glass. Some devitrified glass removed. Small oxides and med pyroxene</t>
  </si>
  <si>
    <t>DS13-09</t>
  </si>
  <si>
    <t xml:space="preserve">coarse grain. Large plag. Glass abundant. Smaller oxides and pyroxene. Some minor unaltered olivine, still green/yellow </t>
  </si>
  <si>
    <t>DS13-10</t>
  </si>
  <si>
    <t>DS13-11</t>
  </si>
  <si>
    <t>dark fine grain. Plag, glass, pyroxene and oxides in somewhat equal abundance. Some larger elongate plag. Minor red/brown minerals removed possibly altered olivine.</t>
  </si>
  <si>
    <t>DS13-12</t>
  </si>
  <si>
    <t>med grain g,. Red brown color. Glass may be devitrified. Some yellow/red olivine. Plag still looks clean. Small oxides and pyx.</t>
  </si>
  <si>
    <t>DS13-13</t>
  </si>
  <si>
    <t>DS13-14</t>
  </si>
  <si>
    <t>.Z.</t>
    <phoneticPr fontId="0" type="noConversion"/>
  </si>
  <si>
    <t xml:space="preserve">coarse grain light color. Large glass and plag. Smaller pyroxene and oxides. Large altered olivine removed. Some grains may have small alerted olivine xtals.  Olivine is red brown possibly iddingsite </t>
  </si>
  <si>
    <t>DS13-15</t>
  </si>
  <si>
    <t>DS13-16B</t>
    <phoneticPr fontId="0" type="noConversion"/>
  </si>
  <si>
    <t xml:space="preserve">Very dark fine grain gm. A few large plag xtals. Few grains had a red/brown coating. Grains removed </t>
    <phoneticPr fontId="0" type="noConversion"/>
  </si>
  <si>
    <t>DS13-17</t>
  </si>
  <si>
    <t>.x.</t>
    <phoneticPr fontId="0" type="noConversion"/>
  </si>
  <si>
    <t xml:space="preserve">Coarse grain light colored gm. Large plag and glass. Abundant olivine removed. Pyroxene and oxides also large. Some white chalky brittle minerals removed. </t>
  </si>
  <si>
    <t>DS13-20</t>
    <phoneticPr fontId="0" type="noConversion"/>
  </si>
  <si>
    <t>Light color med grain gm. Plag and glass dominant. Small oxides and possibly pyroxene</t>
  </si>
  <si>
    <t>MN080312-1</t>
    <phoneticPr fontId="0" type="noConversion"/>
  </si>
  <si>
    <t>.A5</t>
    <phoneticPr fontId="0" type="noConversion"/>
  </si>
  <si>
    <t xml:space="preserve">Very dark fine grin. Abundant glass. Mineral id difficult. Some large red/brown altered minerals removed. </t>
  </si>
  <si>
    <t>KW081012-1</t>
    <phoneticPr fontId="0" type="noConversion"/>
  </si>
  <si>
    <t>.M.</t>
    <phoneticPr fontId="0" type="noConversion"/>
  </si>
  <si>
    <t>med grain, light color. Large plag. Glass also abundant. Minor small oxides, pyroxene and olivine</t>
  </si>
  <si>
    <t>KW081012-2</t>
  </si>
  <si>
    <t>L</t>
    <phoneticPr fontId="0" type="noConversion"/>
  </si>
  <si>
    <t>med grain light color gm. Larger Plag and glass. Small oxides and pyroxene.  Felsic minerals dominant. So grains have a yellow color possibly glass alteration. Minor yellow/green olivine.</t>
  </si>
  <si>
    <t>KW081012-3</t>
  </si>
  <si>
    <t>.J.</t>
    <phoneticPr fontId="0" type="noConversion"/>
  </si>
  <si>
    <t>Med grain. Large plag. Abundant glass. Small oxides and pyroxene. Abundant small olivine that is slightly altered. Most grains have some olivine large xtals removed</t>
  </si>
  <si>
    <t>070613-01</t>
  </si>
  <si>
    <t>L9</t>
    <phoneticPr fontId="0" type="noConversion"/>
  </si>
  <si>
    <t>070713-01</t>
  </si>
  <si>
    <t>O1</t>
    <phoneticPr fontId="0" type="noConversion"/>
  </si>
  <si>
    <t>SGS-HP01</t>
  </si>
  <si>
    <t>O2</t>
    <phoneticPr fontId="0" type="noConversion"/>
  </si>
  <si>
    <t>SHS-HP02</t>
  </si>
  <si>
    <t>L8</t>
    <phoneticPr fontId="0" type="noConversion"/>
  </si>
  <si>
    <t>SGS-HP03</t>
  </si>
  <si>
    <t>L7</t>
    <phoneticPr fontId="0" type="noConversion"/>
  </si>
  <si>
    <t>SGS-HP04</t>
  </si>
  <si>
    <t>L6</t>
    <phoneticPr fontId="0" type="noConversion"/>
  </si>
  <si>
    <t>SGS-HP05</t>
  </si>
  <si>
    <t>L5</t>
    <phoneticPr fontId="0" type="noConversion"/>
  </si>
  <si>
    <t>Location</t>
  </si>
  <si>
    <t>Ar/Ar (Ma) see summary</t>
  </si>
  <si>
    <t>XRF (% normalized to 100 wt.%)</t>
  </si>
  <si>
    <t>Original</t>
  </si>
  <si>
    <t>XRF (ppm)</t>
  </si>
  <si>
    <t>ICP-MS (ppm)</t>
  </si>
  <si>
    <t>SAMPLE</t>
    <phoneticPr fontId="0" type="noConversion"/>
  </si>
  <si>
    <t>Elev</t>
  </si>
  <si>
    <t>Age</t>
  </si>
  <si>
    <t>2sigma</t>
  </si>
  <si>
    <t>SiO2</t>
    <phoneticPr fontId="0" type="noConversion"/>
  </si>
  <si>
    <t>TiO2</t>
    <phoneticPr fontId="0" type="noConversion"/>
  </si>
  <si>
    <t>Al2O3</t>
    <phoneticPr fontId="0" type="noConversion"/>
  </si>
  <si>
    <t>FeO*</t>
    <phoneticPr fontId="0" type="noConversion"/>
  </si>
  <si>
    <t>MnO</t>
    <phoneticPr fontId="0" type="noConversion"/>
  </si>
  <si>
    <t>MgO</t>
    <phoneticPr fontId="0" type="noConversion"/>
  </si>
  <si>
    <t>CaO</t>
    <phoneticPr fontId="0" type="noConversion"/>
  </si>
  <si>
    <t>Na2O</t>
    <phoneticPr fontId="0" type="noConversion"/>
  </si>
  <si>
    <t>K2O</t>
    <phoneticPr fontId="0" type="noConversion"/>
  </si>
  <si>
    <t>P2O5</t>
    <phoneticPr fontId="0" type="noConversion"/>
  </si>
  <si>
    <t>XRF Sum</t>
  </si>
  <si>
    <t>Ni</t>
  </si>
  <si>
    <t>Cr</t>
    <phoneticPr fontId="0" type="noConversion"/>
  </si>
  <si>
    <t>Sc</t>
    <phoneticPr fontId="0" type="noConversion"/>
  </si>
  <si>
    <t>V</t>
    <phoneticPr fontId="0" type="noConversion"/>
  </si>
  <si>
    <t>Ba</t>
    <phoneticPr fontId="0" type="noConversion"/>
  </si>
  <si>
    <t>Rb</t>
    <phoneticPr fontId="0" type="noConversion"/>
  </si>
  <si>
    <t>Sr</t>
    <phoneticPr fontId="0" type="noConversion"/>
  </si>
  <si>
    <t>Zr</t>
    <phoneticPr fontId="0" type="noConversion"/>
  </si>
  <si>
    <t>Y</t>
    <phoneticPr fontId="0" type="noConversion"/>
  </si>
  <si>
    <t>Nb</t>
    <phoneticPr fontId="0" type="noConversion"/>
  </si>
  <si>
    <t>Ga</t>
    <phoneticPr fontId="0" type="noConversion"/>
  </si>
  <si>
    <t>Cu</t>
    <phoneticPr fontId="0" type="noConversion"/>
  </si>
  <si>
    <t>Zn</t>
    <phoneticPr fontId="0" type="noConversion"/>
  </si>
  <si>
    <t>Pb</t>
    <phoneticPr fontId="0" type="noConversion"/>
  </si>
  <si>
    <t>La</t>
    <phoneticPr fontId="0" type="noConversion"/>
  </si>
  <si>
    <t>Ce</t>
    <phoneticPr fontId="0" type="noConversion"/>
  </si>
  <si>
    <t>Th</t>
    <phoneticPr fontId="0" type="noConversion"/>
  </si>
  <si>
    <t>Nd</t>
    <phoneticPr fontId="0" type="noConversion"/>
  </si>
  <si>
    <t>Th</t>
  </si>
  <si>
    <t>La</t>
  </si>
  <si>
    <t>Ce</t>
  </si>
  <si>
    <t>Pr</t>
  </si>
  <si>
    <t>Nd</t>
  </si>
  <si>
    <t>Sm</t>
  </si>
  <si>
    <t>Eu</t>
  </si>
  <si>
    <t>Gd</t>
  </si>
  <si>
    <t>Tb</t>
  </si>
  <si>
    <t>Dy</t>
  </si>
  <si>
    <t>Ho</t>
  </si>
  <si>
    <t>Er</t>
  </si>
  <si>
    <t>Tm</t>
  </si>
  <si>
    <t>Yb</t>
  </si>
  <si>
    <t>Lu</t>
  </si>
  <si>
    <t>Ba</t>
  </si>
  <si>
    <t>Nb</t>
  </si>
  <si>
    <t>Y</t>
  </si>
  <si>
    <t>Hf</t>
  </si>
  <si>
    <t>Ta</t>
  </si>
  <si>
    <t>U</t>
  </si>
  <si>
    <t>Pb</t>
  </si>
  <si>
    <t>Rb</t>
  </si>
  <si>
    <t>Cs</t>
  </si>
  <si>
    <t>Sr</t>
  </si>
  <si>
    <t>Sc</t>
  </si>
  <si>
    <t>Zr</t>
  </si>
  <si>
    <t>TK-D1</t>
  </si>
  <si>
    <t>TK-D2</t>
  </si>
  <si>
    <t>TK-D4</t>
  </si>
  <si>
    <t>TK-D7</t>
  </si>
  <si>
    <t>TK-D9</t>
  </si>
  <si>
    <t>TK-D10</t>
  </si>
  <si>
    <t>TK-D12</t>
  </si>
  <si>
    <t>TK-D16</t>
  </si>
  <si>
    <t>TK-D18</t>
  </si>
  <si>
    <t>TK-D19</t>
  </si>
  <si>
    <t>TK-D20</t>
  </si>
  <si>
    <t>TK-D23</t>
  </si>
  <si>
    <t>TK-D24</t>
  </si>
  <si>
    <t>TK-D25</t>
  </si>
  <si>
    <t>TK-D26</t>
  </si>
  <si>
    <t>TK-D27</t>
  </si>
  <si>
    <t>TK-D31</t>
  </si>
  <si>
    <t>TK-D33</t>
  </si>
  <si>
    <t>TK-D34</t>
  </si>
  <si>
    <t>TK-D35</t>
  </si>
  <si>
    <t>TK-D37</t>
  </si>
  <si>
    <t>TK-D38</t>
  </si>
  <si>
    <t>TK-D41</t>
  </si>
  <si>
    <t>TK-D42</t>
  </si>
  <si>
    <t>TK-D43</t>
  </si>
  <si>
    <t>TK-D45</t>
  </si>
  <si>
    <t>TK-D46</t>
  </si>
  <si>
    <t>TK-D48</t>
  </si>
  <si>
    <t>TK-D49</t>
  </si>
  <si>
    <t>TK-D50</t>
  </si>
  <si>
    <t>TK-D52</t>
  </si>
  <si>
    <t>TK-D56</t>
  </si>
  <si>
    <t>TK-D58</t>
  </si>
  <si>
    <t>TK-D60</t>
  </si>
  <si>
    <t>TK-D62</t>
  </si>
  <si>
    <t>TK-D63</t>
  </si>
  <si>
    <t>TK-H1</t>
  </si>
  <si>
    <t>TK-X1 dike</t>
  </si>
  <si>
    <t>TK-X2 dike</t>
  </si>
  <si>
    <t>TK-X4 dike</t>
  </si>
  <si>
    <t>E-A1</t>
  </si>
  <si>
    <t>E-A3</t>
  </si>
  <si>
    <t>E-A7</t>
  </si>
  <si>
    <t>E-A8</t>
  </si>
  <si>
    <t>E-B4</t>
  </si>
  <si>
    <t>E-C1</t>
  </si>
  <si>
    <t>E-D1</t>
  </si>
  <si>
    <t>E-E2</t>
  </si>
  <si>
    <t>E-E3 dike</t>
  </si>
  <si>
    <t>E-E4</t>
  </si>
  <si>
    <t>E-E8</t>
  </si>
  <si>
    <t>E-F2</t>
  </si>
  <si>
    <t>E-F5</t>
  </si>
  <si>
    <t>E-F6</t>
  </si>
  <si>
    <t>E-F8</t>
  </si>
  <si>
    <t>E-G1</t>
  </si>
  <si>
    <t>E-H2</t>
  </si>
  <si>
    <t>E-H8</t>
  </si>
  <si>
    <t>E-H9</t>
  </si>
  <si>
    <t>E-H14</t>
  </si>
  <si>
    <t>E-H18</t>
  </si>
  <si>
    <t>LU1427</t>
  </si>
  <si>
    <t>plateau age</t>
  </si>
  <si>
    <t>LU1425</t>
  </si>
  <si>
    <t>LU1428</t>
  </si>
  <si>
    <t>LU1429</t>
  </si>
  <si>
    <t>inverse isochron age</t>
  </si>
  <si>
    <t>8.86 ± 0.18</t>
  </si>
  <si>
    <t>LU1426</t>
  </si>
  <si>
    <t>LU1430</t>
  </si>
  <si>
    <t>LU#</t>
    <phoneticPr fontId="0" type="noConversion"/>
  </si>
  <si>
    <t>Sample Name</t>
    <phoneticPr fontId="0" type="noConversion"/>
  </si>
  <si>
    <t xml:space="preserve">Irradition </t>
    <phoneticPr fontId="0" type="noConversion"/>
  </si>
  <si>
    <t xml:space="preserve">Analysis Type </t>
    <phoneticPr fontId="0" type="noConversion"/>
  </si>
  <si>
    <t>36Ar(a)
[fA]</t>
  </si>
  <si>
    <t>37Ar(ca)
[fA]</t>
  </si>
  <si>
    <t>38Ar(cl)
[fA]</t>
  </si>
  <si>
    <t>39Ar(k)
[fA]</t>
  </si>
  <si>
    <t>40Ar(r)
[fA]</t>
  </si>
  <si>
    <t>40Ar(r)</t>
  </si>
  <si>
    <t>39Ar(k)</t>
  </si>
  <si>
    <t>K/Ca</t>
  </si>
  <si>
    <t>Lat</t>
    <phoneticPr fontId="0" type="noConversion"/>
  </si>
  <si>
    <t>Long</t>
    <phoneticPr fontId="0" type="noConversion"/>
  </si>
  <si>
    <t>Base Elev of Flow</t>
    <phoneticPr fontId="0" type="noConversion"/>
  </si>
  <si>
    <t>Flow Thickness</t>
    <phoneticPr fontId="0" type="noConversion"/>
  </si>
  <si>
    <t xml:space="preserve">Location Name </t>
    <phoneticPr fontId="0" type="noConversion"/>
  </si>
  <si>
    <t xml:space="preserve">Flow # (1 is base of section) </t>
    <phoneticPr fontId="0" type="noConversion"/>
  </si>
  <si>
    <t xml:space="preserve">Section total thickness </t>
    <phoneticPr fontId="0" type="noConversion"/>
  </si>
  <si>
    <t>Top of section elev above river</t>
    <phoneticPr fontId="0" type="noConversion"/>
  </si>
  <si>
    <t>Incision rate m/Ma</t>
  </si>
  <si>
    <t>additional info</t>
  </si>
  <si>
    <t>(%)</t>
  </si>
  <si>
    <t>LU2015-001</t>
  </si>
  <si>
    <t>070613-1</t>
  </si>
  <si>
    <t>laser fusion</t>
    <phoneticPr fontId="0" type="noConversion"/>
  </si>
  <si>
    <t>Upper Orkhon Gol valley</t>
  </si>
  <si>
    <t>Two 3-m thick flows separated by 53 m; we dated basal flow.</t>
  </si>
  <si>
    <t>LU2016-001</t>
  </si>
  <si>
    <t>070713-1</t>
  </si>
  <si>
    <t>Lower Orkhon Gol valley</t>
  </si>
  <si>
    <t>LU1859-001</t>
  </si>
  <si>
    <t>11MOBI01</t>
  </si>
  <si>
    <t>I57</t>
  </si>
  <si>
    <t>LU1860-001</t>
  </si>
  <si>
    <t>11MOBI02</t>
  </si>
  <si>
    <t>LU1830-001</t>
  </si>
  <si>
    <t>11MOBI03</t>
  </si>
  <si>
    <t>LU1831-001</t>
  </si>
  <si>
    <t>11MOBI04</t>
  </si>
  <si>
    <t>LU1844-001</t>
  </si>
  <si>
    <t>11MOBI05</t>
  </si>
  <si>
    <t>LU1802-SH</t>
    <phoneticPr fontId="0" type="noConversion"/>
  </si>
  <si>
    <t>11MOKW05</t>
    <phoneticPr fontId="0" type="noConversion"/>
  </si>
  <si>
    <t xml:space="preserve">Step Heat </t>
    <phoneticPr fontId="0" type="noConversion"/>
  </si>
  <si>
    <t>Eginn Dava top</t>
    <phoneticPr fontId="0" type="noConversion"/>
  </si>
  <si>
    <t>20 of 20</t>
    <phoneticPr fontId="0" type="noConversion"/>
  </si>
  <si>
    <t>LU1854-001</t>
  </si>
  <si>
    <t>11MOKW06</t>
  </si>
  <si>
    <t>15 of 20</t>
    <phoneticPr fontId="0" type="noConversion"/>
  </si>
  <si>
    <t>highest flow on hanginwall (down) side of Egiin Davaa fault - could help constrain timing and amount of throw on fault.  Initiation of movement on fault must be younger than age of this basalt flow, and this flow may have been higher in elevation than 11MOKW05 initially.</t>
  </si>
  <si>
    <t>LU1855-001</t>
  </si>
  <si>
    <t>11MOKW07</t>
  </si>
  <si>
    <t>Pass south of Bulgan</t>
  </si>
  <si>
    <t>20 of ~20</t>
  </si>
  <si>
    <t>~40</t>
  </si>
  <si>
    <t>top most flow; collected to constrain long-term valley incision rate - full section of flows not measured.</t>
  </si>
  <si>
    <t>LU1835-001</t>
  </si>
  <si>
    <t>11MOLA01</t>
  </si>
  <si>
    <t>Pass to Chulute</t>
    <phoneticPr fontId="0" type="noConversion"/>
  </si>
  <si>
    <t>1 of 1</t>
    <phoneticPr fontId="0" type="noConversion"/>
  </si>
  <si>
    <t>LU1841-001</t>
  </si>
  <si>
    <t>11MOLA03</t>
  </si>
  <si>
    <t xml:space="preserve">Keck Cirque </t>
    <phoneticPr fontId="0" type="noConversion"/>
  </si>
  <si>
    <t>LU1840-001</t>
  </si>
  <si>
    <t>11MOLA04</t>
  </si>
  <si>
    <t>LU1837-001</t>
  </si>
  <si>
    <t>11MOLA05</t>
  </si>
  <si>
    <t>LU1838-001</t>
  </si>
  <si>
    <t>11MOLA06</t>
  </si>
  <si>
    <t>LU1834-001</t>
  </si>
  <si>
    <t>11MOLA07</t>
  </si>
  <si>
    <t>LU1832-001</t>
  </si>
  <si>
    <t>11MOLA08</t>
  </si>
  <si>
    <t>LU1811-001</t>
  </si>
  <si>
    <t>11MOLA09</t>
  </si>
  <si>
    <t>LU1842-001</t>
  </si>
  <si>
    <t>11MOLA10</t>
  </si>
  <si>
    <t>LU1627-001</t>
  </si>
  <si>
    <t>11MOLA100</t>
  </si>
  <si>
    <t>I52</t>
  </si>
  <si>
    <t xml:space="preserve">Tsugalt Valley </t>
    <phoneticPr fontId="0" type="noConversion"/>
  </si>
  <si>
    <t>LU1628-001</t>
  </si>
  <si>
    <t>11MOLA101</t>
  </si>
  <si>
    <t>Ulaan</t>
    <phoneticPr fontId="0" type="noConversion"/>
  </si>
  <si>
    <t>2 of 2</t>
    <phoneticPr fontId="0" type="noConversion"/>
  </si>
  <si>
    <t>LU1629-001</t>
  </si>
  <si>
    <t>11MOLA103</t>
  </si>
  <si>
    <t>1 of 2</t>
    <phoneticPr fontId="0" type="noConversion"/>
  </si>
  <si>
    <t>LU1630-001</t>
  </si>
  <si>
    <t>11MOLA104</t>
  </si>
  <si>
    <t>south of Tsenher</t>
    <phoneticPr fontId="0" type="noConversion"/>
  </si>
  <si>
    <t xml:space="preserve">4 of 5 </t>
    <phoneticPr fontId="0" type="noConversion"/>
  </si>
  <si>
    <t>LU1631-001</t>
  </si>
  <si>
    <t>11MOLA105</t>
  </si>
  <si>
    <t>3 of 5</t>
    <phoneticPr fontId="0" type="noConversion"/>
  </si>
  <si>
    <t>LU1632-001</t>
  </si>
  <si>
    <t>11MOLA106</t>
  </si>
  <si>
    <t xml:space="preserve">2 of 5 </t>
    <phoneticPr fontId="0" type="noConversion"/>
  </si>
  <si>
    <t>LU1633-001</t>
  </si>
  <si>
    <t>11MOLA107</t>
  </si>
  <si>
    <t>1 of 5</t>
    <phoneticPr fontId="0" type="noConversion"/>
  </si>
  <si>
    <t>LU1634-001</t>
  </si>
  <si>
    <t>11MOLA108</t>
  </si>
  <si>
    <t>5 of 5</t>
    <phoneticPr fontId="0" type="noConversion"/>
  </si>
  <si>
    <t>LU1635-001</t>
  </si>
  <si>
    <t>11MOLA109</t>
    <phoneticPr fontId="0" type="noConversion"/>
  </si>
  <si>
    <t>I52</t>
    <phoneticPr fontId="0" type="noConversion"/>
  </si>
  <si>
    <t>Ogiinuur Road</t>
    <phoneticPr fontId="0" type="noConversion"/>
  </si>
  <si>
    <t>LU1636-001</t>
  </si>
  <si>
    <t>11MOLA110</t>
  </si>
  <si>
    <t>Ogii Nuur flows</t>
    <phoneticPr fontId="0" type="noConversion"/>
  </si>
  <si>
    <t>LU1637-001</t>
  </si>
  <si>
    <t>11MOLA111</t>
  </si>
  <si>
    <t>LU1638-001</t>
  </si>
  <si>
    <t>11MOLA112</t>
  </si>
  <si>
    <t>cone near Ogii nuur</t>
    <phoneticPr fontId="0" type="noConversion"/>
  </si>
  <si>
    <t>LU1839-001</t>
  </si>
  <si>
    <t>11MOLA13</t>
  </si>
  <si>
    <t xml:space="preserve">South of Chulute </t>
    <phoneticPr fontId="0" type="noConversion"/>
  </si>
  <si>
    <t>LU1833-001</t>
  </si>
  <si>
    <t>11MOLA14</t>
  </si>
  <si>
    <t xml:space="preserve">Chulute Nose </t>
    <phoneticPr fontId="0" type="noConversion"/>
  </si>
  <si>
    <t>2 of 4</t>
    <phoneticPr fontId="0" type="noConversion"/>
  </si>
  <si>
    <t>LU1843-001</t>
  </si>
  <si>
    <t>11MOLA15</t>
  </si>
  <si>
    <t>4 of 4</t>
    <phoneticPr fontId="0" type="noConversion"/>
  </si>
  <si>
    <t>LU1722-001</t>
  </si>
  <si>
    <t>11MOLA16</t>
  </si>
  <si>
    <t>3 of 4</t>
    <phoneticPr fontId="0" type="noConversion"/>
  </si>
  <si>
    <t>LU1723-001</t>
  </si>
  <si>
    <t>11MOLA17</t>
  </si>
  <si>
    <t>1 of 4</t>
    <phoneticPr fontId="0" type="noConversion"/>
  </si>
  <si>
    <t>LU1724-001</t>
  </si>
  <si>
    <t>11MOLA18</t>
  </si>
  <si>
    <t>Chulute Nose (upper)</t>
    <phoneticPr fontId="0" type="noConversion"/>
  </si>
  <si>
    <t>1 of 7</t>
    <phoneticPr fontId="0" type="noConversion"/>
  </si>
  <si>
    <t>LU1725-001</t>
  </si>
  <si>
    <t>11MOLA19</t>
  </si>
  <si>
    <t>2 of 7</t>
    <phoneticPr fontId="0" type="noConversion"/>
  </si>
  <si>
    <t>LU1726-001</t>
  </si>
  <si>
    <t>11MOLA20</t>
  </si>
  <si>
    <t>4 of 7</t>
    <phoneticPr fontId="0" type="noConversion"/>
  </si>
  <si>
    <t>LU1727-001</t>
  </si>
  <si>
    <t>11MOLA21</t>
  </si>
  <si>
    <t>6 of 7</t>
    <phoneticPr fontId="0" type="noConversion"/>
  </si>
  <si>
    <t>LU1728-001</t>
  </si>
  <si>
    <t>11MOLA22</t>
  </si>
  <si>
    <t>7 of 7</t>
    <phoneticPr fontId="0" type="noConversion"/>
  </si>
  <si>
    <t>LU1729-001</t>
  </si>
  <si>
    <t>11MOLA23</t>
  </si>
  <si>
    <t xml:space="preserve">west bank of Chulute </t>
    <phoneticPr fontId="0" type="noConversion"/>
  </si>
  <si>
    <t>3 of 3</t>
    <phoneticPr fontId="0" type="noConversion"/>
  </si>
  <si>
    <t>LU1730-001</t>
  </si>
  <si>
    <t>11MOLA24</t>
  </si>
  <si>
    <t>2 of 3</t>
    <phoneticPr fontId="0" type="noConversion"/>
  </si>
  <si>
    <t>LU1731-001</t>
  </si>
  <si>
    <t>11MOLA25</t>
  </si>
  <si>
    <t>1 of 3</t>
    <phoneticPr fontId="0" type="noConversion"/>
  </si>
  <si>
    <t>LU1732-001</t>
  </si>
  <si>
    <t>11MOLA28</t>
  </si>
  <si>
    <t>Eginn Dava Cinder Cone</t>
    <phoneticPr fontId="0" type="noConversion"/>
  </si>
  <si>
    <t>LU1733-001</t>
  </si>
  <si>
    <t>11MOLA29</t>
  </si>
  <si>
    <t>Baydrag Gol bank</t>
    <phoneticPr fontId="0" type="noConversion"/>
  </si>
  <si>
    <t>LU1734-001</t>
  </si>
  <si>
    <t>11MOLA30</t>
  </si>
  <si>
    <t>LU1735-001</t>
  </si>
  <si>
    <t>11MOLA31</t>
  </si>
  <si>
    <t>LU1736-001</t>
  </si>
  <si>
    <t>11MOLA32</t>
    <phoneticPr fontId="0" type="noConversion"/>
  </si>
  <si>
    <t>LU1737-001</t>
  </si>
  <si>
    <t>11MOLA33</t>
    <phoneticPr fontId="0" type="noConversion"/>
  </si>
  <si>
    <t>Jargalant bridge</t>
    <phoneticPr fontId="0" type="noConversion"/>
  </si>
  <si>
    <t>LU1738-001</t>
  </si>
  <si>
    <t>11MOLA34</t>
  </si>
  <si>
    <t>LU1739-001</t>
  </si>
  <si>
    <t>11MOLA35</t>
  </si>
  <si>
    <t>Egiin Dava top</t>
    <phoneticPr fontId="0" type="noConversion"/>
  </si>
  <si>
    <t>1 of 20</t>
    <phoneticPr fontId="0" type="noConversion"/>
  </si>
  <si>
    <t>LU1740-001</t>
  </si>
  <si>
    <t>11MOLA36</t>
  </si>
  <si>
    <t>4 of 20</t>
    <phoneticPr fontId="0" type="noConversion"/>
  </si>
  <si>
    <t>LU1741-001</t>
  </si>
  <si>
    <t>11MOLA37</t>
  </si>
  <si>
    <t>5 0f 20</t>
    <phoneticPr fontId="0" type="noConversion"/>
  </si>
  <si>
    <t>LU1742-001</t>
  </si>
  <si>
    <t>11MOLA38</t>
  </si>
  <si>
    <t>Baydrag Gol upper</t>
    <phoneticPr fontId="0" type="noConversion"/>
  </si>
  <si>
    <t>3 of 3</t>
    <phoneticPr fontId="0" type="noConversion"/>
  </si>
  <si>
    <t>LU1743-001</t>
  </si>
  <si>
    <t>11MOLA39</t>
  </si>
  <si>
    <t>LU1744-001</t>
  </si>
  <si>
    <t>11MOLA40</t>
  </si>
  <si>
    <t>LU1745-001</t>
  </si>
  <si>
    <t>11MOLA42a</t>
  </si>
  <si>
    <t>Chulute upstream</t>
    <phoneticPr fontId="0" type="noConversion"/>
  </si>
  <si>
    <t>6 of 11</t>
    <phoneticPr fontId="0" type="noConversion"/>
  </si>
  <si>
    <t>LU1746-001</t>
  </si>
  <si>
    <t>11MOLA42b</t>
  </si>
  <si>
    <t>LU1747-001</t>
  </si>
  <si>
    <t>11MOLA43</t>
  </si>
  <si>
    <t>8 of 11</t>
    <phoneticPr fontId="0" type="noConversion"/>
  </si>
  <si>
    <t>LU1748-001</t>
  </si>
  <si>
    <t>11MOLA44</t>
  </si>
  <si>
    <t>9 of 11</t>
    <phoneticPr fontId="0" type="noConversion"/>
  </si>
  <si>
    <t>LU1749-001</t>
  </si>
  <si>
    <t>11MOLA45</t>
  </si>
  <si>
    <t>11 of 11</t>
    <phoneticPr fontId="0" type="noConversion"/>
  </si>
  <si>
    <t>LU1750-001</t>
  </si>
  <si>
    <t>11MOLA46</t>
  </si>
  <si>
    <t>Keck Camp</t>
    <phoneticPr fontId="0" type="noConversion"/>
  </si>
  <si>
    <t>LU1751-001</t>
  </si>
  <si>
    <t>11MOLA47</t>
  </si>
  <si>
    <t>LU1752-001</t>
  </si>
  <si>
    <t>11MOLA48</t>
  </si>
  <si>
    <t>10 of 11</t>
    <phoneticPr fontId="0" type="noConversion"/>
  </si>
  <si>
    <t>LU1753-001</t>
  </si>
  <si>
    <t>11MOLA49</t>
  </si>
  <si>
    <t>LU1754-001</t>
  </si>
  <si>
    <t>11MOLA50</t>
  </si>
  <si>
    <t>top</t>
    <phoneticPr fontId="0" type="noConversion"/>
  </si>
  <si>
    <t>LU1755-001</t>
  </si>
  <si>
    <t>11MOLA51</t>
  </si>
  <si>
    <t>Tayhar Chulu</t>
    <phoneticPr fontId="0" type="noConversion"/>
  </si>
  <si>
    <t>1 of 8</t>
    <phoneticPr fontId="0" type="noConversion"/>
  </si>
  <si>
    <t>LU1756-001</t>
  </si>
  <si>
    <t>11MOLA52</t>
  </si>
  <si>
    <t>2 of 8</t>
    <phoneticPr fontId="0" type="noConversion"/>
  </si>
  <si>
    <t>LU1757-001</t>
  </si>
  <si>
    <t>11MOLA53</t>
  </si>
  <si>
    <t>3 of 8</t>
    <phoneticPr fontId="0" type="noConversion"/>
  </si>
  <si>
    <t>LU1758-001</t>
  </si>
  <si>
    <t>11MOLA54</t>
  </si>
  <si>
    <t>6 of 8</t>
    <phoneticPr fontId="0" type="noConversion"/>
  </si>
  <si>
    <t>LU1759-001</t>
  </si>
  <si>
    <t>11MOLA55</t>
  </si>
  <si>
    <t>8 of 8</t>
    <phoneticPr fontId="0" type="noConversion"/>
  </si>
  <si>
    <t>LU1760-001</t>
  </si>
  <si>
    <t>11MOLA56</t>
  </si>
  <si>
    <t xml:space="preserve">upstream Ihtamir </t>
    <phoneticPr fontId="0" type="noConversion"/>
  </si>
  <si>
    <t>LU1761-001</t>
  </si>
  <si>
    <t>11MOLA57</t>
  </si>
  <si>
    <t>LU1763-001</t>
  </si>
  <si>
    <t>11MOLA58</t>
  </si>
  <si>
    <t>3 of 3</t>
    <phoneticPr fontId="0" type="noConversion"/>
  </si>
  <si>
    <t>LU1590-001</t>
  </si>
  <si>
    <t>11MOLA59</t>
  </si>
  <si>
    <t>inset Orkhon headwaters</t>
    <phoneticPr fontId="0" type="noConversion"/>
  </si>
  <si>
    <t>4 of 6</t>
    <phoneticPr fontId="0" type="noConversion"/>
  </si>
  <si>
    <t>LU1592-001</t>
  </si>
  <si>
    <t>2 of 6</t>
    <phoneticPr fontId="0" type="noConversion"/>
  </si>
  <si>
    <t>LU1593-001</t>
  </si>
  <si>
    <t>11MOLA62</t>
  </si>
  <si>
    <t>3 of 6</t>
    <phoneticPr fontId="0" type="noConversion"/>
  </si>
  <si>
    <t>LU1594-001</t>
  </si>
  <si>
    <t>11MOLA63</t>
  </si>
  <si>
    <t>1 of 6</t>
    <phoneticPr fontId="0" type="noConversion"/>
  </si>
  <si>
    <t>LU1595-001</t>
  </si>
  <si>
    <t>11MOLA64</t>
  </si>
  <si>
    <t>6 of 6</t>
    <phoneticPr fontId="0" type="noConversion"/>
  </si>
  <si>
    <t>LU1596-001</t>
  </si>
  <si>
    <t>11MOLA65</t>
  </si>
  <si>
    <t xml:space="preserve">Orkhon headwaters upstream </t>
    <phoneticPr fontId="0" type="noConversion"/>
  </si>
  <si>
    <t>LU1597-001</t>
  </si>
  <si>
    <t>11MOLA66</t>
  </si>
  <si>
    <t>Orkhon headwaters hill top</t>
    <phoneticPr fontId="0" type="noConversion"/>
  </si>
  <si>
    <t>1 of 9</t>
    <phoneticPr fontId="0" type="noConversion"/>
  </si>
  <si>
    <t>LU1598-001</t>
  </si>
  <si>
    <t>11MOLA67</t>
  </si>
  <si>
    <t>2 of 9</t>
    <phoneticPr fontId="0" type="noConversion"/>
  </si>
  <si>
    <t>LU1599-001</t>
  </si>
  <si>
    <t>11MOLA68</t>
  </si>
  <si>
    <t>4 of 9</t>
    <phoneticPr fontId="0" type="noConversion"/>
  </si>
  <si>
    <t>LU1601-001</t>
  </si>
  <si>
    <t>9 of 9</t>
    <phoneticPr fontId="0" type="noConversion"/>
  </si>
  <si>
    <t>LU1602-001</t>
  </si>
  <si>
    <t>11MOLA71</t>
  </si>
  <si>
    <t>8 of 9</t>
    <phoneticPr fontId="0" type="noConversion"/>
  </si>
  <si>
    <t>LU1603-001</t>
  </si>
  <si>
    <t>11MOLA72</t>
  </si>
  <si>
    <t>6 of 9</t>
    <phoneticPr fontId="0" type="noConversion"/>
  </si>
  <si>
    <t>LU1604-001</t>
  </si>
  <si>
    <t>11MOLA73</t>
  </si>
  <si>
    <t>5 of 9</t>
    <phoneticPr fontId="0" type="noConversion"/>
  </si>
  <si>
    <t>LU1605-001</t>
  </si>
  <si>
    <t>11MOLA74</t>
  </si>
  <si>
    <t>3 of 9</t>
    <phoneticPr fontId="0" type="noConversion"/>
  </si>
  <si>
    <t>LU1606-001</t>
  </si>
  <si>
    <t>11MOLA76</t>
  </si>
  <si>
    <t xml:space="preserve">Orkhon tributary </t>
    <phoneticPr fontId="0" type="noConversion"/>
  </si>
  <si>
    <t>LU1607-001</t>
  </si>
  <si>
    <t>11MOLA78</t>
  </si>
  <si>
    <t>upstream of Orkhon falls</t>
    <phoneticPr fontId="0" type="noConversion"/>
  </si>
  <si>
    <t>LU1608-001</t>
  </si>
  <si>
    <t>11MOLA79</t>
  </si>
  <si>
    <t>2 of 6</t>
    <phoneticPr fontId="0" type="noConversion"/>
  </si>
  <si>
    <t>LU1609-001</t>
  </si>
  <si>
    <t>11MOLA80</t>
  </si>
  <si>
    <t>3 of 6</t>
    <phoneticPr fontId="0" type="noConversion"/>
  </si>
  <si>
    <t>LU1610-001</t>
  </si>
  <si>
    <t>11MOLA81</t>
  </si>
  <si>
    <t>LU1611-001</t>
  </si>
  <si>
    <t>11MOLA82</t>
  </si>
  <si>
    <t>LU1613-001</t>
  </si>
  <si>
    <t>11MOLA84a</t>
  </si>
  <si>
    <t xml:space="preserve">SE of Bayanhongor A </t>
    <phoneticPr fontId="0" type="noConversion"/>
  </si>
  <si>
    <t>LU1614-001</t>
  </si>
  <si>
    <t>11MOLA84b</t>
  </si>
  <si>
    <t>SE of Bayanhongor A</t>
    <phoneticPr fontId="0" type="noConversion"/>
  </si>
  <si>
    <t>LU1617-001</t>
  </si>
  <si>
    <t>11MOLA89</t>
  </si>
  <si>
    <t xml:space="preserve">north of Bogd </t>
    <phoneticPr fontId="0" type="noConversion"/>
  </si>
  <si>
    <t>LU1618-001</t>
  </si>
  <si>
    <t>11MOLA90</t>
  </si>
  <si>
    <t>LU1619-001</t>
  </si>
  <si>
    <t>11MOLA92</t>
  </si>
  <si>
    <t>SE of Bayanhongor B</t>
    <phoneticPr fontId="0" type="noConversion"/>
  </si>
  <si>
    <t>LU1620-001</t>
  </si>
  <si>
    <t>11MOLA93</t>
  </si>
  <si>
    <t xml:space="preserve">Tsugalt </t>
    <phoneticPr fontId="0" type="noConversion"/>
  </si>
  <si>
    <t>10 of 10</t>
    <phoneticPr fontId="0" type="noConversion"/>
  </si>
  <si>
    <t>LU1621-001</t>
  </si>
  <si>
    <t>11MOLA94</t>
  </si>
  <si>
    <t>9 of 10</t>
    <phoneticPr fontId="0" type="noConversion"/>
  </si>
  <si>
    <t>LU1622-001</t>
  </si>
  <si>
    <t>11MOLA95</t>
  </si>
  <si>
    <t>8 of 10</t>
    <phoneticPr fontId="0" type="noConversion"/>
  </si>
  <si>
    <t>LU1624-001</t>
  </si>
  <si>
    <t>11MOLA97</t>
  </si>
  <si>
    <t>5 of 10</t>
    <phoneticPr fontId="0" type="noConversion"/>
  </si>
  <si>
    <t>LU1625-001</t>
  </si>
  <si>
    <t>11MOLA98</t>
  </si>
  <si>
    <t>3 of 10</t>
    <phoneticPr fontId="0" type="noConversion"/>
  </si>
  <si>
    <t>LU1626-001</t>
  </si>
  <si>
    <t>11MOLA99</t>
  </si>
  <si>
    <t>2 of 10</t>
    <phoneticPr fontId="0" type="noConversion"/>
  </si>
  <si>
    <t>LU1845-001</t>
  </si>
  <si>
    <t>11MOPZ01</t>
  </si>
  <si>
    <t>LU1846-001</t>
  </si>
  <si>
    <t>11MOPZ02</t>
  </si>
  <si>
    <t>LU1849-001</t>
  </si>
  <si>
    <t>11MOPZ03</t>
  </si>
  <si>
    <t>LU1850-001</t>
  </si>
  <si>
    <t>11MOPZ04</t>
  </si>
  <si>
    <t>LU1851-001</t>
  </si>
  <si>
    <t>11MOPZ08</t>
  </si>
  <si>
    <t>3 of 11</t>
    <phoneticPr fontId="0" type="noConversion"/>
  </si>
  <si>
    <t>LU1852-001</t>
  </si>
  <si>
    <t>11MOPZ09</t>
  </si>
  <si>
    <t>5 of 11</t>
    <phoneticPr fontId="0" type="noConversion"/>
  </si>
  <si>
    <t>LU1798-SH</t>
    <phoneticPr fontId="0" type="noConversion"/>
  </si>
  <si>
    <t>11MOPZ10</t>
    <phoneticPr fontId="0" type="noConversion"/>
  </si>
  <si>
    <t>I57</t>
    <phoneticPr fontId="0" type="noConversion"/>
  </si>
  <si>
    <t>LU1799-SH</t>
    <phoneticPr fontId="0" type="noConversion"/>
  </si>
  <si>
    <t>11MOPZ11</t>
    <phoneticPr fontId="0" type="noConversion"/>
  </si>
  <si>
    <t>LU1762-001</t>
  </si>
  <si>
    <t>11MOPZ12</t>
  </si>
  <si>
    <t>LU1848-001</t>
  </si>
  <si>
    <t>11MOPZ13</t>
  </si>
  <si>
    <t>LU1853-001</t>
  </si>
  <si>
    <t>11MOPZ14</t>
  </si>
  <si>
    <t>2 of 11</t>
    <phoneticPr fontId="0" type="noConversion"/>
  </si>
  <si>
    <t>LU1764-001</t>
  </si>
  <si>
    <t>LU1856-001</t>
  </si>
  <si>
    <t>11MOPZ15b</t>
  </si>
  <si>
    <t>LU1800-SH</t>
    <phoneticPr fontId="0" type="noConversion"/>
  </si>
  <si>
    <t>11MOPZ16</t>
    <phoneticPr fontId="0" type="noConversion"/>
  </si>
  <si>
    <t>LU1765-001</t>
  </si>
  <si>
    <t>LU1847-001</t>
  </si>
  <si>
    <t>11MOPZ17b</t>
  </si>
  <si>
    <t>LU1857-001</t>
  </si>
  <si>
    <t>11MOPZ18</t>
  </si>
  <si>
    <t>LU1858-001</t>
  </si>
  <si>
    <t>11MOPZ20</t>
  </si>
  <si>
    <t>LU1766-001</t>
  </si>
  <si>
    <t>11MOPZ20a</t>
  </si>
  <si>
    <t>LU2020-001</t>
  </si>
  <si>
    <t>12MOBI05</t>
  </si>
  <si>
    <t>LU2023-001</t>
  </si>
  <si>
    <t>12MOBI06</t>
  </si>
  <si>
    <t>LU1984-001</t>
  </si>
  <si>
    <t>12MOBI07</t>
  </si>
  <si>
    <t>LU2031-001</t>
  </si>
  <si>
    <t>Dashinchilen</t>
    <phoneticPr fontId="0" type="noConversion"/>
  </si>
  <si>
    <t>1 of 1</t>
    <phoneticPr fontId="0" type="noConversion"/>
  </si>
  <si>
    <t>LU1989-001</t>
  </si>
  <si>
    <t>Hanuy Gol canyon</t>
    <phoneticPr fontId="0" type="noConversion"/>
  </si>
  <si>
    <t>LU2033-001</t>
  </si>
  <si>
    <t>4 of 20</t>
    <phoneticPr fontId="0" type="noConversion"/>
  </si>
  <si>
    <t>LU2025-001</t>
  </si>
  <si>
    <t>7 of 20</t>
    <phoneticPr fontId="0" type="noConversion"/>
  </si>
  <si>
    <t>LU2001-001</t>
  </si>
  <si>
    <t>13 of 20</t>
    <phoneticPr fontId="0" type="noConversion"/>
  </si>
  <si>
    <t>LU1962-001</t>
  </si>
  <si>
    <t>I58</t>
    <phoneticPr fontId="0" type="noConversion"/>
  </si>
  <si>
    <t>17 of 20</t>
    <phoneticPr fontId="0" type="noConversion"/>
  </si>
  <si>
    <t>LU1968-001</t>
  </si>
  <si>
    <t>19 of 20</t>
    <phoneticPr fontId="0" type="noConversion"/>
  </si>
  <si>
    <t>LU2035-001</t>
  </si>
  <si>
    <t>Orkhon canyon</t>
    <phoneticPr fontId="0" type="noConversion"/>
  </si>
  <si>
    <t>1 of 11</t>
    <phoneticPr fontId="0" type="noConversion"/>
  </si>
  <si>
    <t>LU2007-001</t>
  </si>
  <si>
    <t>4 of 11</t>
    <phoneticPr fontId="0" type="noConversion"/>
  </si>
  <si>
    <t>LU1988-001</t>
  </si>
  <si>
    <t>11 of 11</t>
    <phoneticPr fontId="0" type="noConversion"/>
  </si>
  <si>
    <t>LU1810-001</t>
  </si>
  <si>
    <t>n/a</t>
    <phoneticPr fontId="0" type="noConversion"/>
  </si>
  <si>
    <t>Bulgan Cone</t>
    <phoneticPr fontId="0" type="noConversion"/>
  </si>
  <si>
    <t>1 of 1</t>
    <phoneticPr fontId="0" type="noConversion"/>
  </si>
  <si>
    <t>LU2038-001</t>
  </si>
  <si>
    <t>Selenga north of Bulgan</t>
    <phoneticPr fontId="0" type="noConversion"/>
  </si>
  <si>
    <t>LU1992-001</t>
  </si>
  <si>
    <t>LU2032-001</t>
  </si>
  <si>
    <t>LU1809-001</t>
  </si>
  <si>
    <t>Southern Hovsgol</t>
    <phoneticPr fontId="0" type="noConversion"/>
  </si>
  <si>
    <t>LU1973-001</t>
  </si>
  <si>
    <t>4 of 4</t>
    <phoneticPr fontId="0" type="noConversion"/>
  </si>
  <si>
    <t>LU1803-001</t>
  </si>
  <si>
    <t>I57</t>
    <phoneticPr fontId="0" type="noConversion"/>
  </si>
  <si>
    <t xml:space="preserve">North Hovsgol </t>
    <phoneticPr fontId="0" type="noConversion"/>
  </si>
  <si>
    <t>LU1972-001</t>
  </si>
  <si>
    <t>4 of 8</t>
    <phoneticPr fontId="0" type="noConversion"/>
  </si>
  <si>
    <t>LU1981-001</t>
  </si>
  <si>
    <t>5 of 8</t>
    <phoneticPr fontId="0" type="noConversion"/>
  </si>
  <si>
    <t>LU1983-001</t>
  </si>
  <si>
    <t>8 of 8</t>
    <phoneticPr fontId="0" type="noConversion"/>
  </si>
  <si>
    <t>LU1996-001</t>
  </si>
  <si>
    <t>Mid Hovsgol</t>
    <phoneticPr fontId="0" type="noConversion"/>
  </si>
  <si>
    <t>LU2036-001</t>
  </si>
  <si>
    <t>LU1986-001</t>
  </si>
  <si>
    <t>LU1862-001</t>
  </si>
  <si>
    <t>1 of 4</t>
    <phoneticPr fontId="0" type="noConversion"/>
  </si>
  <si>
    <t>LU2002-001</t>
  </si>
  <si>
    <t>Tsagaan-Uur</t>
    <phoneticPr fontId="0" type="noConversion"/>
  </si>
  <si>
    <t>LU2027-001</t>
  </si>
  <si>
    <t>LU1863-001</t>
  </si>
  <si>
    <t>3 of 8</t>
    <phoneticPr fontId="0" type="noConversion"/>
  </si>
  <si>
    <t>LU2021-001</t>
  </si>
  <si>
    <t>LU2022-001</t>
  </si>
  <si>
    <t>7 of 8</t>
    <phoneticPr fontId="0" type="noConversion"/>
  </si>
  <si>
    <t>LU1861-001</t>
  </si>
  <si>
    <t>LU1829-001</t>
  </si>
  <si>
    <t>Chandman</t>
    <phoneticPr fontId="0" type="noConversion"/>
  </si>
  <si>
    <t>LU2000-001</t>
  </si>
  <si>
    <t>4 of 5</t>
    <phoneticPr fontId="0" type="noConversion"/>
  </si>
  <si>
    <t>LU2003-001</t>
  </si>
  <si>
    <t>north of Moron</t>
    <phoneticPr fontId="0" type="noConversion"/>
  </si>
  <si>
    <t>2 of 4</t>
    <phoneticPr fontId="0" type="noConversion"/>
  </si>
  <si>
    <t>LU1805-001</t>
  </si>
  <si>
    <t>3 of 4</t>
    <phoneticPr fontId="0" type="noConversion"/>
  </si>
  <si>
    <t>LU1998-001</t>
  </si>
  <si>
    <t>LU1826-001</t>
  </si>
  <si>
    <t>Darkhad</t>
    <phoneticPr fontId="0" type="noConversion"/>
  </si>
  <si>
    <t>LU1994-001</t>
  </si>
  <si>
    <t>LU1982-001</t>
  </si>
  <si>
    <t>LU2004-001</t>
  </si>
  <si>
    <t>LU2034-001</t>
  </si>
  <si>
    <t>LU1990-001</t>
  </si>
  <si>
    <t>Arbulag A</t>
    <phoneticPr fontId="0" type="noConversion"/>
  </si>
  <si>
    <t>LU1975-001</t>
  </si>
  <si>
    <t>LU1979-001</t>
  </si>
  <si>
    <t>LU1997-001</t>
  </si>
  <si>
    <t>Arbulag B</t>
    <phoneticPr fontId="0" type="noConversion"/>
  </si>
  <si>
    <t>LU2010-001</t>
  </si>
  <si>
    <t>6 of 6</t>
    <phoneticPr fontId="0" type="noConversion"/>
  </si>
  <si>
    <t>LU1987-001</t>
  </si>
  <si>
    <t>LU1993-001</t>
  </si>
  <si>
    <t>LU1864-001</t>
  </si>
  <si>
    <t>Tsagaan Uul</t>
    <phoneticPr fontId="0" type="noConversion"/>
  </si>
  <si>
    <t>1 of 10</t>
    <phoneticPr fontId="0" type="noConversion"/>
  </si>
  <si>
    <t>LU1980-001</t>
  </si>
  <si>
    <t>2 of 10</t>
    <phoneticPr fontId="0" type="noConversion"/>
  </si>
  <si>
    <t>LU2006-001</t>
  </si>
  <si>
    <t>4 of 10</t>
    <phoneticPr fontId="0" type="noConversion"/>
  </si>
  <si>
    <t>LU2039-001</t>
  </si>
  <si>
    <t>6 of 10</t>
    <phoneticPr fontId="0" type="noConversion"/>
  </si>
  <si>
    <t>LU1974-001</t>
  </si>
  <si>
    <t>7 of 10</t>
    <phoneticPr fontId="0" type="noConversion"/>
  </si>
  <si>
    <t>LU1964-001</t>
  </si>
  <si>
    <t>LU2040-001</t>
  </si>
  <si>
    <t>Tsagaan Uul Valley</t>
    <phoneticPr fontId="0" type="noConversion"/>
  </si>
  <si>
    <t>LU2008-001</t>
  </si>
  <si>
    <t>3 of 4</t>
    <phoneticPr fontId="0" type="noConversion"/>
  </si>
  <si>
    <t>LU1999-001</t>
  </si>
  <si>
    <t>LU1967-001</t>
  </si>
  <si>
    <t xml:space="preserve">burst lake fault </t>
    <phoneticPr fontId="0" type="noConversion"/>
  </si>
  <si>
    <t>LU1978-001</t>
  </si>
  <si>
    <t>LU1828-001</t>
  </si>
  <si>
    <t>LU2024-001</t>
  </si>
  <si>
    <t>Otgontengor valley</t>
    <phoneticPr fontId="0" type="noConversion"/>
  </si>
  <si>
    <t>LU1963-001</t>
  </si>
  <si>
    <t>n/a</t>
    <phoneticPr fontId="0" type="noConversion"/>
  </si>
  <si>
    <t>Otgontengor valley dike</t>
    <phoneticPr fontId="0" type="noConversion"/>
  </si>
  <si>
    <t>LU1966-001</t>
  </si>
  <si>
    <t>Bayanbulag</t>
    <phoneticPr fontId="0" type="noConversion"/>
  </si>
  <si>
    <t>LU2009-001</t>
  </si>
  <si>
    <t>LU1985-001</t>
  </si>
  <si>
    <t>LU1970-001</t>
  </si>
  <si>
    <t>Erdenetsogt</t>
    <phoneticPr fontId="0" type="noConversion"/>
  </si>
  <si>
    <t>1 of 1</t>
    <phoneticPr fontId="0" type="noConversion"/>
  </si>
  <si>
    <t>LU1970-002</t>
  </si>
  <si>
    <t>LU1969-001</t>
  </si>
  <si>
    <t>Orkhon south branch young</t>
    <phoneticPr fontId="0" type="noConversion"/>
  </si>
  <si>
    <t>3 of 3</t>
    <phoneticPr fontId="0" type="noConversion"/>
  </si>
  <si>
    <t>LU1977-001</t>
  </si>
  <si>
    <t>Orkhon south branch young</t>
    <phoneticPr fontId="0" type="noConversion"/>
  </si>
  <si>
    <t>1 of 3</t>
    <phoneticPr fontId="0" type="noConversion"/>
  </si>
  <si>
    <t>LU1971-001</t>
  </si>
  <si>
    <t>Orkhon south branch old</t>
    <phoneticPr fontId="0" type="noConversion"/>
  </si>
  <si>
    <t>LU2005-001</t>
  </si>
  <si>
    <t>LU2026-001</t>
  </si>
  <si>
    <t>3 of 3</t>
    <phoneticPr fontId="0" type="noConversion"/>
  </si>
  <si>
    <t>LU1991-001</t>
  </si>
  <si>
    <t>Orkhon falls upstream</t>
    <phoneticPr fontId="0" type="noConversion"/>
  </si>
  <si>
    <t>LU1976-001</t>
  </si>
  <si>
    <t>LU1995-001</t>
  </si>
  <si>
    <t>LU1965-001</t>
  </si>
  <si>
    <t>Above Orkhon falls</t>
    <phoneticPr fontId="0" type="noConversion"/>
  </si>
  <si>
    <t>flow</t>
  </si>
  <si>
    <t>LU1812-001</t>
  </si>
  <si>
    <t>CI-11-1</t>
  </si>
  <si>
    <t>Up canyon from Chuluut</t>
  </si>
  <si>
    <t>Top flow</t>
  </si>
  <si>
    <t>LU1816-001</t>
  </si>
  <si>
    <t>CI-11-11</t>
  </si>
  <si>
    <t>Chuluut</t>
  </si>
  <si>
    <t>Thick flow</t>
  </si>
  <si>
    <t>LU1814-001</t>
  </si>
  <si>
    <t>CI-11-12</t>
  </si>
  <si>
    <t>Chuluut-Saumuin confluence</t>
  </si>
  <si>
    <t>LU1817-001</t>
  </si>
  <si>
    <t>CI-11-2</t>
  </si>
  <si>
    <t>Gitchigan section bottom</t>
  </si>
  <si>
    <t>LU1818-001</t>
  </si>
  <si>
    <t>CI-11-3</t>
  </si>
  <si>
    <t>Gitchigan section top</t>
  </si>
  <si>
    <t>massive basalt</t>
  </si>
  <si>
    <t>LU1815-001</t>
  </si>
  <si>
    <t>CI-11-4</t>
  </si>
  <si>
    <t>Haer</t>
  </si>
  <si>
    <t>welded scoria</t>
  </si>
  <si>
    <t>LU1813-001</t>
  </si>
  <si>
    <t>CI-11-6</t>
  </si>
  <si>
    <t>Gitchigan head cone</t>
  </si>
  <si>
    <t>LU1827-001</t>
  </si>
  <si>
    <t>LU1865-001</t>
  </si>
  <si>
    <t>LU1820-001</t>
  </si>
  <si>
    <t>LU1821-001</t>
  </si>
  <si>
    <t>DS13-16B</t>
  </si>
  <si>
    <t>LU1819-001</t>
  </si>
  <si>
    <t>LU1824-001</t>
  </si>
  <si>
    <t>DS13-2</t>
  </si>
  <si>
    <t>LU1867-001</t>
  </si>
  <si>
    <t>DS13-20</t>
  </si>
  <si>
    <t>LU1822-001</t>
  </si>
  <si>
    <t>DS13-4</t>
  </si>
  <si>
    <t>LU1823-001</t>
  </si>
  <si>
    <t>DS13-7</t>
  </si>
  <si>
    <t>LU1866-001</t>
  </si>
  <si>
    <t>DS13-8</t>
  </si>
  <si>
    <t>KW081012-1</t>
  </si>
  <si>
    <t>first valley to SW from Egiin Davaa</t>
  </si>
  <si>
    <t>~30</t>
  </si>
  <si>
    <t>&gt;223</t>
  </si>
  <si>
    <t>LU1806-001</t>
  </si>
  <si>
    <t>~15</t>
  </si>
  <si>
    <t>LU1804-001</t>
  </si>
  <si>
    <t>~5</t>
  </si>
  <si>
    <t>LU1825-001</t>
  </si>
  <si>
    <t>MN080312-1</t>
  </si>
  <si>
    <t>?</t>
  </si>
  <si>
    <t>Chigestei valley</t>
  </si>
  <si>
    <t>LU2017-001</t>
  </si>
  <si>
    <t>Valley SE of Keck Camp</t>
  </si>
  <si>
    <t>LU2014-001</t>
  </si>
  <si>
    <t>SGS-HP02</t>
  </si>
  <si>
    <t xml:space="preserve">base of keck section from SW corner of valley </t>
  </si>
  <si>
    <t>LU2013-001</t>
  </si>
  <si>
    <t>lower in the Keck section from south side of valley</t>
  </si>
  <si>
    <t>LU2012-001</t>
  </si>
  <si>
    <t>top of the 3-Tors section</t>
  </si>
  <si>
    <t>LU2011-001</t>
  </si>
  <si>
    <t>base of the 3-Tors section</t>
  </si>
  <si>
    <t>ID</t>
  </si>
  <si>
    <t>Site_Name</t>
  </si>
  <si>
    <t>Age_Ma</t>
  </si>
  <si>
    <t>Reference</t>
  </si>
  <si>
    <t>Orog</t>
  </si>
  <si>
    <t>Schlupp (1999)</t>
  </si>
  <si>
    <t>Suman Gol</t>
  </si>
  <si>
    <t>0.53 ± 0.02</t>
  </si>
  <si>
    <t>Barry et al. (2003)</t>
  </si>
  <si>
    <t>Ohron Gol</t>
  </si>
  <si>
    <t>0.7 ± 0.1</t>
  </si>
  <si>
    <t>1.3 ± 0.1</t>
  </si>
  <si>
    <t>5.91 ± 0.02</t>
  </si>
  <si>
    <t>Tariat</t>
  </si>
  <si>
    <t>7.5 ± 0.6</t>
  </si>
  <si>
    <t>Chulut Gol</t>
  </si>
  <si>
    <t>9.0 ± 0.3</t>
  </si>
  <si>
    <t>Tsetserleg</t>
  </si>
  <si>
    <t>20.7 ± 0.6</t>
  </si>
  <si>
    <t>Bayan Hongor</t>
  </si>
  <si>
    <t>24.2 ± 1</t>
  </si>
  <si>
    <t>Ikhe Bogdo</t>
  </si>
  <si>
    <t>26.6 ± 0.4</t>
  </si>
  <si>
    <t>Egiin Davaa</t>
  </si>
  <si>
    <t>Bogd</t>
  </si>
  <si>
    <t>30.4 ± 0.1</t>
  </si>
  <si>
    <t>Sevrei</t>
  </si>
  <si>
    <t>32.7 ± 0.2</t>
  </si>
  <si>
    <t>33 ± 0.1</t>
  </si>
  <si>
    <t>Lava Rivers on the SE slope of Hangay</t>
  </si>
  <si>
    <t>0.22 ± 0.03</t>
  </si>
  <si>
    <t>Yarmolyuk et al (2008)</t>
  </si>
  <si>
    <t>0.25 ± 0.05</t>
  </si>
  <si>
    <t>1.25 ± 0.10</t>
  </si>
  <si>
    <t>Taryat-Chulutyn lava river</t>
  </si>
  <si>
    <t>0.36 ± 0.06</t>
  </si>
  <si>
    <t>0.4 ± 0.05</t>
  </si>
  <si>
    <t>0.46 ± 0.06</t>
  </si>
  <si>
    <t>0.47 ± 0.04</t>
  </si>
  <si>
    <t>0.51 ± 0.04</t>
  </si>
  <si>
    <t>0.53 ± 0.03</t>
  </si>
  <si>
    <t>0.57 ± 0.06</t>
  </si>
  <si>
    <t>0.58 ± 0.03</t>
  </si>
  <si>
    <t>0.6 ± 0.06</t>
  </si>
  <si>
    <t>0.63 ± 0.05</t>
  </si>
  <si>
    <t>0.74 ± 0.03</t>
  </si>
  <si>
    <t>0.75 ± 0.04</t>
  </si>
  <si>
    <t>Lower reaches of the Chulutyn-Gol (near Taryat Depression)</t>
  </si>
  <si>
    <t xml:space="preserve">4.55 ± 0.15 </t>
  </si>
  <si>
    <t xml:space="preserve">6.0 ± 0.2 </t>
  </si>
  <si>
    <t xml:space="preserve">6.27 ± 0.16 </t>
  </si>
  <si>
    <t xml:space="preserve">7.1 ± 0.2 </t>
  </si>
  <si>
    <t xml:space="preserve">7.6 ± 0.2 </t>
  </si>
  <si>
    <t>Watershed part of the Hangai Range</t>
  </si>
  <si>
    <t xml:space="preserve">2.1 ± 0.1 </t>
  </si>
  <si>
    <t xml:space="preserve">2.7 ± 0.1 </t>
  </si>
  <si>
    <t xml:space="preserve">4.00 ± 0.15 </t>
  </si>
  <si>
    <t xml:space="preserve">4.3 ± 0.2 </t>
  </si>
  <si>
    <t xml:space="preserve">4.5 ± 0.2 </t>
  </si>
  <si>
    <t xml:space="preserve">4.8 ± 0.2 </t>
  </si>
  <si>
    <t xml:space="preserve">5.0 ± 0.2 </t>
  </si>
  <si>
    <t xml:space="preserve">5.5 ± 0.3 </t>
  </si>
  <si>
    <t xml:space="preserve">7.4 ± 0.2 </t>
  </si>
  <si>
    <t xml:space="preserve">7.8 ± 0.3 </t>
  </si>
  <si>
    <t xml:space="preserve">8.0 ± 0.2 </t>
  </si>
  <si>
    <t xml:space="preserve">8.1 ± 0.2 </t>
  </si>
  <si>
    <t xml:space="preserve">8.2 ± 0.3 </t>
  </si>
  <si>
    <t xml:space="preserve">8.2 ± 0.2 </t>
  </si>
  <si>
    <t xml:space="preserve">8.35 ± 0.20 </t>
  </si>
  <si>
    <t xml:space="preserve">8.75 ± 0.25 </t>
  </si>
  <si>
    <t xml:space="preserve">9.6 ± 0.3 </t>
  </si>
  <si>
    <t xml:space="preserve">12.9 ± 0.3 </t>
  </si>
  <si>
    <t xml:space="preserve">13.8 ± 0.6 </t>
  </si>
  <si>
    <t xml:space="preserve">16.8 ± 0.5 </t>
  </si>
  <si>
    <t>Khaton Sudal</t>
  </si>
  <si>
    <t>Taatsyn Gol</t>
  </si>
  <si>
    <t>Taastyn Gol</t>
  </si>
  <si>
    <t>Ust Bokson</t>
  </si>
  <si>
    <t>Botgon Gol - Keck 2006</t>
  </si>
  <si>
    <t>6.27 ± 0.16</t>
  </si>
  <si>
    <t>Tielke (2007)</t>
  </si>
  <si>
    <t>7.96 ± 0.17</t>
  </si>
  <si>
    <t>7.97 ± 0.17</t>
  </si>
  <si>
    <t>9.97 ± 0.21</t>
  </si>
  <si>
    <t>9.78 ± 0.44</t>
  </si>
  <si>
    <t>Hovsgol</t>
  </si>
  <si>
    <t>21.4 ± 0.80</t>
  </si>
  <si>
    <t>Rasskazov et al. (2003)</t>
  </si>
  <si>
    <t>19.2 ± 1.0</t>
  </si>
  <si>
    <t>17.4 ± 1.00</t>
  </si>
  <si>
    <t>9.7 ± 0.50</t>
  </si>
  <si>
    <t>10.2 ± 0.70</t>
  </si>
  <si>
    <t>9.5 ± 0.30</t>
  </si>
  <si>
    <t>9 ± 0.40</t>
  </si>
  <si>
    <t>9.9 ± 0.50</t>
  </si>
  <si>
    <t xml:space="preserve">Ivanenko et al. (1988) </t>
  </si>
  <si>
    <t>8.1 ± 0.2</t>
  </si>
  <si>
    <t>11MOPZ15a</t>
  </si>
  <si>
    <t>11MOPZ17a</t>
  </si>
  <si>
    <r>
      <t>28.5 ± 1</t>
    </r>
    <r>
      <rPr>
        <vertAlign val="superscript"/>
        <sz val="12"/>
        <rFont val="Arial"/>
        <family val="2"/>
      </rPr>
      <t>*</t>
    </r>
  </si>
  <si>
    <r>
      <t xml:space="preserve">7.89 ± </t>
    </r>
    <r>
      <rPr>
        <sz val="12"/>
        <color theme="1"/>
        <rFont val="Arial"/>
      </rPr>
      <t xml:space="preserve">0.09 </t>
    </r>
  </si>
  <si>
    <r>
      <t xml:space="preserve">8.8 ± </t>
    </r>
    <r>
      <rPr>
        <sz val="12"/>
        <color theme="1"/>
        <rFont val="Arial"/>
      </rPr>
      <t xml:space="preserve">0.2 </t>
    </r>
  </si>
  <si>
    <t xml:space="preserve">highest flow in immediate vicinity, plateau age </t>
  </si>
  <si>
    <t xml:space="preserve">Table DR1. Sample Descriptions  </t>
  </si>
  <si>
    <t xml:space="preserve">Table DR2. Geochemical Sample Data </t>
  </si>
  <si>
    <t xml:space="preserve">Table DR3. Ar/Ar Geochronology Data </t>
  </si>
  <si>
    <t>Table DR4. Previously Published Ages</t>
  </si>
  <si>
    <t>Hankard et al. (2007)</t>
  </si>
  <si>
    <t>Devyatkin &amp; Smelov (1980)</t>
  </si>
  <si>
    <t xml:space="preserve">Possibly float </t>
  </si>
  <si>
    <t>I48</t>
  </si>
  <si>
    <t>I49</t>
  </si>
  <si>
    <t>I50</t>
  </si>
  <si>
    <t>I53</t>
  </si>
  <si>
    <t>± 0.17</t>
  </si>
  <si>
    <t>± 0.18</t>
  </si>
  <si>
    <t>Age (Ma)</t>
  </si>
  <si>
    <t>± 1σ (Ma)</t>
  </si>
  <si>
    <t>± 1σ</t>
  </si>
  <si>
    <t>signal size in mV run on VG3600</t>
  </si>
  <si>
    <t>signal size in mV run on VG3601</t>
  </si>
  <si>
    <t>signal size in mV run on VG3602</t>
  </si>
  <si>
    <t>signal size in mV run on VG3603</t>
  </si>
  <si>
    <t>signal size in mV run on VG3604</t>
  </si>
  <si>
    <t>signal size in mV run on VG3605</t>
  </si>
  <si>
    <t>Latitude</t>
  </si>
  <si>
    <t>Longitude</t>
  </si>
  <si>
    <t xml:space="preserve">Irradition </t>
  </si>
  <si>
    <r>
      <t xml:space="preserve">Ancuta, L.D., Zeitler, P.K., Idleman, B.D., and Jordan, B.T., 2018, Whole-rock 40Ar/39Ar geochronology, geochemistry, and stratigraphy of intraplate Cenozoic volcanic rocks, central Mongolia: GSA Bulletin, https://doi.org/10.1130/B31788.1.
</t>
    </r>
    <r>
      <rPr>
        <b/>
        <sz val="12"/>
        <rFont val="Arial"/>
        <family val="2"/>
      </rPr>
      <t>GSA Data Repository Item 2018114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</si>
</sst>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
    <numFmt numFmtId="165" formatCode="0.00\ "/>
    <numFmt numFmtId="166" formatCode="0.000"/>
    <numFmt numFmtId="167" formatCode="0.00000"/>
    <numFmt numFmtId="168" formatCode="0\ \ "/>
    <numFmt numFmtId="169" formatCode="\ \ @"/>
    <numFmt numFmtId="170" formatCode="?0.000000;[Red]?0.000000"/>
    <numFmt numFmtId="171" formatCode="????0.000;[Red]????0.000"/>
    <numFmt numFmtId="172" formatCode="?????0.00;[Red]?????0.00"/>
    <numFmt numFmtId="173" formatCode="\±\ 0.00"/>
    <numFmt numFmtId="174" formatCode="??0.00;[Red]??0.00"/>
    <numFmt numFmtId="175" formatCode="0.000;[Red]0.000"/>
    <numFmt numFmtId="176" formatCode="\±\ 0.000"/>
    <numFmt numFmtId="177" formatCode="??0.00000;[Red]??0.00000"/>
    <numFmt numFmtId="178" formatCode="0.0000000;[Red]0.0000000"/>
    <numFmt numFmtId="179" formatCode="???0.0000;[Red]???0.0000"/>
  </numFmts>
  <fonts count="18" x14ac:knownFonts="1">
    <font>
      <sz val="12"/>
      <color theme="1"/>
      <name val="Calibri"/>
      <family val="2"/>
      <scheme val="minor"/>
    </font>
    <font>
      <sz val="10"/>
      <name val="Times New Roman"/>
    </font>
    <font>
      <sz val="12"/>
      <name val="Times New Roman"/>
    </font>
    <font>
      <sz val="14"/>
      <name val="Times New Roman"/>
      <family val="1"/>
    </font>
    <font>
      <sz val="10"/>
      <name val="Courier"/>
    </font>
    <font>
      <sz val="9"/>
      <name val="Helv"/>
    </font>
    <font>
      <sz val="10"/>
      <name val="Arial"/>
    </font>
    <font>
      <b/>
      <sz val="10"/>
      <name val="Arial"/>
      <family val="2"/>
    </font>
    <font>
      <sz val="10"/>
      <name val="Verdana"/>
    </font>
    <font>
      <b/>
      <sz val="12"/>
      <name val="Arial"/>
      <family val="2"/>
    </font>
    <font>
      <sz val="12"/>
      <name val="Arial"/>
      <family val="2"/>
    </font>
    <font>
      <b/>
      <sz val="10"/>
      <name val="Verdana"/>
      <family val="2"/>
    </font>
    <font>
      <b/>
      <sz val="12"/>
      <color theme="1"/>
      <name val="Calibri"/>
      <family val="2"/>
      <scheme val="minor"/>
    </font>
    <font>
      <vertAlign val="superscript"/>
      <sz val="12"/>
      <name val="Arial"/>
      <family val="2"/>
    </font>
    <font>
      <sz val="12"/>
      <color theme="1"/>
      <name val="Arial"/>
    </font>
    <font>
      <sz val="12"/>
      <name val="Microsoft Sans Serif"/>
      <family val="2"/>
    </font>
    <font>
      <sz val="12"/>
      <name val="Helv"/>
    </font>
    <font>
      <b/>
      <i/>
      <sz val="12"/>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indexed="41"/>
        <bgColor indexed="64"/>
      </patternFill>
    </fill>
    <fill>
      <patternFill patternType="solid">
        <fgColor indexed="9"/>
        <bgColor indexed="64"/>
      </patternFill>
    </fill>
  </fills>
  <borders count="2">
    <border>
      <left/>
      <right/>
      <top/>
      <bottom/>
      <diagonal/>
    </border>
    <border>
      <left/>
      <right/>
      <top style="thin">
        <color auto="1"/>
      </top>
      <bottom/>
      <diagonal/>
    </border>
  </borders>
  <cellStyleXfs count="5">
    <xf numFmtId="0" fontId="0" fillId="0" borderId="0"/>
    <xf numFmtId="0" fontId="1" fillId="0" borderId="0">
      <alignment vertical="center"/>
    </xf>
    <xf numFmtId="0" fontId="4" fillId="0" borderId="0"/>
    <xf numFmtId="0" fontId="8" fillId="0" borderId="0"/>
    <xf numFmtId="0" fontId="6" fillId="0" borderId="0"/>
  </cellStyleXfs>
  <cellXfs count="152">
    <xf numFmtId="0" fontId="0" fillId="0" borderId="0" xfId="0"/>
    <xf numFmtId="167" fontId="5" fillId="0" borderId="0" xfId="2" applyNumberFormat="1" applyFont="1"/>
    <xf numFmtId="0" fontId="5" fillId="0" borderId="0" xfId="2" applyFont="1"/>
    <xf numFmtId="0" fontId="6" fillId="0" borderId="0" xfId="2" applyFont="1"/>
    <xf numFmtId="0" fontId="4" fillId="0" borderId="0" xfId="2"/>
    <xf numFmtId="0" fontId="7" fillId="0" borderId="0" xfId="2" applyFont="1"/>
    <xf numFmtId="0" fontId="4" fillId="0" borderId="0" xfId="2" applyFill="1"/>
    <xf numFmtId="0" fontId="9" fillId="6" borderId="0" xfId="3" applyFont="1" applyFill="1" applyBorder="1" applyAlignment="1" applyProtection="1">
      <alignment horizontal="center"/>
    </xf>
    <xf numFmtId="0" fontId="10" fillId="0" borderId="0" xfId="3" applyFont="1" applyBorder="1"/>
    <xf numFmtId="0" fontId="9" fillId="6" borderId="0" xfId="3" applyFont="1" applyFill="1" applyBorder="1" applyAlignment="1" applyProtection="1">
      <alignment horizontal="center" vertical="top"/>
    </xf>
    <xf numFmtId="0" fontId="10" fillId="0" borderId="0" xfId="3" applyFont="1"/>
    <xf numFmtId="0" fontId="10" fillId="0" borderId="0" xfId="3" applyNumberFormat="1" applyFont="1" applyFill="1" applyAlignment="1" applyProtection="1">
      <alignment horizontal="center" vertical="center" wrapText="1"/>
      <protection locked="0"/>
    </xf>
    <xf numFmtId="0" fontId="10" fillId="0" borderId="0" xfId="3" applyNumberFormat="1" applyFont="1" applyFill="1" applyBorder="1" applyAlignment="1" applyProtection="1">
      <alignment horizontal="center" vertical="center"/>
    </xf>
    <xf numFmtId="170" fontId="10" fillId="0" borderId="0" xfId="3" applyNumberFormat="1" applyFont="1" applyFill="1" applyBorder="1" applyAlignment="1" applyProtection="1">
      <alignment horizontal="center" vertical="center"/>
    </xf>
    <xf numFmtId="171" fontId="10" fillId="0" borderId="0" xfId="3" applyNumberFormat="1" applyFont="1" applyFill="1" applyBorder="1" applyAlignment="1" applyProtection="1">
      <alignment horizontal="center" vertical="center"/>
    </xf>
    <xf numFmtId="172" fontId="10" fillId="0" borderId="0" xfId="3" applyNumberFormat="1" applyFont="1" applyFill="1" applyBorder="1" applyAlignment="1" applyProtection="1">
      <alignment horizontal="center" vertical="center"/>
    </xf>
    <xf numFmtId="173" fontId="10" fillId="0" borderId="0" xfId="3" applyNumberFormat="1" applyFont="1" applyFill="1" applyBorder="1" applyAlignment="1" applyProtection="1">
      <alignment horizontal="center" vertical="center"/>
    </xf>
    <xf numFmtId="174" fontId="10" fillId="0" borderId="0" xfId="3" applyNumberFormat="1" applyFont="1" applyFill="1" applyBorder="1" applyAlignment="1" applyProtection="1">
      <alignment horizontal="center" vertical="center"/>
    </xf>
    <xf numFmtId="175" fontId="10" fillId="0" borderId="0" xfId="3" applyNumberFormat="1" applyFont="1" applyFill="1" applyBorder="1" applyAlignment="1" applyProtection="1">
      <alignment horizontal="right" vertical="center"/>
    </xf>
    <xf numFmtId="176" fontId="10" fillId="0" borderId="0" xfId="3" applyNumberFormat="1" applyFont="1" applyFill="1" applyBorder="1" applyAlignment="1" applyProtection="1">
      <alignment horizontal="center" vertical="center"/>
    </xf>
    <xf numFmtId="0" fontId="10" fillId="0" borderId="0" xfId="3" applyFont="1" applyFill="1"/>
    <xf numFmtId="0" fontId="10" fillId="0" borderId="0" xfId="3" applyNumberFormat="1" applyFont="1" applyFill="1" applyBorder="1" applyAlignment="1" applyProtection="1">
      <alignment horizontal="center" vertical="center"/>
      <protection locked="0"/>
    </xf>
    <xf numFmtId="177" fontId="10" fillId="0" borderId="0" xfId="3" applyNumberFormat="1" applyFont="1" applyFill="1" applyBorder="1" applyAlignment="1" applyProtection="1">
      <alignment horizontal="center" vertical="center"/>
    </xf>
    <xf numFmtId="0" fontId="10" fillId="0" borderId="0" xfId="3" applyNumberFormat="1" applyFont="1" applyFill="1" applyAlignment="1" applyProtection="1">
      <alignment horizontal="center" vertical="center"/>
      <protection locked="0"/>
    </xf>
    <xf numFmtId="178" fontId="10" fillId="0" borderId="0" xfId="3" applyNumberFormat="1" applyFont="1" applyFill="1" applyBorder="1" applyAlignment="1" applyProtection="1">
      <alignment horizontal="center" vertical="center"/>
    </xf>
    <xf numFmtId="179" fontId="10" fillId="0" borderId="0" xfId="3" applyNumberFormat="1" applyFont="1" applyFill="1" applyBorder="1" applyAlignment="1" applyProtection="1">
      <alignment horizontal="center" vertical="center"/>
    </xf>
    <xf numFmtId="2" fontId="10" fillId="0" borderId="0" xfId="3" applyNumberFormat="1" applyFont="1" applyFill="1"/>
    <xf numFmtId="173" fontId="10" fillId="0" borderId="0" xfId="3" applyNumberFormat="1" applyFont="1" applyFill="1" applyAlignment="1">
      <alignment horizontal="center"/>
    </xf>
    <xf numFmtId="166" fontId="10" fillId="0" borderId="0" xfId="3" applyNumberFormat="1" applyFont="1" applyFill="1"/>
    <xf numFmtId="176" fontId="10" fillId="0" borderId="0" xfId="3" applyNumberFormat="1" applyFont="1" applyFill="1" applyAlignment="1">
      <alignment horizontal="center"/>
    </xf>
    <xf numFmtId="16" fontId="10" fillId="0" borderId="0" xfId="3" applyNumberFormat="1" applyFont="1"/>
    <xf numFmtId="166" fontId="10" fillId="0" borderId="0" xfId="3" applyNumberFormat="1" applyFont="1" applyFill="1" applyBorder="1" applyAlignment="1" applyProtection="1">
      <alignment horizontal="right" vertical="center"/>
    </xf>
    <xf numFmtId="0" fontId="10" fillId="7" borderId="0" xfId="3" applyNumberFormat="1" applyFont="1" applyFill="1" applyAlignment="1" applyProtection="1">
      <alignment horizontal="center" vertical="center" wrapText="1"/>
      <protection locked="0"/>
    </xf>
    <xf numFmtId="0" fontId="3" fillId="0" borderId="0" xfId="3" applyFont="1" applyFill="1"/>
    <xf numFmtId="0" fontId="10" fillId="0" borderId="0" xfId="3" applyNumberFormat="1" applyFont="1" applyFill="1" applyBorder="1" applyAlignment="1" applyProtection="1">
      <alignment horizontal="center" vertical="center" wrapText="1"/>
      <protection locked="0"/>
    </xf>
    <xf numFmtId="0" fontId="10" fillId="0" borderId="0" xfId="3" applyFont="1" applyFill="1" applyBorder="1"/>
    <xf numFmtId="176" fontId="10" fillId="0" borderId="0" xfId="3" applyNumberFormat="1" applyFont="1" applyFill="1"/>
    <xf numFmtId="0" fontId="10" fillId="0" borderId="0" xfId="4" applyFont="1"/>
    <xf numFmtId="0" fontId="10" fillId="0" borderId="0" xfId="3" applyFont="1" applyFill="1" applyAlignment="1">
      <alignment horizontal="left"/>
    </xf>
    <xf numFmtId="0" fontId="10" fillId="0" borderId="0" xfId="4" applyFont="1" applyAlignment="1">
      <alignment horizontal="left" vertical="center"/>
    </xf>
    <xf numFmtId="0" fontId="10" fillId="0" borderId="0" xfId="4" applyFont="1" applyAlignment="1">
      <alignment horizontal="center" vertical="top" wrapText="1"/>
    </xf>
    <xf numFmtId="0" fontId="10" fillId="0" borderId="0" xfId="4" applyFont="1" applyAlignment="1">
      <alignment horizontal="center" vertical="top"/>
    </xf>
    <xf numFmtId="0" fontId="10" fillId="0" borderId="0" xfId="4" applyFont="1" applyAlignment="1">
      <alignment horizontal="center" vertical="center" wrapText="1"/>
    </xf>
    <xf numFmtId="0" fontId="10" fillId="0" borderId="0" xfId="4" applyFont="1" applyAlignment="1">
      <alignment horizontal="left"/>
    </xf>
    <xf numFmtId="0" fontId="10" fillId="0" borderId="0" xfId="4" applyNumberFormat="1" applyFont="1" applyFill="1" applyBorder="1" applyAlignment="1" applyProtection="1"/>
    <xf numFmtId="0" fontId="10" fillId="0" borderId="0" xfId="2" applyFont="1"/>
    <xf numFmtId="170" fontId="15" fillId="0" borderId="0" xfId="0" applyNumberFormat="1" applyFont="1" applyFill="1" applyBorder="1" applyAlignment="1" applyProtection="1">
      <alignment horizontal="center" vertical="center"/>
    </xf>
    <xf numFmtId="0" fontId="2" fillId="0" borderId="0" xfId="3" applyFont="1" applyFill="1"/>
    <xf numFmtId="170" fontId="10" fillId="0" borderId="0" xfId="0" applyNumberFormat="1" applyFont="1" applyFill="1" applyBorder="1" applyAlignment="1" applyProtection="1">
      <alignment horizontal="center" vertical="center"/>
    </xf>
    <xf numFmtId="167" fontId="10" fillId="0" borderId="0" xfId="3" applyNumberFormat="1" applyFont="1" applyFill="1" applyAlignment="1"/>
    <xf numFmtId="167" fontId="10" fillId="0" borderId="0" xfId="3" applyNumberFormat="1" applyFont="1" applyFill="1" applyAlignment="1">
      <alignment vertical="center"/>
    </xf>
    <xf numFmtId="167" fontId="3" fillId="0" borderId="0" xfId="3" applyNumberFormat="1" applyFont="1" applyFill="1" applyAlignment="1"/>
    <xf numFmtId="167" fontId="10" fillId="0" borderId="0" xfId="4" applyNumberFormat="1" applyFont="1" applyFill="1" applyAlignment="1"/>
    <xf numFmtId="0" fontId="10" fillId="0" borderId="0" xfId="4" applyFont="1" applyAlignment="1">
      <alignment wrapText="1"/>
    </xf>
    <xf numFmtId="0" fontId="10" fillId="0" borderId="0" xfId="4" applyFont="1" applyAlignment="1"/>
    <xf numFmtId="167" fontId="2" fillId="0" borderId="0" xfId="3" applyNumberFormat="1" applyFont="1" applyFill="1" applyAlignment="1"/>
    <xf numFmtId="167" fontId="2" fillId="0" borderId="0" xfId="3" applyNumberFormat="1" applyFont="1" applyFill="1" applyBorder="1" applyAlignment="1"/>
    <xf numFmtId="0" fontId="2" fillId="0" borderId="0" xfId="3" applyFont="1" applyFill="1" applyBorder="1"/>
    <xf numFmtId="167" fontId="16" fillId="0" borderId="0" xfId="2" applyNumberFormat="1" applyFont="1"/>
    <xf numFmtId="0" fontId="16" fillId="0" borderId="0" xfId="2" applyFont="1"/>
    <xf numFmtId="166" fontId="15" fillId="0" borderId="0" xfId="0" applyNumberFormat="1" applyFont="1" applyFill="1" applyBorder="1" applyAlignment="1" applyProtection="1">
      <alignment horizontal="center" vertical="center"/>
    </xf>
    <xf numFmtId="166" fontId="10" fillId="0" borderId="0" xfId="0" applyNumberFormat="1" applyFont="1" applyFill="1" applyBorder="1" applyAlignment="1" applyProtection="1">
      <alignment horizontal="center" vertical="center"/>
    </xf>
    <xf numFmtId="2" fontId="10" fillId="0" borderId="0" xfId="3" applyNumberFormat="1" applyFont="1"/>
    <xf numFmtId="2" fontId="9" fillId="6" borderId="0" xfId="3" applyNumberFormat="1" applyFont="1" applyFill="1" applyBorder="1" applyAlignment="1" applyProtection="1">
      <alignment horizontal="right" wrapText="1"/>
    </xf>
    <xf numFmtId="2" fontId="10" fillId="0" borderId="0" xfId="3" applyNumberFormat="1" applyFont="1" applyFill="1" applyBorder="1" applyAlignment="1" applyProtection="1">
      <alignment horizontal="right" vertical="center"/>
    </xf>
    <xf numFmtId="2" fontId="10" fillId="0" borderId="0" xfId="2" applyNumberFormat="1" applyFont="1"/>
    <xf numFmtId="2" fontId="4" fillId="0" borderId="0" xfId="2" applyNumberFormat="1" applyFill="1"/>
    <xf numFmtId="2" fontId="7" fillId="0" borderId="0" xfId="2" applyNumberFormat="1" applyFont="1"/>
    <xf numFmtId="2" fontId="6" fillId="0" borderId="0" xfId="2" applyNumberFormat="1" applyFont="1"/>
    <xf numFmtId="2" fontId="4" fillId="0" borderId="0" xfId="2" applyNumberFormat="1"/>
    <xf numFmtId="173" fontId="10" fillId="0" borderId="0" xfId="3" applyNumberFormat="1" applyFont="1" applyAlignment="1">
      <alignment horizontal="center"/>
    </xf>
    <xf numFmtId="173" fontId="9" fillId="6" borderId="0" xfId="3" applyNumberFormat="1" applyFont="1" applyFill="1" applyBorder="1" applyAlignment="1" applyProtection="1">
      <alignment horizontal="center" wrapText="1"/>
    </xf>
    <xf numFmtId="173" fontId="5" fillId="0" borderId="0" xfId="2" applyNumberFormat="1" applyFont="1" applyAlignment="1">
      <alignment horizontal="center"/>
    </xf>
    <xf numFmtId="0" fontId="10" fillId="0" borderId="0" xfId="3" applyFont="1" applyAlignment="1"/>
    <xf numFmtId="171" fontId="10" fillId="0" borderId="0" xfId="3" applyNumberFormat="1" applyFont="1" applyFill="1" applyBorder="1" applyAlignment="1" applyProtection="1">
      <alignment vertical="center"/>
    </xf>
    <xf numFmtId="177" fontId="10" fillId="0" borderId="0" xfId="3" applyNumberFormat="1" applyFont="1" applyFill="1" applyBorder="1" applyAlignment="1" applyProtection="1">
      <alignment vertical="center"/>
    </xf>
    <xf numFmtId="179" fontId="10" fillId="0" borderId="0" xfId="3" applyNumberFormat="1" applyFont="1" applyFill="1" applyBorder="1" applyAlignment="1" applyProtection="1">
      <alignment vertical="center"/>
    </xf>
    <xf numFmtId="166" fontId="10" fillId="0" borderId="0" xfId="0" applyNumberFormat="1" applyFont="1" applyFill="1" applyBorder="1" applyAlignment="1" applyProtection="1">
      <alignment vertical="center"/>
    </xf>
    <xf numFmtId="166" fontId="15" fillId="0" borderId="0" xfId="0" applyNumberFormat="1" applyFont="1" applyFill="1" applyBorder="1" applyAlignment="1" applyProtection="1">
      <alignment vertical="center"/>
    </xf>
    <xf numFmtId="166" fontId="10" fillId="0" borderId="0" xfId="3" applyNumberFormat="1" applyFont="1" applyAlignment="1"/>
    <xf numFmtId="0" fontId="4" fillId="0" borderId="0" xfId="2" applyFill="1" applyAlignment="1"/>
    <xf numFmtId="0" fontId="7" fillId="0" borderId="0" xfId="2" applyFont="1" applyAlignment="1"/>
    <xf numFmtId="0" fontId="6" fillId="0" borderId="0" xfId="2" applyFont="1" applyAlignment="1"/>
    <xf numFmtId="0" fontId="4" fillId="0" borderId="0" xfId="2" applyAlignment="1"/>
    <xf numFmtId="0" fontId="10" fillId="0" borderId="0" xfId="3" applyFont="1" applyAlignment="1">
      <alignment horizontal="center"/>
    </xf>
    <xf numFmtId="166" fontId="10" fillId="0" borderId="0" xfId="3" applyNumberFormat="1" applyFont="1" applyAlignment="1">
      <alignment horizontal="center"/>
    </xf>
    <xf numFmtId="0" fontId="4" fillId="0" borderId="0" xfId="2" applyFill="1" applyAlignment="1">
      <alignment horizontal="center"/>
    </xf>
    <xf numFmtId="0" fontId="7" fillId="0" borderId="0" xfId="2" applyFont="1" applyAlignment="1">
      <alignment horizontal="center"/>
    </xf>
    <xf numFmtId="0" fontId="6" fillId="0" borderId="0" xfId="2" applyFont="1" applyAlignment="1">
      <alignment horizontal="center"/>
    </xf>
    <xf numFmtId="0" fontId="4" fillId="0" borderId="0" xfId="2" applyAlignment="1">
      <alignment horizontal="center"/>
    </xf>
    <xf numFmtId="166" fontId="10" fillId="0" borderId="0" xfId="3" applyNumberFormat="1" applyFont="1" applyFill="1" applyAlignment="1">
      <alignment horizontal="center"/>
    </xf>
    <xf numFmtId="0" fontId="9" fillId="0" borderId="0" xfId="3" applyFont="1" applyAlignment="1">
      <alignment horizontal="center"/>
    </xf>
    <xf numFmtId="0" fontId="10" fillId="0" borderId="0" xfId="2" applyFont="1" applyAlignment="1">
      <alignment horizontal="center"/>
    </xf>
    <xf numFmtId="169" fontId="10" fillId="0" borderId="0" xfId="3" applyNumberFormat="1" applyFont="1" applyFill="1" applyAlignment="1" applyProtection="1">
      <alignment horizontal="center" vertical="center"/>
    </xf>
    <xf numFmtId="169" fontId="10" fillId="0" borderId="0" xfId="3" applyNumberFormat="1" applyFont="1" applyFill="1" applyBorder="1" applyAlignment="1" applyProtection="1">
      <alignment horizontal="center" vertical="center"/>
    </xf>
    <xf numFmtId="0" fontId="10" fillId="0" borderId="0" xfId="3" applyFont="1" applyFill="1" applyAlignment="1">
      <alignment horizontal="center"/>
    </xf>
    <xf numFmtId="0" fontId="10" fillId="0" borderId="0" xfId="2" applyFont="1" applyFill="1"/>
    <xf numFmtId="0" fontId="17" fillId="0" borderId="0" xfId="2" applyFont="1" applyFill="1" applyAlignment="1">
      <alignment horizontal="left"/>
    </xf>
    <xf numFmtId="0" fontId="17" fillId="2" borderId="0" xfId="2" applyFont="1" applyFill="1"/>
    <xf numFmtId="0" fontId="17" fillId="3" borderId="0" xfId="2" applyFont="1" applyFill="1"/>
    <xf numFmtId="0" fontId="17" fillId="4" borderId="0" xfId="2" applyFont="1" applyFill="1"/>
    <xf numFmtId="0" fontId="17" fillId="0" borderId="0" xfId="2" applyFont="1" applyFill="1"/>
    <xf numFmtId="0" fontId="17" fillId="5" borderId="0" xfId="2" applyFont="1" applyFill="1"/>
    <xf numFmtId="0" fontId="17" fillId="0" borderId="0" xfId="2" applyFont="1"/>
    <xf numFmtId="0" fontId="17" fillId="0" borderId="0" xfId="2" applyFont="1" applyFill="1" applyBorder="1" applyAlignment="1">
      <alignment horizontal="left"/>
    </xf>
    <xf numFmtId="165" fontId="17" fillId="0" borderId="0" xfId="2" applyNumberFormat="1" applyFont="1" applyFill="1" applyBorder="1"/>
    <xf numFmtId="166" fontId="17" fillId="0" borderId="0" xfId="2" applyNumberFormat="1" applyFont="1" applyFill="1" applyBorder="1"/>
    <xf numFmtId="0" fontId="17" fillId="0" borderId="0" xfId="2" applyFont="1" applyFill="1" applyBorder="1"/>
    <xf numFmtId="164" fontId="17" fillId="0" borderId="0" xfId="2" applyNumberFormat="1" applyFont="1" applyFill="1" applyBorder="1"/>
    <xf numFmtId="0" fontId="10" fillId="0" borderId="0" xfId="2" applyFont="1" applyFill="1" applyAlignment="1">
      <alignment horizontal="left"/>
    </xf>
    <xf numFmtId="167" fontId="10" fillId="0" borderId="0" xfId="2" applyNumberFormat="1" applyFont="1"/>
    <xf numFmtId="165" fontId="10" fillId="0" borderId="0" xfId="2" applyNumberFormat="1" applyFont="1" applyFill="1"/>
    <xf numFmtId="166" fontId="10" fillId="0" borderId="0" xfId="2" applyNumberFormat="1" applyFont="1" applyFill="1"/>
    <xf numFmtId="1" fontId="10" fillId="0" borderId="0" xfId="2" applyNumberFormat="1" applyFont="1" applyFill="1"/>
    <xf numFmtId="168" fontId="10" fillId="0" borderId="0" xfId="2" applyNumberFormat="1" applyFont="1" applyFill="1"/>
    <xf numFmtId="164" fontId="10" fillId="0" borderId="0" xfId="2" applyNumberFormat="1" applyFont="1" applyFill="1"/>
    <xf numFmtId="0" fontId="10" fillId="0" borderId="0" xfId="2" applyFont="1" applyFill="1" applyBorder="1" applyAlignment="1">
      <alignment horizontal="left"/>
    </xf>
    <xf numFmtId="165" fontId="10" fillId="0" borderId="0" xfId="2" applyNumberFormat="1" applyFont="1" applyFill="1" applyBorder="1"/>
    <xf numFmtId="166" fontId="10" fillId="0" borderId="0" xfId="2" applyNumberFormat="1" applyFont="1" applyFill="1" applyBorder="1"/>
    <xf numFmtId="168" fontId="10" fillId="0" borderId="0" xfId="2" applyNumberFormat="1" applyFont="1" applyFill="1" applyBorder="1"/>
    <xf numFmtId="164" fontId="10" fillId="0" borderId="0" xfId="2" applyNumberFormat="1" applyFont="1" applyFill="1" applyBorder="1"/>
    <xf numFmtId="1" fontId="10" fillId="0" borderId="0" xfId="2" applyNumberFormat="1" applyFont="1" applyFill="1" applyBorder="1"/>
    <xf numFmtId="0" fontId="10" fillId="0" borderId="0" xfId="1" applyFont="1">
      <alignment vertical="center"/>
    </xf>
    <xf numFmtId="0" fontId="10" fillId="0" borderId="0" xfId="1" applyFont="1" applyAlignment="1">
      <alignment vertical="center" wrapText="1"/>
    </xf>
    <xf numFmtId="0" fontId="9" fillId="0" borderId="0" xfId="1" applyFont="1" applyAlignment="1">
      <alignment vertical="center" wrapText="1"/>
    </xf>
    <xf numFmtId="0" fontId="10" fillId="0" borderId="0" xfId="1" applyNumberFormat="1" applyFont="1" applyFill="1" applyBorder="1" applyAlignment="1" applyProtection="1">
      <alignment horizontal="left" wrapText="1"/>
    </xf>
    <xf numFmtId="0" fontId="10" fillId="0" borderId="0" xfId="1" applyNumberFormat="1" applyFont="1" applyFill="1" applyBorder="1" applyAlignment="1" applyProtection="1">
      <alignment vertical="center" wrapText="1"/>
    </xf>
    <xf numFmtId="164" fontId="10" fillId="0" borderId="0" xfId="1" applyNumberFormat="1" applyFont="1">
      <alignment vertical="center"/>
    </xf>
    <xf numFmtId="0" fontId="10" fillId="0" borderId="0" xfId="1" applyNumberFormat="1" applyFont="1" applyFill="1" applyAlignment="1" applyProtection="1">
      <alignment vertical="center" wrapText="1"/>
    </xf>
    <xf numFmtId="0" fontId="10" fillId="0" borderId="0" xfId="1" applyFont="1" applyAlignment="1"/>
    <xf numFmtId="167" fontId="10" fillId="0" borderId="0" xfId="1" applyNumberFormat="1" applyFont="1" applyFill="1" applyAlignment="1">
      <alignment vertical="center"/>
    </xf>
    <xf numFmtId="167" fontId="10" fillId="0" borderId="0" xfId="1" applyNumberFormat="1" applyFont="1" applyFill="1" applyAlignment="1"/>
    <xf numFmtId="167" fontId="10" fillId="0" borderId="0" xfId="1" applyNumberFormat="1" applyFont="1">
      <alignment vertical="center"/>
    </xf>
    <xf numFmtId="0" fontId="9" fillId="0" borderId="0" xfId="1" applyNumberFormat="1" applyFont="1" applyFill="1" applyBorder="1" applyAlignment="1" applyProtection="1">
      <alignment horizontal="left" vertical="center" wrapText="1"/>
    </xf>
    <xf numFmtId="167" fontId="12" fillId="0" borderId="0" xfId="0" applyNumberFormat="1" applyFont="1" applyAlignment="1">
      <alignment vertical="center"/>
    </xf>
    <xf numFmtId="0" fontId="9" fillId="0" borderId="0" xfId="1" applyNumberFormat="1" applyFont="1" applyFill="1" applyBorder="1" applyAlignment="1" applyProtection="1">
      <alignment horizontal="left" vertical="center" wrapText="1"/>
    </xf>
    <xf numFmtId="0" fontId="9" fillId="6" borderId="1" xfId="3" applyFont="1" applyFill="1" applyBorder="1" applyAlignment="1" applyProtection="1">
      <alignment horizontal="center" vertical="center" wrapText="1"/>
    </xf>
    <xf numFmtId="0" fontId="9" fillId="6" borderId="0" xfId="3" applyFont="1" applyFill="1" applyBorder="1" applyAlignment="1" applyProtection="1">
      <alignment horizontal="center" vertical="center"/>
    </xf>
    <xf numFmtId="0" fontId="9" fillId="6" borderId="0" xfId="3" applyFont="1" applyFill="1" applyBorder="1" applyAlignment="1">
      <alignment horizontal="center" vertical="center" wrapText="1"/>
    </xf>
    <xf numFmtId="0" fontId="9" fillId="6" borderId="1" xfId="3" applyFont="1" applyFill="1" applyBorder="1" applyAlignment="1" applyProtection="1">
      <alignment horizontal="center" vertical="center"/>
    </xf>
    <xf numFmtId="0" fontId="9" fillId="6" borderId="0" xfId="3" applyFont="1" applyFill="1" applyBorder="1" applyAlignment="1">
      <alignment vertical="center"/>
    </xf>
    <xf numFmtId="49" fontId="9" fillId="6" borderId="1" xfId="3" applyNumberFormat="1" applyFont="1" applyFill="1" applyBorder="1" applyAlignment="1">
      <alignment horizontal="center" vertical="center" wrapText="1"/>
    </xf>
    <xf numFmtId="0" fontId="11" fillId="6" borderId="0" xfId="3" applyFont="1" applyFill="1" applyBorder="1" applyAlignment="1">
      <alignment horizontal="center" vertical="center" wrapText="1"/>
    </xf>
    <xf numFmtId="0" fontId="9" fillId="6" borderId="1" xfId="3" applyFont="1" applyFill="1" applyBorder="1" applyAlignment="1" applyProtection="1">
      <alignment vertical="center" wrapText="1"/>
    </xf>
    <xf numFmtId="0" fontId="9" fillId="6" borderId="0" xfId="3" applyFont="1" applyFill="1" applyBorder="1" applyAlignment="1" applyProtection="1">
      <alignment vertical="center" wrapText="1"/>
    </xf>
    <xf numFmtId="0" fontId="9" fillId="6" borderId="1" xfId="3" applyFont="1" applyFill="1" applyBorder="1" applyAlignment="1" applyProtection="1">
      <alignment horizontal="right" vertical="center"/>
    </xf>
    <xf numFmtId="0" fontId="9" fillId="6" borderId="0" xfId="3" applyFont="1" applyFill="1" applyBorder="1" applyAlignment="1" applyProtection="1">
      <alignment vertical="center"/>
    </xf>
    <xf numFmtId="0" fontId="9" fillId="6" borderId="1" xfId="3" applyFont="1" applyFill="1" applyBorder="1" applyAlignment="1" applyProtection="1">
      <alignment horizontal="left" vertical="center"/>
    </xf>
    <xf numFmtId="0" fontId="9" fillId="6" borderId="1" xfId="3" applyFont="1" applyFill="1" applyBorder="1" applyAlignment="1">
      <alignment horizontal="center" vertical="center" wrapText="1"/>
    </xf>
    <xf numFmtId="0" fontId="9" fillId="6" borderId="0" xfId="3" applyFont="1" applyFill="1" applyBorder="1" applyAlignment="1" applyProtection="1">
      <alignment horizontal="center" vertical="top" wrapText="1"/>
    </xf>
    <xf numFmtId="0" fontId="10" fillId="0" borderId="0" xfId="1" applyNumberFormat="1" applyFont="1" applyFill="1" applyBorder="1" applyAlignment="1" applyProtection="1">
      <alignment horizontal="center" vertical="center" wrapText="1"/>
    </xf>
    <xf numFmtId="0" fontId="0" fillId="0" borderId="0" xfId="0" applyAlignment="1">
      <alignment horizontal="center" vertical="center" wrapText="1"/>
    </xf>
  </cellXfs>
  <cellStyles count="5">
    <cellStyle name="Normal" xfId="0" builtinId="0"/>
    <cellStyle name="Normal 2" xfId="1"/>
    <cellStyle name="Normal 3" xfId="2"/>
    <cellStyle name="Normal 4" xfId="3"/>
    <cellStyle name="Normal 5" xfId="4"/>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114300</xdr:colOff>
      <xdr:row>83</xdr:row>
      <xdr:rowOff>101600</xdr:rowOff>
    </xdr:from>
    <xdr:to>
      <xdr:col>7</xdr:col>
      <xdr:colOff>190500</xdr:colOff>
      <xdr:row>115</xdr:row>
      <xdr:rowOff>38100</xdr:rowOff>
    </xdr:to>
    <xdr:sp macro="" textlink="">
      <xdr:nvSpPr>
        <xdr:cNvPr id="2" name="TextBox 1"/>
        <xdr:cNvSpPr txBox="1"/>
      </xdr:nvSpPr>
      <xdr:spPr>
        <a:xfrm>
          <a:off x="685800" y="16992600"/>
          <a:ext cx="9588500" cy="521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DR4 REFERENCES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Barry, T., Saunders, A., Kempton, P., Windley, B., Pringle, M., Dorjnamjaa, D., and Saandar, S., 2003, Petrogenesis of Cenozoic basalts from Mongolia: evidence for the role of asthenospheric versus metasomatized lithospheric mantle sources: Journal of Petrology, v. 44, no. 1, p. 55.</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Devyatkin, Y., and Smelov, S., 1980, Position of basalts in the Cenozoic sedimentary sequence of Mongolia: International Geology Review, v. 22, no. 3, p. 307–317, doi: 10.1080/00206818209466888.</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Hankard, F., Cogné, J.-P., Quidelleur, X., Bayasgalan, A., and Lkhagvadorj, P., 2007, Palaeomagnetism and K-Ar dating of Cretaceous basalts from Mongolia: Geophysical Journal International, v. 169, no. 3, p. 898–908, doi: 10.1111/j.1365-246X.2007.03292.x.</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Ivanenko VV, Karpenko MI, Yashina RM, Andreeva ED, Ashihmina NA (1988) New data on potassium-argon ages of basalts in the western slope of the Khubsugul rift (Mongolia) [Novye dannye o kali-argonovom vozraste basaltov zapadnogo borta Khubsugul’skogo rifta (MNR)]. Doklady Akademii Nauk SSSR 300:925–929.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Rasskazov, S.V., Logachev, A.N., Brandt, S.I., Brandt, B.S., and Ivanov, A.V., 2003, Late Cenozoic Volcanism in the Baikal Rift System: Evidence for Formation of the Baikal and Khubsugul Basins due to Thermal Impacts on the Lithosphere and Collision-Derived Tectonic Stress: Berliner Paläobiologische Abhandlungen, v. 4, p. 33–48.</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Schlupp, A., 1996, Néotectonique de la Mongolie occidentale analysée a partir de données de terrain, sismologiques et satellitaires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Tielke, J.A., Kastl, B.C., and Otgonhuu, J., 2007, Genesis and evolution of Tertiary lavas of the central Hangay mountains, Mongolia: Keck Geology Symposium, v. 20, p. 17–24.</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Yarmolyuk, V.V., Kudryashova, E.A., Kozlovsky, A.M., and Lebedev, V.A., 2008, Late Cenozoic volcanism of Khangai (Central Mongolia): Evidence for recent orogeny in Central Asia: Doklady Earth Sciences, v. 422, no. 1, p. 1032–1036, doi: 10.1134/S1028334X08070064.</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8"/>
  <sheetViews>
    <sheetView tabSelected="1" showOutlineSymbols="0" zoomScaleNormal="100" workbookViewId="0">
      <selection activeCell="I7" sqref="I7"/>
    </sheetView>
  </sheetViews>
  <sheetFormatPr defaultColWidth="7.375" defaultRowHeight="15" x14ac:dyDescent="0.25"/>
  <cols>
    <col min="1" max="1" width="15" style="126" customWidth="1"/>
    <col min="2" max="2" width="13.625" style="132" customWidth="1"/>
    <col min="3" max="3" width="13.875" style="132" customWidth="1"/>
    <col min="4" max="4" width="14.375" style="122" customWidth="1"/>
    <col min="5" max="5" width="9.625" style="122" customWidth="1"/>
    <col min="6" max="6" width="12.125" style="122" customWidth="1"/>
    <col min="7" max="7" width="8.875" style="122" customWidth="1"/>
    <col min="8" max="8" width="9" style="122" customWidth="1"/>
    <col min="9" max="9" width="7.375" style="122" customWidth="1"/>
    <col min="10" max="10" width="75.625" style="123" customWidth="1"/>
    <col min="11" max="16384" width="7.375" style="122"/>
  </cols>
  <sheetData>
    <row r="1" spans="1:10" ht="49.5" customHeight="1" x14ac:dyDescent="0.25">
      <c r="A1" s="150" t="s">
        <v>1549</v>
      </c>
      <c r="B1" s="151"/>
      <c r="C1" s="151"/>
      <c r="D1" s="151"/>
      <c r="E1" s="151"/>
      <c r="F1" s="151"/>
      <c r="G1" s="151"/>
      <c r="H1" s="151"/>
      <c r="I1" s="151"/>
      <c r="J1" s="151"/>
    </row>
    <row r="4" spans="1:10" ht="15.75" x14ac:dyDescent="0.25">
      <c r="A4" s="135" t="s">
        <v>1524</v>
      </c>
      <c r="B4" s="135"/>
      <c r="C4" s="135"/>
      <c r="D4" s="135"/>
    </row>
    <row r="5" spans="1:10" s="124" customFormat="1" ht="47.25" x14ac:dyDescent="0.25">
      <c r="A5" s="133" t="s">
        <v>0</v>
      </c>
      <c r="B5" s="134" t="s">
        <v>1546</v>
      </c>
      <c r="C5" s="134" t="s">
        <v>1547</v>
      </c>
      <c r="D5" s="124" t="s">
        <v>3</v>
      </c>
      <c r="E5" s="124" t="s">
        <v>1548</v>
      </c>
      <c r="F5" s="124" t="s">
        <v>4</v>
      </c>
      <c r="G5" s="124" t="s">
        <v>5</v>
      </c>
      <c r="H5" s="124" t="s">
        <v>6</v>
      </c>
      <c r="I5" s="124" t="s">
        <v>7</v>
      </c>
      <c r="J5" s="124" t="s">
        <v>8</v>
      </c>
    </row>
    <row r="6" spans="1:10" ht="30" x14ac:dyDescent="0.2">
      <c r="A6" s="125" t="s">
        <v>9</v>
      </c>
      <c r="B6" s="130">
        <v>48.172080000000001</v>
      </c>
      <c r="C6" s="130">
        <v>100.43792000000001</v>
      </c>
      <c r="D6" s="122" t="s">
        <v>10</v>
      </c>
      <c r="F6" s="122" t="s">
        <v>12</v>
      </c>
      <c r="G6" s="122">
        <v>1.502</v>
      </c>
      <c r="H6" s="122" t="s">
        <v>13</v>
      </c>
      <c r="I6" s="122" t="s">
        <v>14</v>
      </c>
      <c r="J6" s="123" t="s">
        <v>15</v>
      </c>
    </row>
    <row r="7" spans="1:10" ht="30" x14ac:dyDescent="0.2">
      <c r="A7" s="125" t="s">
        <v>16</v>
      </c>
      <c r="B7" s="130">
        <v>48.213009999999997</v>
      </c>
      <c r="C7" s="130">
        <v>100.39557000000001</v>
      </c>
      <c r="D7" s="122" t="s">
        <v>10</v>
      </c>
      <c r="E7" s="122" t="s">
        <v>11</v>
      </c>
      <c r="F7" s="122" t="s">
        <v>17</v>
      </c>
      <c r="G7" s="122">
        <v>2.59</v>
      </c>
      <c r="H7" s="122" t="s">
        <v>13</v>
      </c>
      <c r="I7" s="122" t="s">
        <v>18</v>
      </c>
      <c r="J7" s="123" t="s">
        <v>19</v>
      </c>
    </row>
    <row r="8" spans="1:10" x14ac:dyDescent="0.2">
      <c r="A8" s="125" t="s">
        <v>20</v>
      </c>
      <c r="B8" s="130">
        <v>48.234720000000003</v>
      </c>
      <c r="C8" s="130">
        <v>100.23472</v>
      </c>
      <c r="D8" s="122" t="s">
        <v>10</v>
      </c>
      <c r="E8" s="122" t="s">
        <v>11</v>
      </c>
      <c r="F8" s="122" t="s">
        <v>21</v>
      </c>
      <c r="G8" s="122">
        <v>2.4319999999999999</v>
      </c>
      <c r="H8" s="122" t="s">
        <v>13</v>
      </c>
      <c r="I8" s="122" t="s">
        <v>22</v>
      </c>
      <c r="J8" s="123" t="s">
        <v>23</v>
      </c>
    </row>
    <row r="9" spans="1:10" x14ac:dyDescent="0.2">
      <c r="A9" s="125" t="s">
        <v>24</v>
      </c>
      <c r="B9" s="130">
        <v>48.081829999999997</v>
      </c>
      <c r="C9" s="130">
        <v>99.917749999999998</v>
      </c>
      <c r="D9" s="122" t="s">
        <v>25</v>
      </c>
      <c r="E9" s="122" t="s">
        <v>11</v>
      </c>
      <c r="F9" s="122" t="s">
        <v>26</v>
      </c>
      <c r="G9" s="122">
        <v>3.573</v>
      </c>
      <c r="H9" s="122" t="s">
        <v>13</v>
      </c>
      <c r="I9" s="122" t="s">
        <v>27</v>
      </c>
      <c r="J9" s="123" t="s">
        <v>28</v>
      </c>
    </row>
    <row r="10" spans="1:10" x14ac:dyDescent="0.2">
      <c r="A10" s="125" t="s">
        <v>29</v>
      </c>
      <c r="B10" s="130">
        <v>48.081829999999997</v>
      </c>
      <c r="C10" s="130">
        <v>99.917749999999998</v>
      </c>
      <c r="D10" s="122" t="s">
        <v>10</v>
      </c>
      <c r="E10" s="122" t="s">
        <v>11</v>
      </c>
      <c r="F10" s="122" t="s">
        <v>30</v>
      </c>
      <c r="G10" s="122">
        <v>1.86</v>
      </c>
      <c r="H10" s="122" t="s">
        <v>13</v>
      </c>
      <c r="I10" s="122" t="s">
        <v>14</v>
      </c>
      <c r="J10" s="123" t="s">
        <v>31</v>
      </c>
    </row>
    <row r="11" spans="1:10" x14ac:dyDescent="0.2">
      <c r="A11" s="125" t="s">
        <v>32</v>
      </c>
      <c r="B11" s="130">
        <v>48.098759999999999</v>
      </c>
      <c r="C11" s="130">
        <v>99.922479999999993</v>
      </c>
      <c r="D11" s="122" t="s">
        <v>10</v>
      </c>
      <c r="E11" s="122" t="s">
        <v>11</v>
      </c>
      <c r="F11" s="122" t="s">
        <v>33</v>
      </c>
      <c r="G11" s="122">
        <v>3.5110000000000001</v>
      </c>
      <c r="H11" s="122" t="s">
        <v>13</v>
      </c>
      <c r="I11" s="122" t="s">
        <v>34</v>
      </c>
      <c r="J11" s="123" t="s">
        <v>35</v>
      </c>
    </row>
    <row r="12" spans="1:10" ht="30" x14ac:dyDescent="0.2">
      <c r="A12" s="125" t="s">
        <v>36</v>
      </c>
      <c r="B12" s="130">
        <v>48.005110000000002</v>
      </c>
      <c r="C12" s="130">
        <v>99.747889999999998</v>
      </c>
      <c r="D12" s="122" t="s">
        <v>10</v>
      </c>
      <c r="E12" s="122" t="s">
        <v>11</v>
      </c>
      <c r="F12" s="122" t="s">
        <v>37</v>
      </c>
      <c r="G12" s="122">
        <v>3.1120000000000001</v>
      </c>
      <c r="H12" s="122" t="s">
        <v>13</v>
      </c>
      <c r="I12" s="122" t="s">
        <v>27</v>
      </c>
      <c r="J12" s="123" t="s">
        <v>38</v>
      </c>
    </row>
    <row r="13" spans="1:10" x14ac:dyDescent="0.25">
      <c r="A13" s="126" t="s">
        <v>39</v>
      </c>
      <c r="B13" s="130">
        <v>47.521616700000003</v>
      </c>
      <c r="C13" s="130">
        <v>100.607</v>
      </c>
      <c r="D13" s="122" t="s">
        <v>40</v>
      </c>
      <c r="E13" s="122" t="s">
        <v>11</v>
      </c>
      <c r="F13" s="122" t="s">
        <v>41</v>
      </c>
      <c r="G13" s="127">
        <v>5.5</v>
      </c>
      <c r="H13" s="127" t="s">
        <v>13</v>
      </c>
      <c r="I13" s="122" t="s">
        <v>27</v>
      </c>
      <c r="J13" s="123" t="s">
        <v>42</v>
      </c>
    </row>
    <row r="14" spans="1:10" ht="30" x14ac:dyDescent="0.25">
      <c r="A14" s="126" t="s">
        <v>43</v>
      </c>
      <c r="B14" s="130">
        <v>47.199766699999998</v>
      </c>
      <c r="C14" s="130">
        <v>100.1199333</v>
      </c>
      <c r="D14" s="122" t="s">
        <v>40</v>
      </c>
      <c r="E14" s="122" t="s">
        <v>11</v>
      </c>
      <c r="F14" s="122" t="s">
        <v>44</v>
      </c>
      <c r="G14" s="127">
        <v>3.0150000000000001</v>
      </c>
      <c r="H14" s="127" t="s">
        <v>13</v>
      </c>
      <c r="I14" s="122" t="s">
        <v>27</v>
      </c>
      <c r="J14" s="123" t="s">
        <v>45</v>
      </c>
    </row>
    <row r="15" spans="1:10" ht="30" x14ac:dyDescent="0.25">
      <c r="A15" s="126" t="s">
        <v>46</v>
      </c>
      <c r="B15" s="130">
        <v>47.199633300000002</v>
      </c>
      <c r="C15" s="130">
        <v>100.11969999999999</v>
      </c>
      <c r="D15" s="122" t="s">
        <v>40</v>
      </c>
      <c r="E15" s="122" t="s">
        <v>11</v>
      </c>
      <c r="F15" s="122" t="s">
        <v>47</v>
      </c>
      <c r="G15" s="127">
        <v>2</v>
      </c>
      <c r="H15" s="127" t="s">
        <v>13</v>
      </c>
      <c r="I15" s="122" t="s">
        <v>27</v>
      </c>
      <c r="J15" s="123" t="s">
        <v>48</v>
      </c>
    </row>
    <row r="16" spans="1:10" x14ac:dyDescent="0.25">
      <c r="A16" s="126" t="s">
        <v>49</v>
      </c>
      <c r="B16" s="130">
        <v>47.1997833</v>
      </c>
      <c r="C16" s="130">
        <v>100.11969999999999</v>
      </c>
      <c r="D16" s="122" t="s">
        <v>40</v>
      </c>
      <c r="E16" s="122" t="s">
        <v>11</v>
      </c>
      <c r="F16" s="122" t="s">
        <v>50</v>
      </c>
      <c r="G16" s="127">
        <v>1.91</v>
      </c>
      <c r="H16" s="127" t="s">
        <v>13</v>
      </c>
      <c r="I16" s="122" t="s">
        <v>27</v>
      </c>
      <c r="J16" s="123" t="s">
        <v>51</v>
      </c>
    </row>
    <row r="17" spans="1:10" ht="30" x14ac:dyDescent="0.25">
      <c r="A17" s="126" t="s">
        <v>52</v>
      </c>
      <c r="B17" s="130">
        <v>47.199183300000001</v>
      </c>
      <c r="C17" s="130">
        <v>100.11803329999999</v>
      </c>
      <c r="D17" s="122" t="s">
        <v>40</v>
      </c>
      <c r="E17" s="122" t="s">
        <v>11</v>
      </c>
      <c r="F17" s="122" t="s">
        <v>53</v>
      </c>
      <c r="G17" s="127">
        <v>3.53</v>
      </c>
      <c r="H17" s="127" t="s">
        <v>13</v>
      </c>
      <c r="I17" s="122" t="s">
        <v>27</v>
      </c>
      <c r="J17" s="123" t="s">
        <v>54</v>
      </c>
    </row>
    <row r="18" spans="1:10" ht="30" x14ac:dyDescent="0.25">
      <c r="A18" s="126" t="s">
        <v>55</v>
      </c>
      <c r="B18" s="130">
        <v>47.199829999999999</v>
      </c>
      <c r="C18" s="130">
        <v>100.11669000000001</v>
      </c>
      <c r="D18" s="122" t="s">
        <v>40</v>
      </c>
      <c r="E18" s="122" t="s">
        <v>11</v>
      </c>
      <c r="F18" s="122" t="s">
        <v>56</v>
      </c>
      <c r="G18" s="127">
        <v>4.1900000000000004</v>
      </c>
      <c r="H18" s="127" t="s">
        <v>13</v>
      </c>
      <c r="I18" s="122" t="s">
        <v>14</v>
      </c>
      <c r="J18" s="123" t="s">
        <v>57</v>
      </c>
    </row>
    <row r="19" spans="1:10" x14ac:dyDescent="0.25">
      <c r="A19" s="126" t="s">
        <v>58</v>
      </c>
      <c r="B19" s="130">
        <v>47.200033300000001</v>
      </c>
      <c r="C19" s="130">
        <v>100.116</v>
      </c>
      <c r="D19" s="122" t="s">
        <v>40</v>
      </c>
      <c r="E19" s="122" t="s">
        <v>11</v>
      </c>
      <c r="F19" s="122" t="s">
        <v>59</v>
      </c>
      <c r="G19" s="127">
        <v>3.94</v>
      </c>
      <c r="H19" s="127" t="s">
        <v>13</v>
      </c>
      <c r="I19" s="122" t="s">
        <v>60</v>
      </c>
      <c r="J19" s="123" t="s">
        <v>61</v>
      </c>
    </row>
    <row r="20" spans="1:10" x14ac:dyDescent="0.25">
      <c r="A20" s="126" t="s">
        <v>62</v>
      </c>
      <c r="B20" s="130">
        <v>47.200119999999998</v>
      </c>
      <c r="C20" s="130">
        <v>100.1153</v>
      </c>
      <c r="D20" s="122" t="s">
        <v>40</v>
      </c>
      <c r="E20" s="122" t="s">
        <v>11</v>
      </c>
      <c r="F20" s="122" t="s">
        <v>63</v>
      </c>
      <c r="G20" s="127">
        <v>4.21</v>
      </c>
      <c r="H20" s="127" t="s">
        <v>13</v>
      </c>
      <c r="I20" s="122" t="s">
        <v>34</v>
      </c>
      <c r="J20" s="123" t="s">
        <v>64</v>
      </c>
    </row>
    <row r="21" spans="1:10" ht="30" x14ac:dyDescent="0.25">
      <c r="A21" s="126" t="s">
        <v>65</v>
      </c>
      <c r="B21" s="130">
        <v>47.200166699999997</v>
      </c>
      <c r="C21" s="130">
        <v>100.1142333</v>
      </c>
      <c r="D21" s="122" t="s">
        <v>40</v>
      </c>
      <c r="E21" s="122" t="s">
        <v>11</v>
      </c>
      <c r="F21" s="122" t="s">
        <v>66</v>
      </c>
      <c r="G21" s="127">
        <v>3.7010000000000001</v>
      </c>
      <c r="H21" s="127" t="s">
        <v>13</v>
      </c>
      <c r="I21" s="122" t="s">
        <v>22</v>
      </c>
      <c r="J21" s="123" t="s">
        <v>67</v>
      </c>
    </row>
    <row r="22" spans="1:10" ht="30" x14ac:dyDescent="0.25">
      <c r="A22" s="126" t="s">
        <v>68</v>
      </c>
      <c r="B22" s="130">
        <v>47.333750000000002</v>
      </c>
      <c r="C22" s="130">
        <v>100.19621669999999</v>
      </c>
      <c r="D22" s="122" t="s">
        <v>10</v>
      </c>
      <c r="E22" s="122" t="s">
        <v>69</v>
      </c>
      <c r="F22" s="122" t="s">
        <v>70</v>
      </c>
      <c r="G22" s="127">
        <v>3.37</v>
      </c>
      <c r="H22" s="127" t="s">
        <v>13</v>
      </c>
      <c r="I22" s="122" t="s">
        <v>27</v>
      </c>
      <c r="J22" s="123" t="s">
        <v>71</v>
      </c>
    </row>
    <row r="23" spans="1:10" x14ac:dyDescent="0.25">
      <c r="A23" s="126" t="s">
        <v>72</v>
      </c>
      <c r="B23" s="130">
        <v>47.200216699999999</v>
      </c>
      <c r="C23" s="130">
        <v>100.1123667</v>
      </c>
      <c r="D23" s="122" t="s">
        <v>40</v>
      </c>
      <c r="G23" s="127"/>
      <c r="H23" s="127"/>
    </row>
    <row r="24" spans="1:10" ht="30" x14ac:dyDescent="0.25">
      <c r="A24" s="126" t="s">
        <v>73</v>
      </c>
      <c r="B24" s="130">
        <v>47.469983300000003</v>
      </c>
      <c r="C24" s="130">
        <v>100.24643330000001</v>
      </c>
      <c r="D24" s="122" t="s">
        <v>40</v>
      </c>
      <c r="E24" s="122" t="s">
        <v>11</v>
      </c>
      <c r="F24" s="122" t="s">
        <v>74</v>
      </c>
      <c r="G24" s="127">
        <v>3.69</v>
      </c>
      <c r="H24" s="127" t="s">
        <v>13</v>
      </c>
      <c r="I24" s="122" t="s">
        <v>34</v>
      </c>
      <c r="J24" s="123" t="s">
        <v>75</v>
      </c>
    </row>
    <row r="25" spans="1:10" x14ac:dyDescent="0.25">
      <c r="A25" s="126" t="s">
        <v>76</v>
      </c>
      <c r="B25" s="130">
        <v>47.489566699999997</v>
      </c>
      <c r="C25" s="130">
        <v>100.31180000000001</v>
      </c>
      <c r="D25" s="122" t="s">
        <v>40</v>
      </c>
      <c r="E25" s="122" t="s">
        <v>11</v>
      </c>
      <c r="F25" s="122" t="s">
        <v>77</v>
      </c>
      <c r="G25" s="127">
        <v>4.42</v>
      </c>
      <c r="H25" s="127" t="s">
        <v>13</v>
      </c>
      <c r="I25" s="122" t="s">
        <v>34</v>
      </c>
      <c r="J25" s="123" t="s">
        <v>78</v>
      </c>
    </row>
    <row r="26" spans="1:10" x14ac:dyDescent="0.25">
      <c r="A26" s="126" t="s">
        <v>79</v>
      </c>
      <c r="B26" s="130">
        <v>47.490499999999997</v>
      </c>
      <c r="C26" s="130">
        <v>100.22888330000001</v>
      </c>
      <c r="D26" s="122" t="s">
        <v>40</v>
      </c>
      <c r="E26" s="122" t="s">
        <v>11</v>
      </c>
      <c r="F26" s="122" t="s">
        <v>80</v>
      </c>
      <c r="G26" s="127">
        <v>3.2</v>
      </c>
      <c r="H26" s="127" t="s">
        <v>13</v>
      </c>
      <c r="I26" s="122" t="s">
        <v>34</v>
      </c>
      <c r="J26" s="123" t="s">
        <v>81</v>
      </c>
    </row>
    <row r="27" spans="1:10" ht="30" x14ac:dyDescent="0.25">
      <c r="A27" s="126" t="s">
        <v>82</v>
      </c>
      <c r="B27" s="130">
        <v>47.490499999999997</v>
      </c>
      <c r="C27" s="130">
        <v>100.22888330000001</v>
      </c>
      <c r="D27" s="122" t="s">
        <v>40</v>
      </c>
      <c r="E27" s="122" t="s">
        <v>83</v>
      </c>
      <c r="F27" s="122" t="s">
        <v>84</v>
      </c>
      <c r="G27" s="127">
        <v>2.8</v>
      </c>
      <c r="H27" s="127" t="s">
        <v>13</v>
      </c>
      <c r="I27" s="122" t="s">
        <v>60</v>
      </c>
      <c r="J27" s="123" t="s">
        <v>85</v>
      </c>
    </row>
    <row r="28" spans="1:10" ht="30" x14ac:dyDescent="0.25">
      <c r="A28" s="126" t="s">
        <v>86</v>
      </c>
      <c r="B28" s="130">
        <v>47.490499999999997</v>
      </c>
      <c r="C28" s="130">
        <v>100.22888330000001</v>
      </c>
      <c r="D28" s="122" t="s">
        <v>40</v>
      </c>
      <c r="E28" s="122" t="s">
        <v>83</v>
      </c>
      <c r="F28" s="122" t="s">
        <v>87</v>
      </c>
      <c r="G28" s="127">
        <v>3.1</v>
      </c>
      <c r="H28" s="127" t="s">
        <v>13</v>
      </c>
      <c r="I28" s="122" t="s">
        <v>14</v>
      </c>
      <c r="J28" s="123" t="s">
        <v>88</v>
      </c>
    </row>
    <row r="29" spans="1:10" ht="30" x14ac:dyDescent="0.25">
      <c r="A29" s="126" t="s">
        <v>89</v>
      </c>
      <c r="B29" s="130">
        <v>47.445233299999998</v>
      </c>
      <c r="C29" s="130">
        <v>100.2154833</v>
      </c>
      <c r="D29" s="122" t="s">
        <v>40</v>
      </c>
      <c r="E29" s="122" t="s">
        <v>83</v>
      </c>
      <c r="F29" s="122" t="s">
        <v>90</v>
      </c>
      <c r="G29" s="127">
        <v>2.5</v>
      </c>
      <c r="H29" s="127" t="s">
        <v>13</v>
      </c>
      <c r="I29" s="122" t="s">
        <v>18</v>
      </c>
      <c r="J29" s="123" t="s">
        <v>91</v>
      </c>
    </row>
    <row r="30" spans="1:10" ht="30" x14ac:dyDescent="0.25">
      <c r="A30" s="126" t="s">
        <v>92</v>
      </c>
      <c r="B30" s="130">
        <v>47.445233299999998</v>
      </c>
      <c r="C30" s="130">
        <v>100.2154833</v>
      </c>
      <c r="D30" s="122" t="s">
        <v>40</v>
      </c>
      <c r="E30" s="122" t="s">
        <v>83</v>
      </c>
      <c r="F30" s="122" t="s">
        <v>93</v>
      </c>
      <c r="G30" s="127">
        <v>3.01</v>
      </c>
      <c r="H30" s="127" t="s">
        <v>13</v>
      </c>
      <c r="I30" s="122" t="s">
        <v>94</v>
      </c>
      <c r="J30" s="123" t="s">
        <v>95</v>
      </c>
    </row>
    <row r="31" spans="1:10" ht="30" x14ac:dyDescent="0.25">
      <c r="A31" s="126" t="s">
        <v>96</v>
      </c>
      <c r="B31" s="130">
        <v>47.445416700000003</v>
      </c>
      <c r="C31" s="130">
        <v>100.21425000000001</v>
      </c>
      <c r="D31" s="122" t="s">
        <v>40</v>
      </c>
      <c r="E31" s="122" t="s">
        <v>83</v>
      </c>
      <c r="F31" s="122" t="s">
        <v>97</v>
      </c>
      <c r="G31" s="127">
        <v>2.85</v>
      </c>
      <c r="H31" s="127" t="s">
        <v>13</v>
      </c>
      <c r="I31" s="122" t="s">
        <v>27</v>
      </c>
      <c r="J31" s="123" t="s">
        <v>98</v>
      </c>
    </row>
    <row r="32" spans="1:10" ht="30" x14ac:dyDescent="0.25">
      <c r="A32" s="126" t="s">
        <v>99</v>
      </c>
      <c r="B32" s="130">
        <v>47.444283300000002</v>
      </c>
      <c r="C32" s="130">
        <v>100.2139833</v>
      </c>
      <c r="D32" s="122" t="s">
        <v>40</v>
      </c>
      <c r="E32" s="122" t="s">
        <v>83</v>
      </c>
      <c r="F32" s="122" t="s">
        <v>100</v>
      </c>
      <c r="G32" s="127">
        <v>1.8</v>
      </c>
      <c r="H32" s="127" t="s">
        <v>13</v>
      </c>
      <c r="I32" s="122" t="s">
        <v>60</v>
      </c>
      <c r="J32" s="123" t="s">
        <v>101</v>
      </c>
    </row>
    <row r="33" spans="1:10" ht="30" x14ac:dyDescent="0.25">
      <c r="A33" s="126" t="s">
        <v>102</v>
      </c>
      <c r="B33" s="130">
        <v>47.443816699999999</v>
      </c>
      <c r="C33" s="130">
        <v>100.21405</v>
      </c>
      <c r="D33" s="122" t="s">
        <v>40</v>
      </c>
      <c r="E33" s="122" t="s">
        <v>83</v>
      </c>
      <c r="F33" s="122" t="s">
        <v>103</v>
      </c>
      <c r="G33" s="127">
        <v>3</v>
      </c>
      <c r="H33" s="127" t="s">
        <v>13</v>
      </c>
      <c r="I33" s="122" t="s">
        <v>27</v>
      </c>
      <c r="J33" s="123" t="s">
        <v>104</v>
      </c>
    </row>
    <row r="34" spans="1:10" ht="30" x14ac:dyDescent="0.25">
      <c r="A34" s="126" t="s">
        <v>105</v>
      </c>
      <c r="B34" s="130">
        <v>47.442166700000001</v>
      </c>
      <c r="C34" s="130">
        <v>100.1952833</v>
      </c>
      <c r="D34" s="122" t="s">
        <v>40</v>
      </c>
      <c r="E34" s="122" t="s">
        <v>83</v>
      </c>
      <c r="F34" s="122" t="s">
        <v>106</v>
      </c>
      <c r="G34" s="127">
        <v>3.3</v>
      </c>
      <c r="H34" s="127" t="s">
        <v>13</v>
      </c>
      <c r="I34" s="122" t="s">
        <v>60</v>
      </c>
      <c r="J34" s="123" t="s">
        <v>107</v>
      </c>
    </row>
    <row r="35" spans="1:10" ht="45" x14ac:dyDescent="0.25">
      <c r="A35" s="126" t="s">
        <v>108</v>
      </c>
      <c r="B35" s="130">
        <v>47.442166700000001</v>
      </c>
      <c r="C35" s="130">
        <v>100.1952833</v>
      </c>
      <c r="D35" s="122" t="s">
        <v>40</v>
      </c>
      <c r="E35" s="122" t="s">
        <v>83</v>
      </c>
      <c r="F35" s="122" t="s">
        <v>109</v>
      </c>
      <c r="G35" s="127">
        <v>2.8</v>
      </c>
      <c r="H35" s="127" t="s">
        <v>13</v>
      </c>
      <c r="I35" s="122" t="s">
        <v>60</v>
      </c>
      <c r="J35" s="123" t="s">
        <v>110</v>
      </c>
    </row>
    <row r="36" spans="1:10" ht="30" x14ac:dyDescent="0.25">
      <c r="A36" s="126" t="s">
        <v>111</v>
      </c>
      <c r="B36" s="130">
        <v>47.426133299999996</v>
      </c>
      <c r="C36" s="130">
        <v>100.19665000000001</v>
      </c>
      <c r="D36" s="122" t="s">
        <v>40</v>
      </c>
      <c r="E36" s="122" t="s">
        <v>112</v>
      </c>
      <c r="F36" s="122" t="s">
        <v>113</v>
      </c>
      <c r="G36" s="127">
        <v>2.0099999999999998</v>
      </c>
      <c r="H36" s="127" t="s">
        <v>13</v>
      </c>
      <c r="I36" s="122" t="s">
        <v>27</v>
      </c>
      <c r="J36" s="123" t="s">
        <v>114</v>
      </c>
    </row>
    <row r="37" spans="1:10" x14ac:dyDescent="0.25">
      <c r="A37" s="126" t="s">
        <v>115</v>
      </c>
      <c r="B37" s="130">
        <v>47.426133299999996</v>
      </c>
      <c r="C37" s="130">
        <v>100.19665000000001</v>
      </c>
      <c r="D37" s="122" t="s">
        <v>116</v>
      </c>
      <c r="G37" s="127"/>
      <c r="H37" s="127"/>
      <c r="I37" s="122" t="s">
        <v>117</v>
      </c>
    </row>
    <row r="38" spans="1:10" x14ac:dyDescent="0.25">
      <c r="A38" s="126" t="s">
        <v>118</v>
      </c>
      <c r="B38" s="130">
        <v>47.426133299999996</v>
      </c>
      <c r="C38" s="130">
        <v>100.19665000000001</v>
      </c>
      <c r="D38" s="122" t="s">
        <v>116</v>
      </c>
      <c r="G38" s="127"/>
      <c r="H38" s="127"/>
      <c r="I38" s="122" t="s">
        <v>117</v>
      </c>
    </row>
    <row r="39" spans="1:10" ht="30" x14ac:dyDescent="0.25">
      <c r="A39" s="126" t="s">
        <v>119</v>
      </c>
      <c r="B39" s="130">
        <v>47.109183299999998</v>
      </c>
      <c r="C39" s="130">
        <v>99.685450000000003</v>
      </c>
      <c r="D39" s="122" t="s">
        <v>40</v>
      </c>
      <c r="E39" s="122" t="s">
        <v>83</v>
      </c>
      <c r="F39" s="122" t="s">
        <v>120</v>
      </c>
      <c r="G39" s="127">
        <v>1.5</v>
      </c>
      <c r="H39" s="127" t="s">
        <v>13</v>
      </c>
      <c r="I39" s="122" t="s">
        <v>27</v>
      </c>
      <c r="J39" s="123" t="s">
        <v>121</v>
      </c>
    </row>
    <row r="40" spans="1:10" ht="30" x14ac:dyDescent="0.25">
      <c r="A40" s="126" t="s">
        <v>122</v>
      </c>
      <c r="B40" s="130">
        <v>47.193033300000003</v>
      </c>
      <c r="C40" s="130">
        <v>99.648200000000003</v>
      </c>
      <c r="D40" s="122" t="s">
        <v>40</v>
      </c>
      <c r="E40" s="122" t="s">
        <v>83</v>
      </c>
      <c r="F40" s="122" t="s">
        <v>63</v>
      </c>
      <c r="G40" s="127">
        <v>2.88</v>
      </c>
      <c r="H40" s="127" t="s">
        <v>13</v>
      </c>
      <c r="I40" s="122" t="s">
        <v>18</v>
      </c>
      <c r="J40" s="123" t="s">
        <v>123</v>
      </c>
    </row>
    <row r="41" spans="1:10" x14ac:dyDescent="0.25">
      <c r="A41" s="126" t="s">
        <v>124</v>
      </c>
      <c r="B41" s="130">
        <v>47.193033300000003</v>
      </c>
      <c r="C41" s="130">
        <v>99.648200000000003</v>
      </c>
      <c r="D41" s="122" t="s">
        <v>40</v>
      </c>
      <c r="E41" s="122" t="s">
        <v>112</v>
      </c>
      <c r="F41" s="122" t="s">
        <v>77</v>
      </c>
      <c r="G41" s="127">
        <v>1.33</v>
      </c>
      <c r="H41" s="127" t="s">
        <v>13</v>
      </c>
      <c r="I41" s="122" t="s">
        <v>22</v>
      </c>
      <c r="J41" s="123" t="s">
        <v>125</v>
      </c>
    </row>
    <row r="42" spans="1:10" ht="30" x14ac:dyDescent="0.25">
      <c r="A42" s="126" t="s">
        <v>126</v>
      </c>
      <c r="B42" s="130">
        <v>47.193033300000003</v>
      </c>
      <c r="C42" s="130">
        <v>99.648200000000003</v>
      </c>
      <c r="D42" s="122" t="s">
        <v>40</v>
      </c>
      <c r="E42" s="122" t="s">
        <v>112</v>
      </c>
      <c r="F42" s="122" t="s">
        <v>59</v>
      </c>
      <c r="G42" s="127">
        <v>3.14</v>
      </c>
      <c r="H42" s="127" t="s">
        <v>13</v>
      </c>
      <c r="I42" s="122" t="s">
        <v>18</v>
      </c>
      <c r="J42" s="123" t="s">
        <v>127</v>
      </c>
    </row>
    <row r="43" spans="1:10" x14ac:dyDescent="0.25">
      <c r="A43" s="126" t="s">
        <v>128</v>
      </c>
      <c r="B43" s="130">
        <v>47.193033300000003</v>
      </c>
      <c r="C43" s="130">
        <v>99.648200000000003</v>
      </c>
      <c r="D43" s="122" t="s">
        <v>40</v>
      </c>
      <c r="G43" s="127"/>
      <c r="H43" s="127"/>
    </row>
    <row r="44" spans="1:10" x14ac:dyDescent="0.25">
      <c r="A44" s="126" t="s">
        <v>129</v>
      </c>
      <c r="B44" s="130">
        <v>47.136150000000001</v>
      </c>
      <c r="C44" s="130">
        <v>99.729483299999998</v>
      </c>
      <c r="D44" s="122" t="s">
        <v>40</v>
      </c>
      <c r="E44" s="122" t="s">
        <v>112</v>
      </c>
      <c r="F44" s="122" t="s">
        <v>41</v>
      </c>
      <c r="G44" s="127">
        <v>2.98</v>
      </c>
      <c r="H44" s="127" t="s">
        <v>13</v>
      </c>
      <c r="I44" s="122" t="s">
        <v>27</v>
      </c>
      <c r="J44" s="123" t="s">
        <v>130</v>
      </c>
    </row>
    <row r="45" spans="1:10" ht="30" x14ac:dyDescent="0.25">
      <c r="A45" s="126" t="s">
        <v>131</v>
      </c>
      <c r="B45" s="130">
        <v>47.136166699999997</v>
      </c>
      <c r="C45" s="130">
        <v>99.729500000000002</v>
      </c>
      <c r="D45" s="122" t="s">
        <v>40</v>
      </c>
      <c r="E45" s="122" t="s">
        <v>112</v>
      </c>
      <c r="F45" s="122" t="s">
        <v>44</v>
      </c>
      <c r="G45" s="127">
        <v>1.84</v>
      </c>
      <c r="H45" s="127" t="s">
        <v>13</v>
      </c>
      <c r="I45" s="122" t="s">
        <v>22</v>
      </c>
      <c r="J45" s="123" t="s">
        <v>132</v>
      </c>
    </row>
    <row r="46" spans="1:10" ht="45" x14ac:dyDescent="0.25">
      <c r="A46" s="126" t="s">
        <v>133</v>
      </c>
      <c r="B46" s="130">
        <v>47.138916700000003</v>
      </c>
      <c r="C46" s="130">
        <v>99.743799999999993</v>
      </c>
      <c r="D46" s="122" t="s">
        <v>40</v>
      </c>
      <c r="E46" s="122" t="s">
        <v>112</v>
      </c>
      <c r="F46" s="122" t="s">
        <v>53</v>
      </c>
      <c r="G46" s="122">
        <v>1.83</v>
      </c>
      <c r="H46" s="122" t="s">
        <v>13</v>
      </c>
      <c r="I46" s="122" t="s">
        <v>18</v>
      </c>
      <c r="J46" s="123" t="s">
        <v>134</v>
      </c>
    </row>
    <row r="47" spans="1:10" ht="30" x14ac:dyDescent="0.25">
      <c r="A47" s="126" t="s">
        <v>135</v>
      </c>
      <c r="B47" s="130">
        <v>47.205583300000001</v>
      </c>
      <c r="C47" s="130">
        <v>99.879750000000001</v>
      </c>
      <c r="D47" s="122" t="s">
        <v>40</v>
      </c>
      <c r="E47" s="122" t="s">
        <v>112</v>
      </c>
      <c r="F47" s="122" t="s">
        <v>56</v>
      </c>
      <c r="G47" s="127">
        <v>2.93</v>
      </c>
      <c r="H47" s="127" t="s">
        <v>136</v>
      </c>
      <c r="I47" s="122" t="s">
        <v>34</v>
      </c>
      <c r="J47" s="123" t="s">
        <v>137</v>
      </c>
    </row>
    <row r="48" spans="1:10" ht="30" x14ac:dyDescent="0.25">
      <c r="A48" s="126" t="s">
        <v>138</v>
      </c>
      <c r="B48" s="130">
        <v>47.203116700000002</v>
      </c>
      <c r="C48" s="130">
        <v>99.882416699999993</v>
      </c>
      <c r="D48" s="122" t="s">
        <v>40</v>
      </c>
      <c r="E48" s="122" t="s">
        <v>112</v>
      </c>
      <c r="F48" s="122" t="s">
        <v>74</v>
      </c>
      <c r="G48" s="127">
        <v>3.35</v>
      </c>
      <c r="H48" s="127" t="s">
        <v>13</v>
      </c>
      <c r="I48" s="122" t="s">
        <v>22</v>
      </c>
      <c r="J48" s="123" t="s">
        <v>139</v>
      </c>
    </row>
    <row r="49" spans="1:10" x14ac:dyDescent="0.25">
      <c r="A49" s="126" t="s">
        <v>140</v>
      </c>
      <c r="B49" s="130">
        <v>47.203016699999999</v>
      </c>
      <c r="C49" s="130">
        <v>99.884200000000007</v>
      </c>
      <c r="D49" s="122" t="s">
        <v>40</v>
      </c>
      <c r="E49" s="122" t="s">
        <v>112</v>
      </c>
      <c r="F49" s="122" t="s">
        <v>50</v>
      </c>
      <c r="G49" s="127">
        <v>2.88</v>
      </c>
      <c r="H49" s="127" t="s">
        <v>13</v>
      </c>
      <c r="I49" s="122" t="s">
        <v>14</v>
      </c>
      <c r="J49" s="123" t="s">
        <v>141</v>
      </c>
    </row>
    <row r="50" spans="1:10" ht="30" x14ac:dyDescent="0.25">
      <c r="A50" s="126" t="s">
        <v>142</v>
      </c>
      <c r="B50" s="130">
        <v>47.235529999999997</v>
      </c>
      <c r="C50" s="130">
        <v>99.673519999999996</v>
      </c>
      <c r="D50" s="122" t="s">
        <v>40</v>
      </c>
      <c r="E50" s="122" t="s">
        <v>112</v>
      </c>
      <c r="F50" s="122" t="s">
        <v>47</v>
      </c>
      <c r="G50" s="127">
        <v>2.21</v>
      </c>
      <c r="H50" s="127" t="s">
        <v>13</v>
      </c>
      <c r="I50" s="122" t="s">
        <v>22</v>
      </c>
      <c r="J50" s="123" t="s">
        <v>143</v>
      </c>
    </row>
    <row r="51" spans="1:10" ht="30" x14ac:dyDescent="0.25">
      <c r="A51" s="126" t="s">
        <v>144</v>
      </c>
      <c r="B51" s="130">
        <v>47.23507</v>
      </c>
      <c r="C51" s="130">
        <v>99.672550000000001</v>
      </c>
      <c r="D51" s="122" t="s">
        <v>40</v>
      </c>
      <c r="E51" s="122" t="s">
        <v>112</v>
      </c>
      <c r="F51" s="122" t="s">
        <v>70</v>
      </c>
      <c r="G51" s="127">
        <v>2.5099999999999998</v>
      </c>
      <c r="H51" s="127" t="s">
        <v>13</v>
      </c>
      <c r="I51" s="122" t="s">
        <v>22</v>
      </c>
      <c r="J51" s="123" t="s">
        <v>145</v>
      </c>
    </row>
    <row r="52" spans="1:10" ht="30" x14ac:dyDescent="0.25">
      <c r="A52" s="126" t="s">
        <v>146</v>
      </c>
      <c r="B52" s="130">
        <v>47.234639999999999</v>
      </c>
      <c r="C52" s="130">
        <v>99.672160000000005</v>
      </c>
      <c r="D52" s="122" t="s">
        <v>40</v>
      </c>
      <c r="E52" s="122" t="s">
        <v>112</v>
      </c>
      <c r="F52" s="122" t="s">
        <v>80</v>
      </c>
      <c r="G52" s="127">
        <v>2.77</v>
      </c>
      <c r="H52" s="127" t="s">
        <v>13</v>
      </c>
      <c r="I52" s="122" t="s">
        <v>27</v>
      </c>
      <c r="J52" s="123" t="s">
        <v>147</v>
      </c>
    </row>
    <row r="53" spans="1:10" x14ac:dyDescent="0.25">
      <c r="A53" s="126" t="s">
        <v>148</v>
      </c>
      <c r="B53" s="130">
        <v>47.333633300000002</v>
      </c>
      <c r="C53" s="130">
        <v>100.1073167</v>
      </c>
      <c r="D53" s="122" t="s">
        <v>40</v>
      </c>
      <c r="I53" s="122" t="s">
        <v>149</v>
      </c>
      <c r="J53" s="123" t="s">
        <v>150</v>
      </c>
    </row>
    <row r="54" spans="1:10" ht="30" x14ac:dyDescent="0.25">
      <c r="A54" s="126" t="s">
        <v>151</v>
      </c>
      <c r="B54" s="130">
        <v>47.3331333</v>
      </c>
      <c r="C54" s="130">
        <v>100.1073167</v>
      </c>
      <c r="D54" s="122" t="s">
        <v>40</v>
      </c>
      <c r="E54" s="122" t="s">
        <v>112</v>
      </c>
      <c r="F54" s="122" t="s">
        <v>152</v>
      </c>
      <c r="G54" s="127">
        <v>2.91</v>
      </c>
      <c r="H54" s="127" t="s">
        <v>13</v>
      </c>
      <c r="I54" s="122" t="s">
        <v>27</v>
      </c>
      <c r="J54" s="123" t="s">
        <v>153</v>
      </c>
    </row>
    <row r="55" spans="1:10" ht="30" x14ac:dyDescent="0.25">
      <c r="A55" s="126" t="s">
        <v>154</v>
      </c>
      <c r="B55" s="130">
        <v>47.333150000000003</v>
      </c>
      <c r="C55" s="130">
        <v>100.10733329999999</v>
      </c>
      <c r="D55" s="122" t="s">
        <v>40</v>
      </c>
      <c r="E55" s="122" t="s">
        <v>112</v>
      </c>
      <c r="F55" s="122" t="s">
        <v>155</v>
      </c>
      <c r="G55" s="127">
        <v>2.2200000000000002</v>
      </c>
      <c r="H55" s="127" t="s">
        <v>13</v>
      </c>
      <c r="I55" s="122" t="s">
        <v>27</v>
      </c>
      <c r="J55" s="123" t="s">
        <v>156</v>
      </c>
    </row>
    <row r="56" spans="1:10" ht="30" x14ac:dyDescent="0.25">
      <c r="A56" s="126" t="s">
        <v>157</v>
      </c>
      <c r="B56" s="130">
        <v>47.3331667</v>
      </c>
      <c r="C56" s="130">
        <v>100.10778329999999</v>
      </c>
      <c r="D56" s="122" t="s">
        <v>40</v>
      </c>
      <c r="E56" s="122" t="s">
        <v>112</v>
      </c>
      <c r="F56" s="122" t="s">
        <v>158</v>
      </c>
      <c r="G56" s="127">
        <v>1.86</v>
      </c>
      <c r="H56" s="127" t="s">
        <v>13</v>
      </c>
      <c r="I56" s="122" t="s">
        <v>159</v>
      </c>
      <c r="J56" s="123" t="s">
        <v>160</v>
      </c>
    </row>
    <row r="57" spans="1:10" ht="30" x14ac:dyDescent="0.25">
      <c r="A57" s="126" t="s">
        <v>161</v>
      </c>
      <c r="B57" s="130">
        <v>47.333966699999998</v>
      </c>
      <c r="C57" s="130">
        <v>100.10814999999999</v>
      </c>
      <c r="D57" s="122" t="s">
        <v>40</v>
      </c>
      <c r="E57" s="122" t="s">
        <v>112</v>
      </c>
      <c r="F57" s="122" t="s">
        <v>162</v>
      </c>
      <c r="G57" s="127">
        <v>1.88</v>
      </c>
      <c r="H57" s="127" t="s">
        <v>13</v>
      </c>
      <c r="I57" s="122" t="s">
        <v>18</v>
      </c>
      <c r="J57" s="123" t="s">
        <v>163</v>
      </c>
    </row>
    <row r="58" spans="1:10" ht="30" x14ac:dyDescent="0.25">
      <c r="A58" s="126" t="s">
        <v>164</v>
      </c>
      <c r="B58" s="130">
        <v>47.332666699999997</v>
      </c>
      <c r="C58" s="130">
        <v>100.1097333</v>
      </c>
      <c r="D58" s="122" t="s">
        <v>40</v>
      </c>
      <c r="E58" s="122" t="s">
        <v>112</v>
      </c>
      <c r="F58" s="122" t="s">
        <v>165</v>
      </c>
      <c r="G58" s="127">
        <v>2.83</v>
      </c>
      <c r="H58" s="127" t="s">
        <v>13</v>
      </c>
      <c r="I58" s="122" t="s">
        <v>60</v>
      </c>
      <c r="J58" s="123" t="s">
        <v>166</v>
      </c>
    </row>
    <row r="59" spans="1:10" ht="30" x14ac:dyDescent="0.25">
      <c r="A59" s="126" t="s">
        <v>167</v>
      </c>
      <c r="B59" s="130">
        <v>47.270483300000002</v>
      </c>
      <c r="C59" s="130">
        <v>100.0144167</v>
      </c>
      <c r="D59" s="122" t="s">
        <v>40</v>
      </c>
      <c r="E59" s="122" t="s">
        <v>112</v>
      </c>
      <c r="F59" s="122" t="s">
        <v>168</v>
      </c>
      <c r="G59" s="127">
        <v>2.41</v>
      </c>
      <c r="H59" s="127" t="s">
        <v>13</v>
      </c>
      <c r="I59" s="122" t="s">
        <v>60</v>
      </c>
      <c r="J59" s="123" t="s">
        <v>169</v>
      </c>
    </row>
    <row r="60" spans="1:10" ht="30" x14ac:dyDescent="0.25">
      <c r="A60" s="126" t="s">
        <v>170</v>
      </c>
      <c r="B60" s="130">
        <v>47.271500000000003</v>
      </c>
      <c r="C60" s="130">
        <v>100.01385000000001</v>
      </c>
      <c r="D60" s="122" t="s">
        <v>40</v>
      </c>
      <c r="E60" s="122" t="s">
        <v>112</v>
      </c>
      <c r="F60" s="122" t="s">
        <v>171</v>
      </c>
      <c r="G60" s="127">
        <v>1.57</v>
      </c>
      <c r="H60" s="127" t="s">
        <v>13</v>
      </c>
      <c r="I60" s="122" t="s">
        <v>60</v>
      </c>
      <c r="J60" s="123" t="s">
        <v>172</v>
      </c>
    </row>
    <row r="61" spans="1:10" ht="45" x14ac:dyDescent="0.25">
      <c r="A61" s="126" t="s">
        <v>173</v>
      </c>
      <c r="B61" s="130">
        <v>47.269849999999998</v>
      </c>
      <c r="C61" s="130">
        <v>100.00935</v>
      </c>
      <c r="D61" s="122" t="s">
        <v>40</v>
      </c>
      <c r="E61" s="122" t="s">
        <v>112</v>
      </c>
      <c r="F61" s="122" t="s">
        <v>174</v>
      </c>
      <c r="G61" s="127">
        <v>1.32</v>
      </c>
      <c r="H61" s="127" t="s">
        <v>13</v>
      </c>
      <c r="I61" s="122" t="s">
        <v>27</v>
      </c>
      <c r="J61" s="123" t="s">
        <v>175</v>
      </c>
    </row>
    <row r="62" spans="1:10" ht="30" x14ac:dyDescent="0.25">
      <c r="A62" s="126" t="s">
        <v>176</v>
      </c>
      <c r="B62" s="130">
        <v>47.269483299999997</v>
      </c>
      <c r="C62" s="130">
        <v>100.0087667</v>
      </c>
      <c r="D62" s="122" t="s">
        <v>40</v>
      </c>
      <c r="E62" s="122" t="s">
        <v>112</v>
      </c>
      <c r="F62" s="122" t="s">
        <v>177</v>
      </c>
      <c r="G62" s="127">
        <v>2.44</v>
      </c>
      <c r="H62" s="127" t="s">
        <v>13</v>
      </c>
      <c r="I62" s="122" t="s">
        <v>27</v>
      </c>
      <c r="J62" s="123" t="s">
        <v>178</v>
      </c>
    </row>
    <row r="63" spans="1:10" x14ac:dyDescent="0.25">
      <c r="A63" s="128" t="s">
        <v>179</v>
      </c>
      <c r="B63" s="130">
        <v>47.198799999999999</v>
      </c>
      <c r="C63" s="130">
        <v>100.1215</v>
      </c>
      <c r="D63" s="122" t="s">
        <v>40</v>
      </c>
      <c r="E63" s="122" t="s">
        <v>112</v>
      </c>
      <c r="F63" s="122" t="s">
        <v>180</v>
      </c>
      <c r="G63" s="127">
        <v>1.83</v>
      </c>
      <c r="H63" s="127" t="s">
        <v>13</v>
      </c>
      <c r="I63" s="122" t="s">
        <v>27</v>
      </c>
      <c r="J63" s="123" t="s">
        <v>181</v>
      </c>
    </row>
    <row r="64" spans="1:10" x14ac:dyDescent="0.25">
      <c r="A64" s="126" t="s">
        <v>182</v>
      </c>
      <c r="B64" s="130">
        <v>47.200429999999997</v>
      </c>
      <c r="C64" s="130">
        <v>100.10912</v>
      </c>
      <c r="D64" s="122" t="s">
        <v>40</v>
      </c>
      <c r="E64" s="122" t="s">
        <v>11</v>
      </c>
      <c r="F64" s="122" t="s">
        <v>183</v>
      </c>
      <c r="G64" s="127">
        <v>2.93</v>
      </c>
      <c r="H64" s="127" t="s">
        <v>13</v>
      </c>
      <c r="I64" s="122" t="s">
        <v>14</v>
      </c>
      <c r="J64" s="123" t="s">
        <v>184</v>
      </c>
    </row>
    <row r="65" spans="1:10" x14ac:dyDescent="0.25">
      <c r="A65" s="126" t="s">
        <v>185</v>
      </c>
      <c r="B65" s="130">
        <v>47.200290000000003</v>
      </c>
      <c r="C65" s="130">
        <v>100.11059</v>
      </c>
      <c r="D65" s="122" t="s">
        <v>40</v>
      </c>
      <c r="E65" s="122" t="s">
        <v>11</v>
      </c>
      <c r="F65" s="122" t="s">
        <v>186</v>
      </c>
      <c r="G65" s="127">
        <v>4.33</v>
      </c>
      <c r="H65" s="127" t="s">
        <v>13</v>
      </c>
      <c r="I65" s="122" t="s">
        <v>18</v>
      </c>
      <c r="J65" s="123" t="s">
        <v>187</v>
      </c>
    </row>
    <row r="66" spans="1:10" x14ac:dyDescent="0.25">
      <c r="A66" s="126" t="s">
        <v>188</v>
      </c>
      <c r="B66" s="130">
        <v>47.200290000000003</v>
      </c>
      <c r="C66" s="130">
        <v>100.11094</v>
      </c>
      <c r="D66" s="122" t="s">
        <v>40</v>
      </c>
      <c r="E66" s="122" t="s">
        <v>11</v>
      </c>
      <c r="F66" s="122" t="s">
        <v>113</v>
      </c>
      <c r="G66" s="127">
        <v>4.0140000000000002</v>
      </c>
      <c r="H66" s="127" t="s">
        <v>13</v>
      </c>
      <c r="I66" s="122" t="s">
        <v>27</v>
      </c>
      <c r="J66" s="123" t="s">
        <v>189</v>
      </c>
    </row>
    <row r="67" spans="1:10" ht="30" x14ac:dyDescent="0.25">
      <c r="A67" s="126" t="s">
        <v>190</v>
      </c>
      <c r="B67" s="130">
        <v>47.200040000000001</v>
      </c>
      <c r="C67" s="130">
        <v>100.10642</v>
      </c>
      <c r="D67" s="122" t="s">
        <v>40</v>
      </c>
      <c r="E67" s="122" t="s">
        <v>11</v>
      </c>
      <c r="F67" s="122" t="s">
        <v>120</v>
      </c>
      <c r="G67" s="127">
        <v>4.2060000000000004</v>
      </c>
      <c r="H67" s="127" t="s">
        <v>13</v>
      </c>
      <c r="I67" s="122" t="s">
        <v>60</v>
      </c>
      <c r="J67" s="123" t="s">
        <v>191</v>
      </c>
    </row>
    <row r="68" spans="1:10" ht="30" x14ac:dyDescent="0.25">
      <c r="A68" s="126" t="s">
        <v>192</v>
      </c>
      <c r="B68" s="130">
        <v>47.205039999999997</v>
      </c>
      <c r="C68" s="130">
        <v>100.10314</v>
      </c>
      <c r="D68" s="122" t="s">
        <v>40</v>
      </c>
      <c r="E68" s="122" t="s">
        <v>11</v>
      </c>
      <c r="F68" s="122" t="s">
        <v>152</v>
      </c>
      <c r="G68" s="127">
        <v>4.2</v>
      </c>
      <c r="H68" s="127" t="s">
        <v>13</v>
      </c>
      <c r="I68" s="122" t="s">
        <v>60</v>
      </c>
      <c r="J68" s="123" t="s">
        <v>193</v>
      </c>
    </row>
    <row r="69" spans="1:10" x14ac:dyDescent="0.25">
      <c r="A69" s="126" t="s">
        <v>194</v>
      </c>
      <c r="B69" s="130">
        <v>47.2331833</v>
      </c>
      <c r="C69" s="130">
        <v>100.0963167</v>
      </c>
      <c r="D69" s="122" t="s">
        <v>40</v>
      </c>
      <c r="E69" s="122" t="s">
        <v>11</v>
      </c>
      <c r="F69" s="122" t="s">
        <v>155</v>
      </c>
      <c r="G69" s="127">
        <v>3.6</v>
      </c>
      <c r="H69" s="127" t="s">
        <v>13</v>
      </c>
      <c r="I69" s="122" t="s">
        <v>14</v>
      </c>
      <c r="J69" s="123" t="s">
        <v>195</v>
      </c>
    </row>
    <row r="70" spans="1:10" ht="45" x14ac:dyDescent="0.25">
      <c r="A70" s="126" t="s">
        <v>196</v>
      </c>
      <c r="B70" s="130">
        <v>47.233666700000001</v>
      </c>
      <c r="C70" s="130">
        <v>100.0971833</v>
      </c>
      <c r="D70" s="122" t="s">
        <v>40</v>
      </c>
      <c r="E70" s="122" t="s">
        <v>11</v>
      </c>
      <c r="F70" s="122" t="s">
        <v>158</v>
      </c>
      <c r="G70" s="127">
        <v>1.5</v>
      </c>
      <c r="H70" s="127" t="s">
        <v>13</v>
      </c>
      <c r="I70" s="122" t="s">
        <v>27</v>
      </c>
      <c r="J70" s="123" t="s">
        <v>197</v>
      </c>
    </row>
    <row r="71" spans="1:10" ht="30" x14ac:dyDescent="0.25">
      <c r="A71" s="126" t="s">
        <v>198</v>
      </c>
      <c r="B71" s="130">
        <v>47.206066700000001</v>
      </c>
      <c r="C71" s="130">
        <v>99.881866700000003</v>
      </c>
      <c r="D71" s="122" t="s">
        <v>40</v>
      </c>
      <c r="E71" s="122" t="s">
        <v>11</v>
      </c>
      <c r="F71" s="122" t="s">
        <v>168</v>
      </c>
      <c r="G71" s="127">
        <v>2.7</v>
      </c>
      <c r="H71" s="127" t="s">
        <v>13</v>
      </c>
      <c r="I71" s="122" t="s">
        <v>60</v>
      </c>
      <c r="J71" s="123" t="s">
        <v>199</v>
      </c>
    </row>
    <row r="72" spans="1:10" ht="30" x14ac:dyDescent="0.25">
      <c r="A72" s="126" t="s">
        <v>200</v>
      </c>
      <c r="B72" s="130">
        <v>47.204300000000003</v>
      </c>
      <c r="C72" s="130">
        <v>99.882066699999996</v>
      </c>
      <c r="D72" s="122" t="s">
        <v>40</v>
      </c>
      <c r="E72" s="122" t="s">
        <v>11</v>
      </c>
      <c r="F72" s="122" t="s">
        <v>171</v>
      </c>
      <c r="G72" s="127">
        <v>1.26</v>
      </c>
      <c r="H72" s="127" t="s">
        <v>13</v>
      </c>
      <c r="I72" s="122" t="s">
        <v>60</v>
      </c>
      <c r="J72" s="123" t="s">
        <v>199</v>
      </c>
    </row>
    <row r="73" spans="1:10" x14ac:dyDescent="0.25">
      <c r="A73" s="126" t="s">
        <v>201</v>
      </c>
      <c r="B73" s="130">
        <v>47.333766699999998</v>
      </c>
      <c r="C73" s="130">
        <v>100.1061</v>
      </c>
      <c r="D73" s="122" t="s">
        <v>40</v>
      </c>
      <c r="G73" s="127"/>
      <c r="H73" s="127"/>
    </row>
    <row r="74" spans="1:10" x14ac:dyDescent="0.25">
      <c r="A74" s="126" t="s">
        <v>202</v>
      </c>
      <c r="B74" s="130">
        <v>47.333766699999998</v>
      </c>
      <c r="C74" s="130">
        <v>100.1061</v>
      </c>
      <c r="D74" s="122" t="s">
        <v>40</v>
      </c>
      <c r="G74" s="127"/>
      <c r="H74" s="127"/>
    </row>
    <row r="75" spans="1:10" x14ac:dyDescent="0.25">
      <c r="A75" s="126" t="s">
        <v>203</v>
      </c>
      <c r="B75" s="130">
        <v>47.333766699999998</v>
      </c>
      <c r="C75" s="130">
        <v>100.1061</v>
      </c>
      <c r="D75" s="122" t="s">
        <v>204</v>
      </c>
      <c r="G75" s="127"/>
      <c r="H75" s="127"/>
      <c r="I75" s="122" t="s">
        <v>117</v>
      </c>
    </row>
    <row r="76" spans="1:10" x14ac:dyDescent="0.25">
      <c r="A76" s="126" t="s">
        <v>205</v>
      </c>
      <c r="B76" s="130">
        <v>47.333766699999998</v>
      </c>
      <c r="C76" s="130">
        <v>100.1061</v>
      </c>
      <c r="D76" s="122" t="s">
        <v>206</v>
      </c>
      <c r="G76" s="127"/>
      <c r="H76" s="127"/>
      <c r="I76" s="122" t="s">
        <v>117</v>
      </c>
    </row>
    <row r="77" spans="1:10" ht="30" x14ac:dyDescent="0.25">
      <c r="A77" s="126" t="s">
        <v>207</v>
      </c>
      <c r="B77" s="130">
        <v>47.332333300000002</v>
      </c>
      <c r="C77" s="130">
        <v>100.1070833</v>
      </c>
      <c r="D77" s="122" t="s">
        <v>40</v>
      </c>
      <c r="E77" s="122" t="s">
        <v>11</v>
      </c>
      <c r="F77" s="122" t="s">
        <v>174</v>
      </c>
      <c r="G77" s="127">
        <v>3.73</v>
      </c>
      <c r="H77" s="127" t="s">
        <v>13</v>
      </c>
      <c r="I77" s="122" t="s">
        <v>94</v>
      </c>
      <c r="J77" s="123" t="s">
        <v>208</v>
      </c>
    </row>
    <row r="78" spans="1:10" ht="30" x14ac:dyDescent="0.25">
      <c r="A78" s="126" t="s">
        <v>209</v>
      </c>
      <c r="B78" s="130">
        <v>47.331383299999999</v>
      </c>
      <c r="C78" s="130">
        <v>100.1069167</v>
      </c>
      <c r="D78" s="122" t="s">
        <v>40</v>
      </c>
      <c r="E78" s="122" t="s">
        <v>11</v>
      </c>
      <c r="F78" s="122" t="s">
        <v>177</v>
      </c>
      <c r="G78" s="127">
        <v>2.34</v>
      </c>
      <c r="H78" s="127" t="s">
        <v>13</v>
      </c>
      <c r="I78" s="122" t="s">
        <v>60</v>
      </c>
      <c r="J78" s="123" t="s">
        <v>210</v>
      </c>
    </row>
    <row r="79" spans="1:10" x14ac:dyDescent="0.25">
      <c r="A79" s="126" t="s">
        <v>211</v>
      </c>
      <c r="B79" s="130">
        <v>47.331383299999999</v>
      </c>
      <c r="C79" s="130">
        <v>100.1069167</v>
      </c>
      <c r="D79" s="122" t="s">
        <v>40</v>
      </c>
      <c r="G79" s="127"/>
      <c r="H79" s="127"/>
    </row>
    <row r="80" spans="1:10" x14ac:dyDescent="0.25">
      <c r="A80" s="126" t="s">
        <v>212</v>
      </c>
      <c r="B80" s="130">
        <v>47.331883300000001</v>
      </c>
      <c r="C80" s="130">
        <v>100.10643330000001</v>
      </c>
      <c r="D80" s="122" t="s">
        <v>40</v>
      </c>
      <c r="E80" s="122" t="s">
        <v>11</v>
      </c>
      <c r="F80" s="122" t="s">
        <v>213</v>
      </c>
      <c r="G80" s="127"/>
      <c r="H80" s="127" t="s">
        <v>13</v>
      </c>
      <c r="I80" s="122" t="s">
        <v>214</v>
      </c>
      <c r="J80" s="123" t="s">
        <v>215</v>
      </c>
    </row>
    <row r="81" spans="1:10" ht="45" x14ac:dyDescent="0.25">
      <c r="A81" s="126" t="s">
        <v>216</v>
      </c>
      <c r="B81" s="130">
        <v>47.3322833</v>
      </c>
      <c r="C81" s="130">
        <v>100.10595000000001</v>
      </c>
      <c r="D81" s="122" t="s">
        <v>40</v>
      </c>
      <c r="E81" s="122" t="s">
        <v>11</v>
      </c>
      <c r="F81" s="122" t="s">
        <v>217</v>
      </c>
      <c r="G81" s="127">
        <v>19.98</v>
      </c>
      <c r="H81" s="127" t="s">
        <v>13</v>
      </c>
      <c r="I81" s="122" t="s">
        <v>214</v>
      </c>
      <c r="J81" s="123" t="s">
        <v>218</v>
      </c>
    </row>
    <row r="82" spans="1:10" ht="45" x14ac:dyDescent="0.25">
      <c r="A82" s="126" t="s">
        <v>219</v>
      </c>
      <c r="B82" s="130">
        <v>47.269583300000001</v>
      </c>
      <c r="C82" s="130">
        <v>100.0152667</v>
      </c>
      <c r="D82" s="122" t="s">
        <v>40</v>
      </c>
      <c r="E82" s="122" t="s">
        <v>83</v>
      </c>
      <c r="F82" s="122" t="s">
        <v>220</v>
      </c>
      <c r="G82" s="127">
        <v>3.1</v>
      </c>
      <c r="H82" s="127" t="s">
        <v>13</v>
      </c>
      <c r="I82" s="122" t="s">
        <v>34</v>
      </c>
      <c r="J82" s="123" t="s">
        <v>221</v>
      </c>
    </row>
    <row r="83" spans="1:10" ht="30" x14ac:dyDescent="0.25">
      <c r="A83" s="126" t="s">
        <v>222</v>
      </c>
      <c r="B83" s="130">
        <v>47.268633299999998</v>
      </c>
      <c r="C83" s="130">
        <v>100.01523330000001</v>
      </c>
      <c r="D83" s="122" t="s">
        <v>40</v>
      </c>
      <c r="E83" s="122" t="s">
        <v>11</v>
      </c>
      <c r="F83" s="122" t="s">
        <v>165</v>
      </c>
      <c r="G83" s="127">
        <v>2.74</v>
      </c>
      <c r="H83" s="127" t="s">
        <v>13</v>
      </c>
      <c r="I83" s="122" t="s">
        <v>18</v>
      </c>
      <c r="J83" s="123" t="s">
        <v>223</v>
      </c>
    </row>
    <row r="84" spans="1:10" ht="30" x14ac:dyDescent="0.25">
      <c r="A84" s="126" t="s">
        <v>224</v>
      </c>
      <c r="B84" s="130">
        <v>47.268016699999997</v>
      </c>
      <c r="C84" s="130">
        <v>100.01779999999999</v>
      </c>
      <c r="D84" s="122" t="s">
        <v>40</v>
      </c>
      <c r="E84" s="122" t="s">
        <v>11</v>
      </c>
      <c r="F84" s="122" t="s">
        <v>180</v>
      </c>
      <c r="G84" s="127">
        <v>2.5099999999999998</v>
      </c>
      <c r="H84" s="127" t="s">
        <v>13</v>
      </c>
      <c r="I84" s="122" t="s">
        <v>27</v>
      </c>
      <c r="J84" s="123" t="s">
        <v>225</v>
      </c>
    </row>
    <row r="85" spans="1:10" ht="30" x14ac:dyDescent="0.25">
      <c r="A85" s="126" t="s">
        <v>226</v>
      </c>
      <c r="B85" s="130">
        <v>47.184910000000002</v>
      </c>
      <c r="C85" s="130">
        <v>99.876360000000005</v>
      </c>
      <c r="D85" s="122" t="s">
        <v>40</v>
      </c>
      <c r="E85" s="122" t="s">
        <v>11</v>
      </c>
      <c r="F85" s="122" t="s">
        <v>227</v>
      </c>
      <c r="G85" s="127">
        <v>2.19</v>
      </c>
      <c r="H85" s="127" t="s">
        <v>13</v>
      </c>
      <c r="I85" s="122" t="s">
        <v>27</v>
      </c>
      <c r="J85" s="123" t="s">
        <v>228</v>
      </c>
    </row>
    <row r="86" spans="1:10" x14ac:dyDescent="0.25">
      <c r="A86" s="126" t="s">
        <v>229</v>
      </c>
      <c r="B86" s="130"/>
      <c r="C86" s="130"/>
      <c r="D86" s="122" t="s">
        <v>10</v>
      </c>
      <c r="E86" s="122" t="s">
        <v>11</v>
      </c>
      <c r="F86" s="122" t="s">
        <v>230</v>
      </c>
      <c r="G86" s="127">
        <v>3.77</v>
      </c>
      <c r="H86" s="127" t="s">
        <v>13</v>
      </c>
      <c r="I86" s="122" t="s">
        <v>27</v>
      </c>
      <c r="J86" s="123" t="s">
        <v>231</v>
      </c>
    </row>
    <row r="87" spans="1:10" ht="30" x14ac:dyDescent="0.25">
      <c r="A87" s="126" t="s">
        <v>232</v>
      </c>
      <c r="B87" s="130">
        <v>47.146259999999998</v>
      </c>
      <c r="C87" s="130">
        <v>99.891369999999995</v>
      </c>
      <c r="D87" s="122" t="s">
        <v>40</v>
      </c>
      <c r="E87" s="122" t="s">
        <v>11</v>
      </c>
      <c r="F87" s="122" t="s">
        <v>233</v>
      </c>
      <c r="G87" s="127">
        <v>15.97</v>
      </c>
      <c r="H87" s="127" t="s">
        <v>13</v>
      </c>
      <c r="I87" s="122" t="s">
        <v>213</v>
      </c>
      <c r="J87" s="123" t="s">
        <v>234</v>
      </c>
    </row>
    <row r="88" spans="1:10" ht="30" x14ac:dyDescent="0.25">
      <c r="A88" s="126" t="s">
        <v>235</v>
      </c>
      <c r="B88" s="130">
        <v>47.575083300000003</v>
      </c>
      <c r="C88" s="130">
        <v>101.1388333</v>
      </c>
      <c r="D88" s="122" t="s">
        <v>40</v>
      </c>
      <c r="E88" s="122" t="s">
        <v>83</v>
      </c>
      <c r="F88" s="122" t="s">
        <v>227</v>
      </c>
      <c r="G88" s="127">
        <v>2.5499999999999998</v>
      </c>
      <c r="H88" s="127" t="s">
        <v>13</v>
      </c>
      <c r="I88" s="122" t="s">
        <v>27</v>
      </c>
      <c r="J88" s="123" t="s">
        <v>236</v>
      </c>
    </row>
    <row r="89" spans="1:10" ht="30" x14ac:dyDescent="0.25">
      <c r="A89" s="126" t="s">
        <v>237</v>
      </c>
      <c r="B89" s="130">
        <v>47.075200000000002</v>
      </c>
      <c r="C89" s="130">
        <v>101.0384833</v>
      </c>
      <c r="D89" s="122" t="s">
        <v>40</v>
      </c>
      <c r="E89" s="122" t="s">
        <v>83</v>
      </c>
      <c r="F89" s="122" t="s">
        <v>230</v>
      </c>
      <c r="G89" s="127">
        <v>3.58</v>
      </c>
      <c r="H89" s="127" t="s">
        <v>13</v>
      </c>
      <c r="I89" s="122" t="s">
        <v>213</v>
      </c>
      <c r="J89" s="123" t="s">
        <v>238</v>
      </c>
    </row>
    <row r="90" spans="1:10" ht="30" x14ac:dyDescent="0.25">
      <c r="A90" s="126" t="s">
        <v>239</v>
      </c>
      <c r="B90" s="130">
        <v>47.075200000000002</v>
      </c>
      <c r="C90" s="130">
        <v>101.0384833</v>
      </c>
      <c r="D90" s="122" t="s">
        <v>40</v>
      </c>
      <c r="E90" s="122" t="s">
        <v>112</v>
      </c>
      <c r="F90" s="122" t="s">
        <v>240</v>
      </c>
      <c r="G90" s="127">
        <v>2.2799999999999998</v>
      </c>
      <c r="H90" s="127" t="s">
        <v>13</v>
      </c>
      <c r="I90" s="122" t="s">
        <v>14</v>
      </c>
      <c r="J90" s="123" t="s">
        <v>241</v>
      </c>
    </row>
    <row r="91" spans="1:10" ht="30" x14ac:dyDescent="0.25">
      <c r="A91" s="126" t="s">
        <v>242</v>
      </c>
      <c r="B91" s="130">
        <v>47.575033300000001</v>
      </c>
      <c r="C91" s="130">
        <v>101.15600000000001</v>
      </c>
      <c r="D91" s="122" t="s">
        <v>40</v>
      </c>
      <c r="E91" s="122" t="s">
        <v>112</v>
      </c>
      <c r="F91" s="122" t="s">
        <v>243</v>
      </c>
      <c r="G91" s="127">
        <v>2.12</v>
      </c>
      <c r="H91" s="127" t="s">
        <v>13</v>
      </c>
      <c r="I91" s="122" t="s">
        <v>22</v>
      </c>
      <c r="J91" s="123" t="s">
        <v>244</v>
      </c>
    </row>
    <row r="92" spans="1:10" x14ac:dyDescent="0.25">
      <c r="A92" s="126" t="s">
        <v>245</v>
      </c>
      <c r="B92" s="130">
        <v>47.574933299999998</v>
      </c>
      <c r="C92" s="130">
        <v>101.1482333</v>
      </c>
      <c r="D92" s="122" t="s">
        <v>40</v>
      </c>
      <c r="E92" s="122" t="s">
        <v>112</v>
      </c>
      <c r="F92" s="122" t="s">
        <v>246</v>
      </c>
      <c r="G92" s="127">
        <v>1.77</v>
      </c>
      <c r="H92" s="127" t="s">
        <v>13</v>
      </c>
      <c r="I92" s="122" t="s">
        <v>18</v>
      </c>
      <c r="J92" s="123" t="s">
        <v>247</v>
      </c>
    </row>
    <row r="93" spans="1:10" x14ac:dyDescent="0.25">
      <c r="A93" s="126" t="s">
        <v>248</v>
      </c>
      <c r="B93" s="130">
        <v>47.469116700000001</v>
      </c>
      <c r="C93" s="130">
        <v>100.89441669999999</v>
      </c>
      <c r="D93" s="122" t="s">
        <v>40</v>
      </c>
      <c r="E93" s="122" t="s">
        <v>112</v>
      </c>
      <c r="F93" s="122" t="s">
        <v>183</v>
      </c>
      <c r="G93" s="127">
        <v>2.21</v>
      </c>
      <c r="H93" s="127" t="s">
        <v>13</v>
      </c>
      <c r="I93" s="122" t="s">
        <v>14</v>
      </c>
      <c r="J93" s="123" t="s">
        <v>249</v>
      </c>
    </row>
    <row r="94" spans="1:10" x14ac:dyDescent="0.25">
      <c r="A94" s="126" t="s">
        <v>250</v>
      </c>
      <c r="B94" s="130">
        <v>47.468266700000001</v>
      </c>
      <c r="C94" s="130">
        <v>100.8948333</v>
      </c>
      <c r="D94" s="122" t="s">
        <v>40</v>
      </c>
      <c r="E94" s="122" t="s">
        <v>83</v>
      </c>
      <c r="F94" s="122" t="s">
        <v>186</v>
      </c>
      <c r="G94" s="127">
        <v>4.72</v>
      </c>
      <c r="H94" s="127" t="s">
        <v>13</v>
      </c>
      <c r="I94" s="122" t="s">
        <v>18</v>
      </c>
      <c r="J94" s="123" t="s">
        <v>251</v>
      </c>
    </row>
    <row r="95" spans="1:10" ht="30" x14ac:dyDescent="0.25">
      <c r="A95" s="126" t="s">
        <v>252</v>
      </c>
      <c r="B95" s="130">
        <v>47.477116700000003</v>
      </c>
      <c r="C95" s="130">
        <v>100.8938667</v>
      </c>
      <c r="D95" s="122" t="s">
        <v>40</v>
      </c>
      <c r="E95" s="122" t="s">
        <v>83</v>
      </c>
      <c r="F95" s="122" t="s">
        <v>253</v>
      </c>
      <c r="G95" s="127">
        <v>3.35</v>
      </c>
      <c r="H95" s="127" t="s">
        <v>13</v>
      </c>
      <c r="I95" s="122" t="s">
        <v>18</v>
      </c>
      <c r="J95" s="123" t="s">
        <v>254</v>
      </c>
    </row>
    <row r="96" spans="1:10" ht="30" x14ac:dyDescent="0.25">
      <c r="A96" s="126" t="s">
        <v>255</v>
      </c>
      <c r="B96" s="130">
        <v>46.856783299999996</v>
      </c>
      <c r="C96" s="130">
        <v>101.07235</v>
      </c>
      <c r="D96" s="122" t="s">
        <v>40</v>
      </c>
      <c r="E96" s="122" t="s">
        <v>256</v>
      </c>
      <c r="F96" s="122" t="s">
        <v>84</v>
      </c>
      <c r="G96" s="127">
        <v>3.1</v>
      </c>
      <c r="H96" s="127" t="s">
        <v>257</v>
      </c>
      <c r="I96" s="122" t="s">
        <v>27</v>
      </c>
      <c r="J96" s="123" t="s">
        <v>258</v>
      </c>
    </row>
    <row r="97" spans="1:10" ht="30" x14ac:dyDescent="0.25">
      <c r="A97" s="126" t="s">
        <v>259</v>
      </c>
      <c r="B97" s="130">
        <v>46.8568</v>
      </c>
      <c r="C97" s="130">
        <v>101.5712</v>
      </c>
      <c r="D97" s="122" t="s">
        <v>40</v>
      </c>
      <c r="E97" s="122" t="s">
        <v>256</v>
      </c>
      <c r="F97" s="122" t="s">
        <v>87</v>
      </c>
      <c r="G97" s="127">
        <v>25</v>
      </c>
      <c r="H97" s="127" t="s">
        <v>257</v>
      </c>
      <c r="I97" s="122" t="s">
        <v>34</v>
      </c>
      <c r="J97" s="123" t="s">
        <v>260</v>
      </c>
    </row>
    <row r="98" spans="1:10" ht="30" x14ac:dyDescent="0.25">
      <c r="A98" s="126" t="s">
        <v>261</v>
      </c>
      <c r="B98" s="130">
        <v>46.858199999999997</v>
      </c>
      <c r="C98" s="130">
        <v>101.56255</v>
      </c>
      <c r="D98" s="122" t="s">
        <v>40</v>
      </c>
      <c r="E98" s="122" t="s">
        <v>262</v>
      </c>
      <c r="F98" s="122" t="s">
        <v>90</v>
      </c>
      <c r="G98" s="127">
        <v>4.5</v>
      </c>
      <c r="H98" s="127" t="s">
        <v>257</v>
      </c>
      <c r="I98" s="122" t="s">
        <v>263</v>
      </c>
      <c r="J98" s="123" t="s">
        <v>264</v>
      </c>
    </row>
    <row r="99" spans="1:10" ht="30" x14ac:dyDescent="0.25">
      <c r="A99" s="126" t="s">
        <v>265</v>
      </c>
      <c r="B99" s="130">
        <v>46.857950000000002</v>
      </c>
      <c r="C99" s="130">
        <v>101.5625833</v>
      </c>
      <c r="D99" s="122" t="s">
        <v>40</v>
      </c>
      <c r="E99" s="122" t="s">
        <v>262</v>
      </c>
      <c r="F99" s="122" t="s">
        <v>93</v>
      </c>
      <c r="G99" s="127">
        <v>3.1</v>
      </c>
      <c r="H99" s="127" t="s">
        <v>257</v>
      </c>
      <c r="I99" s="122" t="s">
        <v>14</v>
      </c>
      <c r="J99" s="123" t="s">
        <v>266</v>
      </c>
    </row>
    <row r="100" spans="1:10" ht="30" x14ac:dyDescent="0.25">
      <c r="A100" s="126" t="s">
        <v>267</v>
      </c>
      <c r="B100" s="130">
        <v>46.865216699999998</v>
      </c>
      <c r="C100" s="130">
        <v>101.5593167</v>
      </c>
      <c r="D100" s="122" t="s">
        <v>40</v>
      </c>
      <c r="E100" s="122" t="s">
        <v>262</v>
      </c>
      <c r="F100" s="122" t="s">
        <v>97</v>
      </c>
      <c r="G100" s="127">
        <v>6.5</v>
      </c>
      <c r="H100" s="127" t="s">
        <v>257</v>
      </c>
      <c r="I100" s="122" t="s">
        <v>34</v>
      </c>
      <c r="J100" s="123" t="s">
        <v>268</v>
      </c>
    </row>
    <row r="101" spans="1:10" ht="30" x14ac:dyDescent="0.25">
      <c r="A101" s="126" t="s">
        <v>269</v>
      </c>
      <c r="B101" s="130">
        <v>46.859000000000002</v>
      </c>
      <c r="C101" s="130">
        <v>101.55705</v>
      </c>
      <c r="D101" s="122" t="s">
        <v>40</v>
      </c>
      <c r="E101" s="122" t="s">
        <v>262</v>
      </c>
      <c r="F101" s="122" t="s">
        <v>100</v>
      </c>
      <c r="G101" s="127">
        <v>3.2</v>
      </c>
      <c r="H101" s="127" t="s">
        <v>257</v>
      </c>
      <c r="I101" s="122" t="s">
        <v>60</v>
      </c>
      <c r="J101" s="123" t="s">
        <v>270</v>
      </c>
    </row>
    <row r="102" spans="1:10" ht="30" x14ac:dyDescent="0.25">
      <c r="A102" s="126" t="s">
        <v>271</v>
      </c>
      <c r="B102" s="130">
        <v>46.900799999999997</v>
      </c>
      <c r="C102" s="130">
        <v>101.5043</v>
      </c>
      <c r="D102" s="122" t="s">
        <v>40</v>
      </c>
      <c r="E102" s="122" t="s">
        <v>262</v>
      </c>
      <c r="F102" s="122" t="s">
        <v>103</v>
      </c>
      <c r="G102" s="127">
        <v>2.5</v>
      </c>
      <c r="H102" s="127" t="s">
        <v>257</v>
      </c>
      <c r="I102" s="122" t="s">
        <v>14</v>
      </c>
      <c r="J102" s="123" t="s">
        <v>272</v>
      </c>
    </row>
    <row r="103" spans="1:10" ht="30" x14ac:dyDescent="0.25">
      <c r="A103" s="126" t="s">
        <v>273</v>
      </c>
      <c r="B103" s="130">
        <v>46.903483299999998</v>
      </c>
      <c r="C103" s="130">
        <v>101.51665</v>
      </c>
      <c r="D103" s="122" t="s">
        <v>40</v>
      </c>
      <c r="E103" s="122" t="s">
        <v>262</v>
      </c>
      <c r="F103" s="122" t="s">
        <v>106</v>
      </c>
      <c r="G103" s="127">
        <v>3.1</v>
      </c>
      <c r="H103" s="127" t="s">
        <v>257</v>
      </c>
      <c r="I103" s="122" t="s">
        <v>18</v>
      </c>
      <c r="J103" s="123" t="s">
        <v>274</v>
      </c>
    </row>
    <row r="104" spans="1:10" ht="45" x14ac:dyDescent="0.25">
      <c r="A104" s="126" t="s">
        <v>275</v>
      </c>
      <c r="B104" s="130">
        <v>46.911700000000003</v>
      </c>
      <c r="C104" s="130">
        <v>101.5331</v>
      </c>
      <c r="D104" s="122" t="s">
        <v>40</v>
      </c>
      <c r="E104" s="122" t="s">
        <v>262</v>
      </c>
      <c r="F104" s="122" t="s">
        <v>109</v>
      </c>
      <c r="G104" s="127">
        <v>4.0999999999999996</v>
      </c>
      <c r="H104" s="127" t="s">
        <v>257</v>
      </c>
      <c r="I104" s="122" t="s">
        <v>60</v>
      </c>
      <c r="J104" s="123" t="s">
        <v>276</v>
      </c>
    </row>
    <row r="105" spans="1:10" x14ac:dyDescent="0.25">
      <c r="A105" s="126" t="s">
        <v>277</v>
      </c>
      <c r="B105" s="130">
        <v>46.911900000000003</v>
      </c>
      <c r="C105" s="130">
        <v>101.5305</v>
      </c>
      <c r="D105" s="122" t="s">
        <v>40</v>
      </c>
      <c r="E105" s="122" t="s">
        <v>262</v>
      </c>
      <c r="F105" s="122" t="s">
        <v>113</v>
      </c>
      <c r="G105" s="127">
        <v>3.6</v>
      </c>
      <c r="H105" s="127" t="s">
        <v>257</v>
      </c>
      <c r="I105" s="122" t="s">
        <v>27</v>
      </c>
      <c r="J105" s="123" t="s">
        <v>278</v>
      </c>
    </row>
    <row r="106" spans="1:10" ht="30" x14ac:dyDescent="0.25">
      <c r="A106" s="126" t="s">
        <v>279</v>
      </c>
      <c r="B106" s="130">
        <v>46.911416699999997</v>
      </c>
      <c r="C106" s="130">
        <v>101.5283167</v>
      </c>
      <c r="D106" s="122" t="s">
        <v>40</v>
      </c>
      <c r="E106" s="122" t="s">
        <v>262</v>
      </c>
      <c r="F106" s="122" t="s">
        <v>120</v>
      </c>
      <c r="G106" s="127">
        <v>24.2</v>
      </c>
      <c r="H106" s="127" t="s">
        <v>257</v>
      </c>
      <c r="I106" s="122" t="s">
        <v>60</v>
      </c>
      <c r="J106" s="123" t="s">
        <v>280</v>
      </c>
    </row>
    <row r="107" spans="1:10" ht="30" x14ac:dyDescent="0.25">
      <c r="A107" s="122" t="s">
        <v>281</v>
      </c>
      <c r="B107" s="130">
        <v>46.91375</v>
      </c>
      <c r="C107" s="130">
        <v>101.5244833</v>
      </c>
      <c r="D107" s="122" t="s">
        <v>40</v>
      </c>
      <c r="E107" s="122" t="s">
        <v>262</v>
      </c>
      <c r="F107" s="122" t="s">
        <v>63</v>
      </c>
      <c r="G107" s="127">
        <v>2.6</v>
      </c>
      <c r="H107" s="127" t="s">
        <v>257</v>
      </c>
      <c r="I107" s="122" t="s">
        <v>27</v>
      </c>
      <c r="J107" s="123" t="s">
        <v>282</v>
      </c>
    </row>
    <row r="108" spans="1:10" ht="30" x14ac:dyDescent="0.25">
      <c r="A108" s="126" t="s">
        <v>283</v>
      </c>
      <c r="B108" s="130">
        <v>46.913699999999999</v>
      </c>
      <c r="C108" s="130">
        <v>101.5244833</v>
      </c>
      <c r="D108" s="122" t="s">
        <v>40</v>
      </c>
      <c r="E108" s="122" t="s">
        <v>262</v>
      </c>
      <c r="F108" s="122" t="s">
        <v>77</v>
      </c>
      <c r="G108" s="127">
        <v>3.9</v>
      </c>
      <c r="H108" s="127" t="s">
        <v>257</v>
      </c>
      <c r="I108" s="122" t="s">
        <v>60</v>
      </c>
      <c r="J108" s="123" t="s">
        <v>284</v>
      </c>
    </row>
    <row r="109" spans="1:10" ht="30" x14ac:dyDescent="0.25">
      <c r="A109" s="126" t="s">
        <v>285</v>
      </c>
      <c r="B109" s="130">
        <v>46.918550000000003</v>
      </c>
      <c r="C109" s="130">
        <v>101.5297333</v>
      </c>
      <c r="D109" s="122" t="s">
        <v>40</v>
      </c>
      <c r="E109" s="122" t="s">
        <v>262</v>
      </c>
      <c r="F109" s="122" t="s">
        <v>59</v>
      </c>
      <c r="G109" s="127">
        <v>2.8</v>
      </c>
      <c r="H109" s="127" t="s">
        <v>257</v>
      </c>
      <c r="I109" s="122" t="s">
        <v>14</v>
      </c>
      <c r="J109" s="123" t="s">
        <v>286</v>
      </c>
    </row>
    <row r="110" spans="1:10" ht="30" x14ac:dyDescent="0.25">
      <c r="A110" s="126" t="s">
        <v>287</v>
      </c>
      <c r="B110" s="130">
        <v>46.918849999999999</v>
      </c>
      <c r="C110" s="130">
        <v>101.51725</v>
      </c>
      <c r="D110" s="122" t="s">
        <v>40</v>
      </c>
      <c r="E110" s="122" t="s">
        <v>262</v>
      </c>
      <c r="F110" s="122" t="s">
        <v>41</v>
      </c>
      <c r="G110" s="127">
        <v>3.5</v>
      </c>
      <c r="H110" s="127" t="s">
        <v>257</v>
      </c>
      <c r="I110" s="122" t="s">
        <v>27</v>
      </c>
      <c r="J110" s="123" t="s">
        <v>288</v>
      </c>
    </row>
    <row r="111" spans="1:10" ht="30" x14ac:dyDescent="0.25">
      <c r="A111" s="126" t="s">
        <v>289</v>
      </c>
      <c r="B111" s="130">
        <v>46.9176</v>
      </c>
      <c r="C111" s="130">
        <v>101.536</v>
      </c>
      <c r="D111" s="122" t="s">
        <v>40</v>
      </c>
      <c r="E111" s="122" t="s">
        <v>262</v>
      </c>
      <c r="F111" s="122" t="s">
        <v>44</v>
      </c>
      <c r="G111" s="127">
        <v>3.2</v>
      </c>
      <c r="H111" s="127" t="s">
        <v>257</v>
      </c>
      <c r="I111" s="122" t="s">
        <v>22</v>
      </c>
      <c r="J111" s="123" t="s">
        <v>290</v>
      </c>
    </row>
    <row r="112" spans="1:10" x14ac:dyDescent="0.25">
      <c r="A112" s="126" t="s">
        <v>291</v>
      </c>
      <c r="B112" s="130">
        <v>46.917850000000001</v>
      </c>
      <c r="C112" s="130">
        <v>101.5339</v>
      </c>
      <c r="D112" s="122" t="s">
        <v>292</v>
      </c>
      <c r="G112" s="127"/>
      <c r="H112" s="127"/>
      <c r="I112" s="122" t="s">
        <v>117</v>
      </c>
    </row>
    <row r="113" spans="1:10" ht="30" x14ac:dyDescent="0.25">
      <c r="A113" s="126" t="s">
        <v>293</v>
      </c>
      <c r="B113" s="130">
        <v>46.798283300000001</v>
      </c>
      <c r="C113" s="130">
        <v>101.6876333</v>
      </c>
      <c r="D113" s="122" t="s">
        <v>40</v>
      </c>
      <c r="E113" s="122" t="s">
        <v>262</v>
      </c>
      <c r="F113" s="122" t="s">
        <v>53</v>
      </c>
      <c r="G113" s="127">
        <v>3</v>
      </c>
      <c r="H113" s="127" t="s">
        <v>257</v>
      </c>
      <c r="I113" s="122" t="s">
        <v>27</v>
      </c>
      <c r="J113" s="123" t="s">
        <v>294</v>
      </c>
    </row>
    <row r="114" spans="1:10" x14ac:dyDescent="0.25">
      <c r="A114" s="126" t="s">
        <v>295</v>
      </c>
      <c r="B114" s="130">
        <v>46.797716700000002</v>
      </c>
      <c r="C114" s="130">
        <v>101.6873667</v>
      </c>
      <c r="D114" s="122" t="s">
        <v>40</v>
      </c>
      <c r="G114" s="127"/>
      <c r="H114" s="127"/>
      <c r="I114" s="122" t="s">
        <v>149</v>
      </c>
      <c r="J114" s="123" t="s">
        <v>296</v>
      </c>
    </row>
    <row r="115" spans="1:10" x14ac:dyDescent="0.25">
      <c r="A115" s="126" t="s">
        <v>297</v>
      </c>
      <c r="B115" s="130">
        <v>46.821800000000003</v>
      </c>
      <c r="C115" s="130">
        <v>101.69895</v>
      </c>
      <c r="D115" s="122" t="s">
        <v>40</v>
      </c>
      <c r="E115" s="122" t="s">
        <v>262</v>
      </c>
      <c r="F115" s="122" t="s">
        <v>56</v>
      </c>
      <c r="G115" s="127">
        <v>3.9</v>
      </c>
      <c r="H115" s="127" t="s">
        <v>257</v>
      </c>
      <c r="I115" s="122" t="s">
        <v>27</v>
      </c>
      <c r="J115" s="123" t="s">
        <v>298</v>
      </c>
    </row>
    <row r="116" spans="1:10" ht="30" x14ac:dyDescent="0.25">
      <c r="A116" s="126" t="s">
        <v>299</v>
      </c>
      <c r="B116" s="130">
        <v>46.821800000000003</v>
      </c>
      <c r="C116" s="130">
        <v>101.69895</v>
      </c>
      <c r="D116" s="122" t="s">
        <v>40</v>
      </c>
      <c r="E116" s="122" t="s">
        <v>262</v>
      </c>
      <c r="F116" s="122" t="s">
        <v>74</v>
      </c>
      <c r="G116" s="127">
        <v>3.1</v>
      </c>
      <c r="H116" s="127" t="s">
        <v>257</v>
      </c>
      <c r="I116" s="122" t="s">
        <v>18</v>
      </c>
      <c r="J116" s="123" t="s">
        <v>300</v>
      </c>
    </row>
    <row r="117" spans="1:10" ht="30" x14ac:dyDescent="0.25">
      <c r="A117" s="126" t="s">
        <v>301</v>
      </c>
      <c r="B117" s="130">
        <v>46.821800000000003</v>
      </c>
      <c r="C117" s="130">
        <v>101.69895</v>
      </c>
      <c r="D117" s="122" t="s">
        <v>40</v>
      </c>
      <c r="E117" s="122" t="s">
        <v>262</v>
      </c>
      <c r="F117" s="122" t="s">
        <v>50</v>
      </c>
      <c r="G117" s="127">
        <v>3</v>
      </c>
      <c r="H117" s="127" t="s">
        <v>257</v>
      </c>
      <c r="I117" s="122" t="s">
        <v>22</v>
      </c>
      <c r="J117" s="123" t="s">
        <v>302</v>
      </c>
    </row>
    <row r="118" spans="1:10" ht="30" x14ac:dyDescent="0.25">
      <c r="A118" s="126" t="s">
        <v>303</v>
      </c>
      <c r="B118" s="130">
        <v>46.821800000000003</v>
      </c>
      <c r="C118" s="130">
        <v>101.69895</v>
      </c>
      <c r="D118" s="122" t="s">
        <v>40</v>
      </c>
      <c r="E118" s="122" t="s">
        <v>262</v>
      </c>
      <c r="F118" s="122" t="s">
        <v>47</v>
      </c>
      <c r="G118" s="127">
        <v>3.1</v>
      </c>
      <c r="H118" s="127" t="s">
        <v>257</v>
      </c>
      <c r="I118" s="122" t="s">
        <v>60</v>
      </c>
      <c r="J118" s="123" t="s">
        <v>304</v>
      </c>
    </row>
    <row r="119" spans="1:10" ht="30" x14ac:dyDescent="0.25">
      <c r="A119" s="126" t="s">
        <v>305</v>
      </c>
      <c r="B119" s="130">
        <v>46.821800000000003</v>
      </c>
      <c r="C119" s="130">
        <v>101.69895</v>
      </c>
      <c r="D119" s="122" t="s">
        <v>40</v>
      </c>
      <c r="E119" s="122" t="s">
        <v>262</v>
      </c>
      <c r="F119" s="122" t="s">
        <v>70</v>
      </c>
      <c r="G119" s="127">
        <v>3.2</v>
      </c>
      <c r="H119" s="127" t="s">
        <v>257</v>
      </c>
      <c r="I119" s="122" t="s">
        <v>60</v>
      </c>
      <c r="J119" s="123" t="s">
        <v>306</v>
      </c>
    </row>
    <row r="120" spans="1:10" ht="30" x14ac:dyDescent="0.25">
      <c r="A120" s="126" t="s">
        <v>307</v>
      </c>
      <c r="B120" s="130">
        <v>46.821800000000003</v>
      </c>
      <c r="C120" s="130">
        <v>101.69895</v>
      </c>
      <c r="D120" s="122" t="s">
        <v>40</v>
      </c>
      <c r="E120" s="122" t="s">
        <v>262</v>
      </c>
      <c r="F120" s="122" t="s">
        <v>80</v>
      </c>
      <c r="G120" s="127">
        <v>20</v>
      </c>
      <c r="H120" s="127" t="s">
        <v>257</v>
      </c>
      <c r="I120" s="122" t="s">
        <v>27</v>
      </c>
      <c r="J120" s="123" t="s">
        <v>308</v>
      </c>
    </row>
    <row r="121" spans="1:10" ht="30" x14ac:dyDescent="0.25">
      <c r="A121" s="128" t="s">
        <v>309</v>
      </c>
      <c r="B121" s="130">
        <v>45.769666700000002</v>
      </c>
      <c r="C121" s="130">
        <v>100.9152</v>
      </c>
      <c r="D121" s="122" t="s">
        <v>40</v>
      </c>
      <c r="E121" s="122" t="s">
        <v>262</v>
      </c>
      <c r="F121" s="122" t="s">
        <v>152</v>
      </c>
      <c r="G121" s="127">
        <v>3.1</v>
      </c>
      <c r="H121" s="127" t="s">
        <v>257</v>
      </c>
      <c r="I121" s="122" t="s">
        <v>14</v>
      </c>
      <c r="J121" s="123" t="s">
        <v>310</v>
      </c>
    </row>
    <row r="122" spans="1:10" ht="30" x14ac:dyDescent="0.25">
      <c r="A122" s="126" t="s">
        <v>311</v>
      </c>
      <c r="B122" s="130">
        <v>45.769666700000002</v>
      </c>
      <c r="C122" s="130">
        <v>100.9152</v>
      </c>
      <c r="D122" s="122" t="s">
        <v>40</v>
      </c>
      <c r="E122" s="122" t="s">
        <v>262</v>
      </c>
      <c r="F122" s="122" t="s">
        <v>155</v>
      </c>
      <c r="G122" s="127">
        <v>2.6</v>
      </c>
      <c r="H122" s="127" t="s">
        <v>257</v>
      </c>
      <c r="I122" s="122" t="s">
        <v>14</v>
      </c>
      <c r="J122" s="123" t="s">
        <v>312</v>
      </c>
    </row>
    <row r="123" spans="1:10" x14ac:dyDescent="0.25">
      <c r="A123" s="126" t="s">
        <v>313</v>
      </c>
      <c r="B123" s="130">
        <v>45.769666700000002</v>
      </c>
      <c r="C123" s="130">
        <v>100.9152</v>
      </c>
      <c r="D123" s="122" t="s">
        <v>40</v>
      </c>
      <c r="G123" s="127"/>
      <c r="H123" s="127"/>
      <c r="I123" s="122" t="s">
        <v>149</v>
      </c>
      <c r="J123" s="123" t="s">
        <v>296</v>
      </c>
    </row>
    <row r="124" spans="1:10" x14ac:dyDescent="0.25">
      <c r="A124" s="126" t="s">
        <v>314</v>
      </c>
      <c r="B124" s="130">
        <v>45.523483300000002</v>
      </c>
      <c r="C124" s="130">
        <v>100.88416669999999</v>
      </c>
      <c r="D124" s="122" t="s">
        <v>40</v>
      </c>
      <c r="G124" s="127"/>
      <c r="H124" s="127"/>
      <c r="I124" s="122" t="s">
        <v>149</v>
      </c>
      <c r="J124" s="123" t="s">
        <v>296</v>
      </c>
    </row>
    <row r="125" spans="1:10" ht="30" x14ac:dyDescent="0.25">
      <c r="A125" s="126" t="s">
        <v>315</v>
      </c>
      <c r="B125" s="130">
        <v>45.486600000000003</v>
      </c>
      <c r="C125" s="130">
        <v>101.0137167</v>
      </c>
      <c r="D125" s="122" t="s">
        <v>40</v>
      </c>
      <c r="E125" s="122" t="s">
        <v>256</v>
      </c>
      <c r="F125" s="122" t="s">
        <v>158</v>
      </c>
      <c r="G125" s="127">
        <v>22</v>
      </c>
      <c r="H125" s="127" t="s">
        <v>316</v>
      </c>
      <c r="I125" s="122" t="s">
        <v>27</v>
      </c>
      <c r="J125" s="123" t="s">
        <v>317</v>
      </c>
    </row>
    <row r="126" spans="1:10" ht="30" x14ac:dyDescent="0.25">
      <c r="A126" s="126" t="s">
        <v>318</v>
      </c>
      <c r="B126" s="130">
        <v>45.493333300000003</v>
      </c>
      <c r="C126" s="130">
        <v>101.0397833</v>
      </c>
      <c r="D126" s="122" t="s">
        <v>40</v>
      </c>
      <c r="E126" s="122" t="s">
        <v>256</v>
      </c>
      <c r="F126" s="122" t="s">
        <v>162</v>
      </c>
      <c r="G126" s="127">
        <v>3.4</v>
      </c>
      <c r="H126" s="127" t="s">
        <v>316</v>
      </c>
      <c r="I126" s="122" t="s">
        <v>27</v>
      </c>
      <c r="J126" s="123" t="s">
        <v>319</v>
      </c>
    </row>
    <row r="127" spans="1:10" ht="30" x14ac:dyDescent="0.25">
      <c r="A127" s="126" t="s">
        <v>320</v>
      </c>
      <c r="B127" s="130">
        <v>45.505883300000001</v>
      </c>
      <c r="C127" s="130">
        <v>101.10355</v>
      </c>
      <c r="D127" s="122" t="s">
        <v>40</v>
      </c>
      <c r="E127" s="122" t="s">
        <v>262</v>
      </c>
      <c r="F127" s="122" t="s">
        <v>165</v>
      </c>
      <c r="G127" s="127">
        <v>4.5999999999999996</v>
      </c>
      <c r="H127" s="127" t="s">
        <v>316</v>
      </c>
      <c r="I127" s="122" t="s">
        <v>34</v>
      </c>
      <c r="J127" s="123" t="s">
        <v>321</v>
      </c>
    </row>
    <row r="128" spans="1:10" ht="30" x14ac:dyDescent="0.25">
      <c r="A128" s="126" t="s">
        <v>322</v>
      </c>
      <c r="B128" s="130">
        <v>45.506916699999998</v>
      </c>
      <c r="C128" s="130">
        <v>101.0909333</v>
      </c>
      <c r="D128" s="122" t="s">
        <v>40</v>
      </c>
      <c r="E128" s="122" t="s">
        <v>262</v>
      </c>
      <c r="F128" s="122" t="s">
        <v>168</v>
      </c>
      <c r="G128" s="127">
        <v>3.2</v>
      </c>
      <c r="H128" s="127" t="s">
        <v>316</v>
      </c>
      <c r="I128" s="122" t="s">
        <v>18</v>
      </c>
      <c r="J128" s="123" t="s">
        <v>323</v>
      </c>
    </row>
    <row r="129" spans="1:10" x14ac:dyDescent="0.25">
      <c r="A129" s="126" t="s">
        <v>324</v>
      </c>
      <c r="B129" s="130">
        <v>45.720416700000001</v>
      </c>
      <c r="C129" s="130">
        <v>101.06870000000001</v>
      </c>
      <c r="D129" s="122" t="s">
        <v>40</v>
      </c>
      <c r="G129" s="127"/>
      <c r="H129" s="127"/>
      <c r="I129" s="122" t="s">
        <v>149</v>
      </c>
      <c r="J129" s="123" t="s">
        <v>296</v>
      </c>
    </row>
    <row r="130" spans="1:10" ht="30" x14ac:dyDescent="0.25">
      <c r="A130" s="126" t="s">
        <v>325</v>
      </c>
      <c r="B130" s="130">
        <v>45.7220333</v>
      </c>
      <c r="C130" s="130">
        <v>101.0643</v>
      </c>
      <c r="D130" s="122" t="s">
        <v>40</v>
      </c>
      <c r="E130" s="122" t="s">
        <v>262</v>
      </c>
      <c r="F130" s="122" t="s">
        <v>171</v>
      </c>
      <c r="G130" s="127">
        <v>2.8</v>
      </c>
      <c r="H130" s="127" t="s">
        <v>316</v>
      </c>
      <c r="I130" s="122" t="s">
        <v>14</v>
      </c>
      <c r="J130" s="123" t="s">
        <v>326</v>
      </c>
    </row>
    <row r="131" spans="1:10" ht="30" x14ac:dyDescent="0.25">
      <c r="A131" s="126" t="s">
        <v>327</v>
      </c>
      <c r="B131" s="130">
        <v>47.129016700000001</v>
      </c>
      <c r="C131" s="130">
        <v>100.94796669999999</v>
      </c>
      <c r="D131" s="122" t="s">
        <v>40</v>
      </c>
      <c r="E131" s="122" t="s">
        <v>262</v>
      </c>
      <c r="F131" s="122" t="s">
        <v>174</v>
      </c>
      <c r="G131" s="127">
        <v>3.4</v>
      </c>
      <c r="H131" s="127" t="s">
        <v>316</v>
      </c>
      <c r="I131" s="122" t="s">
        <v>213</v>
      </c>
      <c r="J131" s="123" t="s">
        <v>328</v>
      </c>
    </row>
    <row r="132" spans="1:10" ht="30" x14ac:dyDescent="0.25">
      <c r="A132" s="126" t="s">
        <v>329</v>
      </c>
      <c r="B132" s="130">
        <v>47.132033300000003</v>
      </c>
      <c r="C132" s="130">
        <v>100.9496333</v>
      </c>
      <c r="D132" s="122" t="s">
        <v>40</v>
      </c>
      <c r="E132" s="122" t="s">
        <v>262</v>
      </c>
      <c r="F132" s="122" t="s">
        <v>177</v>
      </c>
      <c r="G132" s="127">
        <v>3.4</v>
      </c>
      <c r="H132" s="127" t="s">
        <v>316</v>
      </c>
      <c r="I132" s="122" t="s">
        <v>18</v>
      </c>
      <c r="J132" s="123" t="s">
        <v>330</v>
      </c>
    </row>
    <row r="133" spans="1:10" ht="30" x14ac:dyDescent="0.25">
      <c r="A133" s="126" t="s">
        <v>331</v>
      </c>
      <c r="B133" s="130">
        <v>47.132033300000003</v>
      </c>
      <c r="C133" s="130">
        <v>100.9496333</v>
      </c>
      <c r="D133" s="122" t="s">
        <v>40</v>
      </c>
      <c r="E133" s="122" t="s">
        <v>262</v>
      </c>
      <c r="F133" s="122" t="s">
        <v>180</v>
      </c>
      <c r="G133" s="127">
        <v>4.0999999999999996</v>
      </c>
      <c r="H133" s="127" t="s">
        <v>316</v>
      </c>
      <c r="I133" s="122" t="s">
        <v>18</v>
      </c>
      <c r="J133" s="123" t="s">
        <v>332</v>
      </c>
    </row>
    <row r="134" spans="1:10" ht="45" x14ac:dyDescent="0.25">
      <c r="A134" s="126" t="s">
        <v>333</v>
      </c>
      <c r="B134" s="130">
        <v>47.133566700000003</v>
      </c>
      <c r="C134" s="130">
        <v>100.94965000000001</v>
      </c>
      <c r="D134" s="122" t="s">
        <v>40</v>
      </c>
      <c r="E134" s="122" t="s">
        <v>262</v>
      </c>
      <c r="F134" s="122" t="s">
        <v>227</v>
      </c>
      <c r="G134" s="127">
        <v>20</v>
      </c>
      <c r="H134" s="127" t="s">
        <v>316</v>
      </c>
      <c r="I134" s="122" t="s">
        <v>18</v>
      </c>
      <c r="J134" s="123" t="s">
        <v>334</v>
      </c>
    </row>
    <row r="135" spans="1:10" ht="45" x14ac:dyDescent="0.25">
      <c r="A135" s="126" t="s">
        <v>335</v>
      </c>
      <c r="B135" s="130">
        <v>47.135516699999997</v>
      </c>
      <c r="C135" s="130">
        <v>100.9491</v>
      </c>
      <c r="D135" s="122" t="s">
        <v>40</v>
      </c>
      <c r="E135" s="122" t="s">
        <v>262</v>
      </c>
      <c r="F135" s="122" t="s">
        <v>230</v>
      </c>
      <c r="G135" s="127">
        <v>3.3</v>
      </c>
      <c r="H135" s="127" t="s">
        <v>316</v>
      </c>
      <c r="I135" s="122" t="s">
        <v>22</v>
      </c>
      <c r="J135" s="123" t="s">
        <v>336</v>
      </c>
    </row>
    <row r="136" spans="1:10" ht="30" x14ac:dyDescent="0.25">
      <c r="A136" s="126" t="s">
        <v>337</v>
      </c>
      <c r="B136" s="130">
        <v>47.143633299999998</v>
      </c>
      <c r="C136" s="130">
        <v>100.9546833</v>
      </c>
      <c r="D136" s="122" t="s">
        <v>40</v>
      </c>
      <c r="E136" s="122" t="s">
        <v>262</v>
      </c>
      <c r="F136" s="122" t="s">
        <v>240</v>
      </c>
      <c r="G136" s="127">
        <v>3.2</v>
      </c>
      <c r="H136" s="127" t="s">
        <v>316</v>
      </c>
      <c r="I136" s="122" t="s">
        <v>14</v>
      </c>
      <c r="J136" s="123" t="s">
        <v>338</v>
      </c>
    </row>
    <row r="137" spans="1:10" ht="30" x14ac:dyDescent="0.25">
      <c r="A137" s="126" t="s">
        <v>339</v>
      </c>
      <c r="B137" s="130">
        <v>47.141366699999999</v>
      </c>
      <c r="C137" s="130">
        <v>100.95941670000001</v>
      </c>
      <c r="D137" s="122" t="s">
        <v>40</v>
      </c>
      <c r="E137" s="122" t="s">
        <v>262</v>
      </c>
      <c r="F137" s="122" t="s">
        <v>243</v>
      </c>
      <c r="G137" s="127">
        <v>2.8</v>
      </c>
      <c r="H137" s="127" t="s">
        <v>316</v>
      </c>
      <c r="I137" s="122" t="s">
        <v>14</v>
      </c>
      <c r="J137" s="123" t="s">
        <v>340</v>
      </c>
    </row>
    <row r="138" spans="1:10" ht="45" x14ac:dyDescent="0.25">
      <c r="A138" s="126" t="s">
        <v>341</v>
      </c>
      <c r="B138" s="130">
        <v>47.204633299999998</v>
      </c>
      <c r="C138" s="130">
        <v>101.0442333</v>
      </c>
      <c r="D138" s="122" t="s">
        <v>40</v>
      </c>
      <c r="E138" s="122" t="s">
        <v>262</v>
      </c>
      <c r="F138" s="122" t="s">
        <v>246</v>
      </c>
      <c r="G138" s="127">
        <v>4</v>
      </c>
      <c r="H138" s="127" t="s">
        <v>316</v>
      </c>
      <c r="I138" s="122" t="s">
        <v>60</v>
      </c>
      <c r="J138" s="123" t="s">
        <v>342</v>
      </c>
    </row>
    <row r="139" spans="1:10" ht="45" x14ac:dyDescent="0.25">
      <c r="A139" s="126" t="s">
        <v>343</v>
      </c>
      <c r="B139" s="130">
        <v>47.2973</v>
      </c>
      <c r="C139" s="130">
        <v>101.1251</v>
      </c>
      <c r="D139" s="122" t="s">
        <v>40</v>
      </c>
      <c r="E139" s="122" t="s">
        <v>262</v>
      </c>
      <c r="F139" s="122" t="s">
        <v>183</v>
      </c>
      <c r="G139" s="127">
        <v>3.1</v>
      </c>
      <c r="H139" s="127" t="s">
        <v>316</v>
      </c>
      <c r="I139" s="122" t="s">
        <v>14</v>
      </c>
      <c r="J139" s="123" t="s">
        <v>344</v>
      </c>
    </row>
    <row r="140" spans="1:10" x14ac:dyDescent="0.25">
      <c r="A140" s="126" t="s">
        <v>345</v>
      </c>
      <c r="B140" s="130">
        <v>47.2896</v>
      </c>
      <c r="C140" s="130">
        <v>101.1264</v>
      </c>
      <c r="D140" s="122" t="s">
        <v>40</v>
      </c>
      <c r="G140" s="127"/>
      <c r="H140" s="127"/>
      <c r="I140" s="122" t="s">
        <v>149</v>
      </c>
      <c r="J140" s="123" t="s">
        <v>296</v>
      </c>
    </row>
    <row r="141" spans="1:10" ht="45" x14ac:dyDescent="0.25">
      <c r="A141" s="126" t="s">
        <v>346</v>
      </c>
      <c r="B141" s="130">
        <v>47.290177</v>
      </c>
      <c r="C141" s="130">
        <v>101.126367</v>
      </c>
      <c r="D141" s="122" t="s">
        <v>40</v>
      </c>
      <c r="E141" s="122" t="s">
        <v>262</v>
      </c>
      <c r="F141" s="122" t="s">
        <v>186</v>
      </c>
      <c r="G141" s="127">
        <v>29.7</v>
      </c>
      <c r="H141" s="127" t="s">
        <v>347</v>
      </c>
      <c r="I141" s="122" t="s">
        <v>18</v>
      </c>
      <c r="J141" s="123" t="s">
        <v>348</v>
      </c>
    </row>
    <row r="142" spans="1:10" ht="30" x14ac:dyDescent="0.25">
      <c r="A142" s="126" t="s">
        <v>349</v>
      </c>
      <c r="B142" s="130">
        <v>47.346299999999999</v>
      </c>
      <c r="C142" s="130">
        <v>101.77760000000001</v>
      </c>
      <c r="D142" s="122" t="s">
        <v>40</v>
      </c>
      <c r="E142" s="122" t="s">
        <v>262</v>
      </c>
      <c r="F142" s="122" t="s">
        <v>220</v>
      </c>
      <c r="G142" s="127">
        <v>8</v>
      </c>
      <c r="H142" s="127" t="s">
        <v>316</v>
      </c>
      <c r="I142" s="122" t="s">
        <v>60</v>
      </c>
      <c r="J142" s="123" t="s">
        <v>350</v>
      </c>
    </row>
    <row r="143" spans="1:10" ht="30" x14ac:dyDescent="0.25">
      <c r="A143" s="126" t="s">
        <v>351</v>
      </c>
      <c r="B143" s="130">
        <v>47.350549999999998</v>
      </c>
      <c r="C143" s="130">
        <v>101.77</v>
      </c>
      <c r="D143" s="122" t="s">
        <v>40</v>
      </c>
      <c r="E143" s="122" t="s">
        <v>262</v>
      </c>
      <c r="F143" s="122" t="s">
        <v>253</v>
      </c>
      <c r="G143" s="127">
        <v>10.4</v>
      </c>
      <c r="H143" s="127" t="s">
        <v>316</v>
      </c>
      <c r="I143" s="122" t="s">
        <v>14</v>
      </c>
      <c r="J143" s="123" t="s">
        <v>352</v>
      </c>
    </row>
    <row r="144" spans="1:10" ht="30" x14ac:dyDescent="0.25">
      <c r="A144" s="126" t="s">
        <v>353</v>
      </c>
      <c r="B144" s="130">
        <v>47.3513667</v>
      </c>
      <c r="C144" s="130">
        <v>101.7785167</v>
      </c>
      <c r="D144" s="122" t="s">
        <v>40</v>
      </c>
      <c r="E144" s="122" t="s">
        <v>262</v>
      </c>
      <c r="F144" s="122" t="s">
        <v>354</v>
      </c>
      <c r="G144" s="127">
        <v>7</v>
      </c>
      <c r="H144" s="127" t="s">
        <v>316</v>
      </c>
      <c r="I144" s="122" t="s">
        <v>60</v>
      </c>
      <c r="J144" s="123" t="s">
        <v>355</v>
      </c>
    </row>
    <row r="145" spans="1:10" ht="30" x14ac:dyDescent="0.25">
      <c r="A145" s="126" t="s">
        <v>356</v>
      </c>
      <c r="B145" s="130">
        <v>47.351283299999999</v>
      </c>
      <c r="C145" s="130">
        <v>101.7794</v>
      </c>
      <c r="D145" s="122" t="s">
        <v>40</v>
      </c>
      <c r="E145" s="122" t="s">
        <v>262</v>
      </c>
      <c r="F145" s="122" t="s">
        <v>357</v>
      </c>
      <c r="G145" s="127">
        <v>5</v>
      </c>
      <c r="H145" s="127" t="s">
        <v>316</v>
      </c>
      <c r="I145" s="122" t="s">
        <v>27</v>
      </c>
      <c r="J145" s="123" t="s">
        <v>358</v>
      </c>
    </row>
    <row r="146" spans="1:10" ht="30" x14ac:dyDescent="0.25">
      <c r="A146" s="126" t="s">
        <v>359</v>
      </c>
      <c r="B146" s="130">
        <v>47.344799999999999</v>
      </c>
      <c r="C146" s="130">
        <v>101.77630000000001</v>
      </c>
      <c r="D146" s="122" t="s">
        <v>40</v>
      </c>
      <c r="E146" s="122" t="s">
        <v>262</v>
      </c>
      <c r="F146" s="122" t="s">
        <v>360</v>
      </c>
      <c r="G146" s="127">
        <v>6.7</v>
      </c>
      <c r="H146" s="127" t="s">
        <v>316</v>
      </c>
      <c r="I146" s="122" t="s">
        <v>14</v>
      </c>
      <c r="J146" s="123" t="s">
        <v>361</v>
      </c>
    </row>
    <row r="147" spans="1:10" x14ac:dyDescent="0.25">
      <c r="A147" s="126" t="s">
        <v>362</v>
      </c>
      <c r="B147" s="130">
        <v>47.448366700000001</v>
      </c>
      <c r="C147" s="130">
        <v>102.10773330000001</v>
      </c>
      <c r="D147" s="122" t="s">
        <v>40</v>
      </c>
      <c r="E147" s="122" t="s">
        <v>262</v>
      </c>
      <c r="F147" s="122" t="s">
        <v>363</v>
      </c>
      <c r="G147" s="127">
        <v>6</v>
      </c>
      <c r="H147" s="127" t="s">
        <v>316</v>
      </c>
      <c r="I147" s="122" t="s">
        <v>14</v>
      </c>
      <c r="J147" s="123" t="s">
        <v>364</v>
      </c>
    </row>
    <row r="148" spans="1:10" ht="45" x14ac:dyDescent="0.25">
      <c r="A148" s="126" t="s">
        <v>365</v>
      </c>
      <c r="B148" s="130">
        <v>47.83605</v>
      </c>
      <c r="C148" s="130">
        <v>102.9598833</v>
      </c>
      <c r="D148" s="122" t="s">
        <v>40</v>
      </c>
      <c r="E148" s="122" t="s">
        <v>262</v>
      </c>
      <c r="F148" s="122" t="s">
        <v>366</v>
      </c>
      <c r="G148" s="127">
        <v>8</v>
      </c>
      <c r="H148" s="127" t="s">
        <v>316</v>
      </c>
      <c r="I148" s="122" t="s">
        <v>18</v>
      </c>
      <c r="J148" s="123" t="s">
        <v>367</v>
      </c>
    </row>
    <row r="149" spans="1:10" ht="30" x14ac:dyDescent="0.25">
      <c r="A149" s="126" t="s">
        <v>368</v>
      </c>
      <c r="B149" s="130">
        <v>47.83605</v>
      </c>
      <c r="C149" s="130">
        <v>102.9598833</v>
      </c>
      <c r="D149" s="122" t="s">
        <v>40</v>
      </c>
      <c r="E149" s="122" t="s">
        <v>262</v>
      </c>
      <c r="F149" s="122" t="s">
        <v>369</v>
      </c>
      <c r="G149" s="127">
        <v>6.8</v>
      </c>
      <c r="H149" s="127" t="s">
        <v>316</v>
      </c>
      <c r="I149" s="122" t="s">
        <v>18</v>
      </c>
      <c r="J149" s="123" t="s">
        <v>370</v>
      </c>
    </row>
    <row r="150" spans="1:10" ht="30" x14ac:dyDescent="0.25">
      <c r="A150" s="126" t="s">
        <v>371</v>
      </c>
      <c r="B150" s="130">
        <v>47.878066699999998</v>
      </c>
      <c r="C150" s="130">
        <v>103.0669</v>
      </c>
      <c r="D150" s="122" t="s">
        <v>40</v>
      </c>
      <c r="E150" s="122" t="s">
        <v>256</v>
      </c>
      <c r="F150" s="122" t="s">
        <v>372</v>
      </c>
      <c r="G150" s="127">
        <v>5</v>
      </c>
      <c r="H150" s="127" t="s">
        <v>316</v>
      </c>
      <c r="I150" s="122" t="s">
        <v>18</v>
      </c>
      <c r="J150" s="123" t="s">
        <v>373</v>
      </c>
    </row>
    <row r="151" spans="1:10" x14ac:dyDescent="0.25">
      <c r="A151" s="126" t="s">
        <v>374</v>
      </c>
      <c r="B151" s="130">
        <v>46.306649999999998</v>
      </c>
      <c r="C151" s="130">
        <v>99.126383300000001</v>
      </c>
      <c r="D151" s="122" t="s">
        <v>40</v>
      </c>
      <c r="E151" s="122" t="s">
        <v>83</v>
      </c>
      <c r="F151" s="122" t="s">
        <v>354</v>
      </c>
      <c r="G151" s="127">
        <v>3.3</v>
      </c>
      <c r="H151" s="127" t="s">
        <v>13</v>
      </c>
      <c r="I151" s="122" t="s">
        <v>27</v>
      </c>
      <c r="J151" s="123" t="s">
        <v>375</v>
      </c>
    </row>
    <row r="152" spans="1:10" ht="45" x14ac:dyDescent="0.25">
      <c r="A152" s="126" t="s">
        <v>376</v>
      </c>
      <c r="B152" s="130">
        <v>46.315449999999998</v>
      </c>
      <c r="C152" s="130">
        <v>98.839699999999993</v>
      </c>
      <c r="D152" s="122" t="s">
        <v>40</v>
      </c>
      <c r="E152" s="122" t="s">
        <v>11</v>
      </c>
      <c r="F152" s="122" t="s">
        <v>149</v>
      </c>
      <c r="G152" s="127">
        <v>20.56</v>
      </c>
      <c r="H152" s="127" t="s">
        <v>13</v>
      </c>
      <c r="I152" s="122" t="s">
        <v>213</v>
      </c>
      <c r="J152" s="123" t="s">
        <v>377</v>
      </c>
    </row>
    <row r="153" spans="1:10" ht="30" x14ac:dyDescent="0.25">
      <c r="A153" s="126" t="s">
        <v>378</v>
      </c>
      <c r="B153" s="130">
        <v>46.315449999999998</v>
      </c>
      <c r="C153" s="130">
        <v>98.839699999999993</v>
      </c>
      <c r="D153" s="122" t="s">
        <v>40</v>
      </c>
      <c r="E153" s="122" t="s">
        <v>11</v>
      </c>
      <c r="F153" s="122" t="s">
        <v>162</v>
      </c>
      <c r="G153" s="127">
        <v>3.4</v>
      </c>
      <c r="H153" s="127" t="s">
        <v>13</v>
      </c>
      <c r="I153" s="122" t="s">
        <v>34</v>
      </c>
      <c r="J153" s="123" t="s">
        <v>379</v>
      </c>
    </row>
    <row r="154" spans="1:10" ht="30" x14ac:dyDescent="0.25">
      <c r="A154" s="126" t="s">
        <v>380</v>
      </c>
      <c r="B154" s="130">
        <v>46.315449999999998</v>
      </c>
      <c r="C154" s="130">
        <v>98.839699999999993</v>
      </c>
      <c r="D154" s="122" t="s">
        <v>40</v>
      </c>
      <c r="E154" s="122" t="s">
        <v>83</v>
      </c>
      <c r="F154" s="122" t="s">
        <v>357</v>
      </c>
      <c r="G154" s="127">
        <v>3.44</v>
      </c>
      <c r="H154" s="127" t="s">
        <v>13</v>
      </c>
      <c r="I154" s="122" t="s">
        <v>34</v>
      </c>
      <c r="J154" s="123" t="s">
        <v>379</v>
      </c>
    </row>
    <row r="155" spans="1:10" ht="45" x14ac:dyDescent="0.25">
      <c r="A155" s="126" t="s">
        <v>381</v>
      </c>
      <c r="B155" s="130">
        <v>46.696183300000001</v>
      </c>
      <c r="C155" s="130">
        <v>96.529333300000005</v>
      </c>
      <c r="D155" s="122" t="s">
        <v>40</v>
      </c>
      <c r="E155" s="122" t="s">
        <v>11</v>
      </c>
      <c r="F155" s="122" t="s">
        <v>243</v>
      </c>
      <c r="G155" s="127">
        <v>1.41</v>
      </c>
      <c r="H155" s="127" t="s">
        <v>13</v>
      </c>
      <c r="I155" s="122" t="s">
        <v>14</v>
      </c>
      <c r="J155" s="123" t="s">
        <v>382</v>
      </c>
    </row>
    <row r="156" spans="1:10" ht="30" x14ac:dyDescent="0.25">
      <c r="A156" s="126" t="s">
        <v>383</v>
      </c>
      <c r="B156" s="130">
        <v>46.699466700000002</v>
      </c>
      <c r="C156" s="130">
        <v>96.524666699999997</v>
      </c>
      <c r="D156" s="122" t="s">
        <v>40</v>
      </c>
      <c r="E156" s="122" t="s">
        <v>11</v>
      </c>
      <c r="F156" s="122" t="s">
        <v>384</v>
      </c>
      <c r="G156" s="127">
        <v>28.62</v>
      </c>
      <c r="H156" s="127" t="s">
        <v>13</v>
      </c>
      <c r="I156" s="122" t="s">
        <v>214</v>
      </c>
      <c r="J156" s="123" t="s">
        <v>385</v>
      </c>
    </row>
    <row r="157" spans="1:10" ht="45" x14ac:dyDescent="0.25">
      <c r="A157" s="126" t="s">
        <v>386</v>
      </c>
      <c r="B157" s="130">
        <v>46.708449999999999</v>
      </c>
      <c r="C157" s="130">
        <v>96.546683299999998</v>
      </c>
      <c r="D157" s="122" t="s">
        <v>40</v>
      </c>
      <c r="E157" s="122" t="s">
        <v>83</v>
      </c>
      <c r="F157" s="122" t="s">
        <v>360</v>
      </c>
      <c r="G157" s="127">
        <v>3.52</v>
      </c>
      <c r="H157" s="127" t="s">
        <v>13</v>
      </c>
      <c r="I157" s="122" t="s">
        <v>14</v>
      </c>
      <c r="J157" s="123" t="s">
        <v>387</v>
      </c>
    </row>
    <row r="158" spans="1:10" x14ac:dyDescent="0.25">
      <c r="A158" s="126" t="s">
        <v>388</v>
      </c>
      <c r="B158" s="130">
        <v>46.708449999999999</v>
      </c>
      <c r="C158" s="130">
        <v>96.546683299999998</v>
      </c>
      <c r="D158" s="122" t="s">
        <v>40</v>
      </c>
      <c r="E158" s="122" t="s">
        <v>11</v>
      </c>
      <c r="F158" s="122" t="s">
        <v>246</v>
      </c>
      <c r="G158" s="127">
        <v>2.4900000000000002</v>
      </c>
      <c r="H158" s="127" t="s">
        <v>13</v>
      </c>
      <c r="I158" s="122" t="s">
        <v>14</v>
      </c>
      <c r="J158" s="123" t="s">
        <v>389</v>
      </c>
    </row>
    <row r="159" spans="1:10" x14ac:dyDescent="0.25">
      <c r="A159" s="126" t="s">
        <v>390</v>
      </c>
      <c r="B159" s="130">
        <v>46.372777999999997</v>
      </c>
      <c r="C159" s="130">
        <v>96.257221999999999</v>
      </c>
      <c r="D159" s="122" t="s">
        <v>391</v>
      </c>
      <c r="G159" s="127"/>
      <c r="H159" s="127"/>
    </row>
    <row r="160" spans="1:10" x14ac:dyDescent="0.25">
      <c r="A160" s="126" t="s">
        <v>392</v>
      </c>
      <c r="B160" s="130">
        <v>46.306649999999998</v>
      </c>
      <c r="C160" s="130">
        <v>99.126383300000001</v>
      </c>
      <c r="D160" s="122" t="s">
        <v>40</v>
      </c>
      <c r="E160" s="122" t="s">
        <v>11</v>
      </c>
      <c r="F160" s="122" t="s">
        <v>240</v>
      </c>
      <c r="G160" s="127">
        <v>2.35</v>
      </c>
      <c r="H160" s="127" t="s">
        <v>13</v>
      </c>
      <c r="I160" s="122" t="s">
        <v>27</v>
      </c>
      <c r="J160" s="123" t="s">
        <v>375</v>
      </c>
    </row>
    <row r="161" spans="1:10" ht="30" x14ac:dyDescent="0.2">
      <c r="A161" s="129" t="s">
        <v>393</v>
      </c>
      <c r="B161" s="131">
        <v>47.8774333</v>
      </c>
      <c r="C161" s="131">
        <v>103.8233333</v>
      </c>
      <c r="D161" s="129" t="s">
        <v>394</v>
      </c>
      <c r="E161" s="122" t="s">
        <v>395</v>
      </c>
      <c r="F161" s="122" t="s">
        <v>396</v>
      </c>
      <c r="G161" s="122">
        <v>3.19</v>
      </c>
      <c r="H161" s="122" t="s">
        <v>13</v>
      </c>
      <c r="I161" s="122" t="s">
        <v>18</v>
      </c>
      <c r="J161" s="123" t="s">
        <v>397</v>
      </c>
    </row>
    <row r="162" spans="1:10" ht="30" x14ac:dyDescent="0.2">
      <c r="A162" s="129" t="s">
        <v>398</v>
      </c>
      <c r="B162" s="131">
        <v>48.860183300000003</v>
      </c>
      <c r="C162" s="131">
        <v>101.7553667</v>
      </c>
      <c r="D162" s="129" t="s">
        <v>394</v>
      </c>
      <c r="E162" s="122" t="s">
        <v>395</v>
      </c>
      <c r="F162" s="122" t="s">
        <v>399</v>
      </c>
      <c r="G162" s="122">
        <v>5.81</v>
      </c>
      <c r="H162" s="122" t="s">
        <v>13</v>
      </c>
      <c r="I162" s="122" t="s">
        <v>22</v>
      </c>
      <c r="J162" s="123" t="s">
        <v>400</v>
      </c>
    </row>
    <row r="163" spans="1:10" ht="30" x14ac:dyDescent="0.2">
      <c r="A163" s="129" t="s">
        <v>401</v>
      </c>
      <c r="B163" s="131">
        <v>48.860183300000003</v>
      </c>
      <c r="C163" s="131">
        <v>101.7553667</v>
      </c>
      <c r="D163" s="129" t="s">
        <v>394</v>
      </c>
      <c r="E163" s="122" t="s">
        <v>395</v>
      </c>
      <c r="F163" s="122" t="s">
        <v>402</v>
      </c>
      <c r="G163" s="122">
        <v>4.37</v>
      </c>
      <c r="H163" s="122" t="s">
        <v>13</v>
      </c>
      <c r="I163" s="122" t="s">
        <v>213</v>
      </c>
      <c r="J163" s="123" t="s">
        <v>403</v>
      </c>
    </row>
    <row r="164" spans="1:10" ht="30" x14ac:dyDescent="0.2">
      <c r="A164" s="129" t="s">
        <v>404</v>
      </c>
      <c r="B164" s="131">
        <v>48.860033299999998</v>
      </c>
      <c r="C164" s="131">
        <v>101.7547833</v>
      </c>
      <c r="D164" s="129" t="s">
        <v>394</v>
      </c>
      <c r="E164" s="122" t="s">
        <v>395</v>
      </c>
      <c r="F164" s="122" t="s">
        <v>405</v>
      </c>
      <c r="G164" s="122">
        <v>2.64</v>
      </c>
      <c r="H164" s="122" t="s">
        <v>13</v>
      </c>
      <c r="I164" s="122" t="s">
        <v>18</v>
      </c>
      <c r="J164" s="123" t="s">
        <v>406</v>
      </c>
    </row>
    <row r="165" spans="1:10" ht="30" x14ac:dyDescent="0.2">
      <c r="A165" s="129" t="s">
        <v>407</v>
      </c>
      <c r="B165" s="131">
        <v>48.859566700000002</v>
      </c>
      <c r="C165" s="131">
        <v>101.75369999999999</v>
      </c>
      <c r="D165" s="129" t="s">
        <v>394</v>
      </c>
      <c r="E165" s="122" t="s">
        <v>395</v>
      </c>
      <c r="F165" s="122" t="s">
        <v>408</v>
      </c>
      <c r="G165" s="122">
        <v>3.37</v>
      </c>
      <c r="H165" s="122" t="s">
        <v>13</v>
      </c>
      <c r="I165" s="122" t="s">
        <v>22</v>
      </c>
      <c r="J165" s="123" t="s">
        <v>409</v>
      </c>
    </row>
    <row r="166" spans="1:10" ht="30" x14ac:dyDescent="0.2">
      <c r="A166" s="129" t="s">
        <v>410</v>
      </c>
      <c r="B166" s="131">
        <v>48.859349999999999</v>
      </c>
      <c r="C166" s="131">
        <v>101.7533667</v>
      </c>
      <c r="D166" s="129" t="s">
        <v>394</v>
      </c>
      <c r="E166" s="122" t="s">
        <v>395</v>
      </c>
      <c r="F166" s="122" t="s">
        <v>411</v>
      </c>
      <c r="G166" s="122">
        <v>4.0190000000000001</v>
      </c>
      <c r="H166" s="122" t="s">
        <v>13</v>
      </c>
      <c r="I166" s="122" t="s">
        <v>18</v>
      </c>
      <c r="J166" s="123" t="s">
        <v>412</v>
      </c>
    </row>
    <row r="167" spans="1:10" ht="30" x14ac:dyDescent="0.2">
      <c r="A167" s="129" t="s">
        <v>413</v>
      </c>
      <c r="B167" s="131">
        <v>48.859200000000001</v>
      </c>
      <c r="C167" s="131">
        <v>101.75285</v>
      </c>
      <c r="D167" s="129" t="s">
        <v>394</v>
      </c>
      <c r="E167" s="122" t="s">
        <v>395</v>
      </c>
      <c r="F167" s="122" t="s">
        <v>414</v>
      </c>
      <c r="G167" s="122">
        <v>3</v>
      </c>
      <c r="H167" s="122" t="s">
        <v>13</v>
      </c>
      <c r="I167" s="122" t="s">
        <v>18</v>
      </c>
      <c r="J167" s="123" t="s">
        <v>415</v>
      </c>
    </row>
    <row r="168" spans="1:10" ht="30" x14ac:dyDescent="0.2">
      <c r="A168" s="129" t="s">
        <v>416</v>
      </c>
      <c r="B168" s="131">
        <v>48.828483300000002</v>
      </c>
      <c r="C168" s="131">
        <v>101.74881670000001</v>
      </c>
      <c r="D168" s="129" t="s">
        <v>394</v>
      </c>
      <c r="E168" s="122" t="s">
        <v>395</v>
      </c>
      <c r="F168" s="122" t="s">
        <v>417</v>
      </c>
      <c r="G168" s="122">
        <v>4.07</v>
      </c>
      <c r="H168" s="122" t="s">
        <v>13</v>
      </c>
      <c r="I168" s="122" t="s">
        <v>60</v>
      </c>
      <c r="J168" s="123" t="s">
        <v>418</v>
      </c>
    </row>
    <row r="169" spans="1:10" ht="30" x14ac:dyDescent="0.2">
      <c r="A169" s="129" t="s">
        <v>419</v>
      </c>
      <c r="B169" s="131">
        <v>48.685966700000002</v>
      </c>
      <c r="C169" s="131">
        <v>102.74246669999999</v>
      </c>
      <c r="D169" s="129" t="s">
        <v>394</v>
      </c>
      <c r="E169" s="122" t="s">
        <v>395</v>
      </c>
      <c r="F169" s="122" t="s">
        <v>420</v>
      </c>
      <c r="G169" s="122">
        <v>16.260000000000002</v>
      </c>
      <c r="H169" s="122" t="s">
        <v>13</v>
      </c>
      <c r="I169" s="122" t="s">
        <v>27</v>
      </c>
      <c r="J169" s="123" t="s">
        <v>421</v>
      </c>
    </row>
    <row r="170" spans="1:10" x14ac:dyDescent="0.2">
      <c r="A170" s="129" t="s">
        <v>422</v>
      </c>
      <c r="B170" s="131">
        <v>48.629733299999998</v>
      </c>
      <c r="C170" s="131">
        <v>102.8668833</v>
      </c>
      <c r="D170" s="129" t="s">
        <v>394</v>
      </c>
      <c r="E170" s="122" t="s">
        <v>395</v>
      </c>
      <c r="F170" s="122" t="s">
        <v>423</v>
      </c>
      <c r="G170" s="122">
        <v>3.35</v>
      </c>
      <c r="H170" s="122" t="s">
        <v>13</v>
      </c>
      <c r="I170" s="122" t="s">
        <v>27</v>
      </c>
      <c r="J170" s="123" t="s">
        <v>424</v>
      </c>
    </row>
    <row r="171" spans="1:10" ht="30" x14ac:dyDescent="0.2">
      <c r="A171" s="129" t="s">
        <v>425</v>
      </c>
      <c r="B171" s="131">
        <v>48.629733299999998</v>
      </c>
      <c r="C171" s="131">
        <v>102.8653333</v>
      </c>
      <c r="D171" s="129" t="s">
        <v>394</v>
      </c>
      <c r="E171" s="122" t="s">
        <v>395</v>
      </c>
      <c r="F171" s="122" t="s">
        <v>426</v>
      </c>
      <c r="G171" s="122">
        <v>1.51</v>
      </c>
      <c r="H171" s="122" t="s">
        <v>13</v>
      </c>
      <c r="I171" s="122" t="s">
        <v>60</v>
      </c>
      <c r="J171" s="123" t="s">
        <v>427</v>
      </c>
    </row>
    <row r="172" spans="1:10" x14ac:dyDescent="0.2">
      <c r="A172" s="129" t="s">
        <v>428</v>
      </c>
      <c r="B172" s="131">
        <v>48.630333299999997</v>
      </c>
      <c r="C172" s="131">
        <v>102.8646</v>
      </c>
      <c r="D172" s="129" t="s">
        <v>394</v>
      </c>
    </row>
    <row r="173" spans="1:10" ht="45" x14ac:dyDescent="0.2">
      <c r="A173" s="129" t="s">
        <v>429</v>
      </c>
      <c r="B173" s="131">
        <v>48.630716700000001</v>
      </c>
      <c r="C173" s="131">
        <v>102.86453330000001</v>
      </c>
      <c r="D173" s="129" t="s">
        <v>394</v>
      </c>
      <c r="E173" s="122" t="s">
        <v>395</v>
      </c>
      <c r="F173" s="122" t="s">
        <v>430</v>
      </c>
      <c r="G173" s="122">
        <v>5.31</v>
      </c>
      <c r="H173" s="122" t="s">
        <v>13</v>
      </c>
      <c r="I173" s="122" t="s">
        <v>22</v>
      </c>
      <c r="J173" s="123" t="s">
        <v>431</v>
      </c>
    </row>
    <row r="174" spans="1:10" ht="30" x14ac:dyDescent="0.2">
      <c r="A174" s="129" t="s">
        <v>432</v>
      </c>
      <c r="B174" s="131">
        <v>48.665799999999997</v>
      </c>
      <c r="C174" s="131">
        <v>102.7594</v>
      </c>
      <c r="D174" s="129" t="s">
        <v>394</v>
      </c>
      <c r="H174" s="122" t="s">
        <v>13</v>
      </c>
      <c r="I174" s="122" t="s">
        <v>149</v>
      </c>
      <c r="J174" s="123" t="s">
        <v>433</v>
      </c>
    </row>
    <row r="175" spans="1:10" ht="30" x14ac:dyDescent="0.2">
      <c r="A175" s="129" t="s">
        <v>434</v>
      </c>
      <c r="B175" s="131">
        <v>48.927199999999999</v>
      </c>
      <c r="C175" s="131">
        <v>102.75203329999999</v>
      </c>
      <c r="D175" s="129" t="s">
        <v>394</v>
      </c>
      <c r="E175" s="122" t="s">
        <v>11</v>
      </c>
      <c r="F175" s="122" t="s">
        <v>435</v>
      </c>
      <c r="G175" s="122">
        <v>2.16</v>
      </c>
      <c r="H175" s="122" t="s">
        <v>13</v>
      </c>
      <c r="I175" s="122" t="s">
        <v>14</v>
      </c>
      <c r="J175" s="123" t="s">
        <v>436</v>
      </c>
    </row>
    <row r="176" spans="1:10" x14ac:dyDescent="0.2">
      <c r="A176" s="129" t="s">
        <v>437</v>
      </c>
      <c r="B176" s="131">
        <v>48.997199999999999</v>
      </c>
      <c r="C176" s="131">
        <v>102.73816669999999</v>
      </c>
      <c r="D176" s="129" t="s">
        <v>394</v>
      </c>
      <c r="E176" s="122" t="s">
        <v>395</v>
      </c>
      <c r="F176" s="122" t="s">
        <v>438</v>
      </c>
      <c r="G176" s="122">
        <v>22.53</v>
      </c>
      <c r="H176" s="122" t="s">
        <v>13</v>
      </c>
      <c r="I176" s="122" t="s">
        <v>34</v>
      </c>
      <c r="J176" s="123" t="s">
        <v>439</v>
      </c>
    </row>
    <row r="177" spans="1:10" ht="30" x14ac:dyDescent="0.2">
      <c r="A177" s="129" t="s">
        <v>440</v>
      </c>
      <c r="B177" s="131">
        <v>49.322083300000003</v>
      </c>
      <c r="C177" s="131">
        <v>103.07825</v>
      </c>
      <c r="D177" s="129" t="s">
        <v>394</v>
      </c>
      <c r="E177" s="122" t="s">
        <v>395</v>
      </c>
      <c r="F177" s="122" t="s">
        <v>441</v>
      </c>
      <c r="G177" s="122">
        <v>2.56</v>
      </c>
      <c r="H177" s="122" t="s">
        <v>13</v>
      </c>
      <c r="I177" s="122" t="s">
        <v>18</v>
      </c>
      <c r="J177" s="123" t="s">
        <v>442</v>
      </c>
    </row>
    <row r="178" spans="1:10" ht="30" x14ac:dyDescent="0.2">
      <c r="A178" s="129" t="s">
        <v>443</v>
      </c>
      <c r="B178" s="131">
        <v>49.321466700000002</v>
      </c>
      <c r="C178" s="131">
        <v>103.07845</v>
      </c>
      <c r="D178" s="129" t="s">
        <v>394</v>
      </c>
      <c r="E178" s="122" t="s">
        <v>395</v>
      </c>
      <c r="F178" s="122" t="s">
        <v>444</v>
      </c>
      <c r="G178" s="122">
        <v>20.309999999999999</v>
      </c>
      <c r="H178" s="122" t="s">
        <v>13</v>
      </c>
      <c r="I178" s="122" t="s">
        <v>18</v>
      </c>
      <c r="J178" s="123" t="s">
        <v>445</v>
      </c>
    </row>
    <row r="179" spans="1:10" x14ac:dyDescent="0.2">
      <c r="A179" s="129" t="s">
        <v>446</v>
      </c>
      <c r="B179" s="131">
        <v>49.320916699999998</v>
      </c>
      <c r="C179" s="131">
        <v>103.0779167</v>
      </c>
      <c r="D179" s="129" t="s">
        <v>394</v>
      </c>
      <c r="E179" s="122" t="s">
        <v>395</v>
      </c>
      <c r="F179" s="122" t="s">
        <v>447</v>
      </c>
      <c r="G179" s="122">
        <v>4.1900000000000004</v>
      </c>
      <c r="H179" s="122" t="s">
        <v>13</v>
      </c>
      <c r="I179" s="122" t="s">
        <v>18</v>
      </c>
      <c r="J179" s="123" t="s">
        <v>448</v>
      </c>
    </row>
    <row r="180" spans="1:10" x14ac:dyDescent="0.2">
      <c r="A180" s="129" t="s">
        <v>449</v>
      </c>
      <c r="B180" s="131">
        <v>49.320416700000003</v>
      </c>
      <c r="C180" s="131">
        <v>103.0770833</v>
      </c>
      <c r="D180" s="129" t="s">
        <v>394</v>
      </c>
      <c r="E180" s="122" t="s">
        <v>395</v>
      </c>
      <c r="F180" s="122" t="s">
        <v>450</v>
      </c>
      <c r="G180" s="122">
        <v>4.1900000000000004</v>
      </c>
      <c r="H180" s="122" t="s">
        <v>13</v>
      </c>
      <c r="I180" s="122" t="s">
        <v>60</v>
      </c>
      <c r="J180" s="123" t="s">
        <v>451</v>
      </c>
    </row>
    <row r="181" spans="1:10" x14ac:dyDescent="0.2">
      <c r="A181" s="129" t="s">
        <v>452</v>
      </c>
      <c r="B181" s="131">
        <v>50.786777800000003</v>
      </c>
      <c r="C181" s="131">
        <v>100.5319722</v>
      </c>
      <c r="D181" s="129" t="s">
        <v>394</v>
      </c>
    </row>
    <row r="182" spans="1:10" ht="30" x14ac:dyDescent="0.2">
      <c r="A182" s="129" t="s">
        <v>453</v>
      </c>
      <c r="B182" s="131">
        <v>50.787027799999997</v>
      </c>
      <c r="C182" s="131">
        <v>100.5323889</v>
      </c>
      <c r="D182" s="129" t="s">
        <v>394</v>
      </c>
      <c r="E182" s="122" t="s">
        <v>11</v>
      </c>
      <c r="F182" s="122" t="s">
        <v>454</v>
      </c>
      <c r="G182" s="122">
        <v>2.57</v>
      </c>
      <c r="H182" s="122" t="s">
        <v>13</v>
      </c>
      <c r="I182" s="122" t="s">
        <v>27</v>
      </c>
      <c r="J182" s="123" t="s">
        <v>455</v>
      </c>
    </row>
    <row r="183" spans="1:10" ht="30" x14ac:dyDescent="0.2">
      <c r="A183" s="129" t="s">
        <v>456</v>
      </c>
      <c r="B183" s="131">
        <v>50.787300000000002</v>
      </c>
      <c r="C183" s="131">
        <v>100.53319999999999</v>
      </c>
      <c r="D183" s="129" t="s">
        <v>394</v>
      </c>
      <c r="E183" s="122" t="s">
        <v>395</v>
      </c>
      <c r="F183" s="122" t="s">
        <v>457</v>
      </c>
      <c r="G183" s="122">
        <v>3.19</v>
      </c>
      <c r="H183" s="122" t="s">
        <v>13</v>
      </c>
      <c r="I183" s="122" t="s">
        <v>14</v>
      </c>
      <c r="J183" s="123" t="s">
        <v>458</v>
      </c>
    </row>
    <row r="184" spans="1:10" ht="30" x14ac:dyDescent="0.2">
      <c r="A184" s="129" t="s">
        <v>459</v>
      </c>
      <c r="B184" s="131">
        <v>51.216250000000002</v>
      </c>
      <c r="C184" s="131">
        <v>100.75735</v>
      </c>
      <c r="D184" s="129" t="s">
        <v>394</v>
      </c>
      <c r="E184" s="122" t="s">
        <v>11</v>
      </c>
      <c r="F184" s="122" t="s">
        <v>460</v>
      </c>
      <c r="G184" s="122">
        <v>2.3199999999999998</v>
      </c>
      <c r="H184" s="122" t="s">
        <v>13</v>
      </c>
      <c r="I184" s="122" t="s">
        <v>18</v>
      </c>
      <c r="J184" s="123" t="s">
        <v>461</v>
      </c>
    </row>
    <row r="185" spans="1:10" ht="30" x14ac:dyDescent="0.2">
      <c r="A185" s="129" t="s">
        <v>462</v>
      </c>
      <c r="B185" s="131">
        <v>51.2166833</v>
      </c>
      <c r="C185" s="131">
        <v>100.76063329999999</v>
      </c>
      <c r="D185" s="129" t="s">
        <v>394</v>
      </c>
      <c r="E185" s="122" t="s">
        <v>395</v>
      </c>
      <c r="F185" s="122" t="s">
        <v>463</v>
      </c>
      <c r="G185" s="122">
        <v>7.48</v>
      </c>
      <c r="H185" s="122" t="s">
        <v>13</v>
      </c>
      <c r="I185" s="122" t="s">
        <v>18</v>
      </c>
      <c r="J185" s="123" t="s">
        <v>464</v>
      </c>
    </row>
    <row r="186" spans="1:10" x14ac:dyDescent="0.2">
      <c r="A186" s="129" t="s">
        <v>465</v>
      </c>
      <c r="B186" s="131">
        <v>51.216766700000001</v>
      </c>
      <c r="C186" s="131">
        <v>100.74655</v>
      </c>
      <c r="D186" s="129" t="s">
        <v>394</v>
      </c>
      <c r="E186" s="122" t="s">
        <v>395</v>
      </c>
      <c r="F186" s="122" t="s">
        <v>466</v>
      </c>
      <c r="G186" s="122">
        <v>6.37</v>
      </c>
      <c r="H186" s="122" t="s">
        <v>13</v>
      </c>
      <c r="I186" s="122" t="s">
        <v>213</v>
      </c>
      <c r="J186" s="123" t="s">
        <v>467</v>
      </c>
    </row>
    <row r="187" spans="1:10" ht="30" x14ac:dyDescent="0.2">
      <c r="A187" s="129" t="s">
        <v>468</v>
      </c>
      <c r="B187" s="131">
        <v>51.215866699999999</v>
      </c>
      <c r="C187" s="131">
        <v>101.77763330000001</v>
      </c>
      <c r="D187" s="129" t="s">
        <v>394</v>
      </c>
      <c r="E187" s="122" t="s">
        <v>395</v>
      </c>
      <c r="F187" s="122" t="s">
        <v>469</v>
      </c>
      <c r="G187" s="122">
        <v>3.65</v>
      </c>
      <c r="H187" s="122" t="s">
        <v>13</v>
      </c>
      <c r="I187" s="122" t="s">
        <v>27</v>
      </c>
      <c r="J187" s="123" t="s">
        <v>470</v>
      </c>
    </row>
    <row r="188" spans="1:10" x14ac:dyDescent="0.2">
      <c r="A188" s="129" t="s">
        <v>471</v>
      </c>
      <c r="B188" s="131">
        <v>50.9985</v>
      </c>
      <c r="C188" s="131">
        <v>100.7176333</v>
      </c>
      <c r="D188" s="129" t="s">
        <v>394</v>
      </c>
      <c r="E188" s="122" t="s">
        <v>395</v>
      </c>
      <c r="F188" s="122" t="s">
        <v>472</v>
      </c>
      <c r="G188" s="122">
        <v>1.74</v>
      </c>
      <c r="H188" s="122" t="s">
        <v>13</v>
      </c>
      <c r="I188" s="122" t="s">
        <v>213</v>
      </c>
      <c r="J188" s="123" t="s">
        <v>473</v>
      </c>
    </row>
    <row r="189" spans="1:10" ht="30" x14ac:dyDescent="0.2">
      <c r="A189" s="129" t="s">
        <v>474</v>
      </c>
      <c r="B189" s="131">
        <v>50.9985</v>
      </c>
      <c r="C189" s="131">
        <v>100.7176333</v>
      </c>
      <c r="D189" s="129" t="s">
        <v>394</v>
      </c>
      <c r="E189" s="122" t="s">
        <v>395</v>
      </c>
      <c r="F189" s="122" t="s">
        <v>475</v>
      </c>
      <c r="G189" s="122">
        <v>3.77</v>
      </c>
      <c r="H189" s="122" t="s">
        <v>13</v>
      </c>
      <c r="I189" s="122" t="s">
        <v>27</v>
      </c>
      <c r="J189" s="123" t="s">
        <v>476</v>
      </c>
    </row>
    <row r="190" spans="1:10" ht="30" x14ac:dyDescent="0.2">
      <c r="A190" s="129" t="s">
        <v>477</v>
      </c>
      <c r="B190" s="131">
        <v>50.997149999999998</v>
      </c>
      <c r="C190" s="131">
        <v>100.71778329999999</v>
      </c>
      <c r="D190" s="129" t="s">
        <v>394</v>
      </c>
      <c r="E190" s="122" t="s">
        <v>395</v>
      </c>
      <c r="F190" s="122" t="s">
        <v>478</v>
      </c>
      <c r="G190" s="122">
        <v>2.94</v>
      </c>
      <c r="H190" s="122" t="s">
        <v>13</v>
      </c>
      <c r="I190" s="122" t="s">
        <v>14</v>
      </c>
      <c r="J190" s="123" t="s">
        <v>479</v>
      </c>
    </row>
    <row r="191" spans="1:10" ht="30" x14ac:dyDescent="0.2">
      <c r="A191" s="129" t="s">
        <v>480</v>
      </c>
      <c r="B191" s="131">
        <v>50.994549999999997</v>
      </c>
      <c r="C191" s="131">
        <v>100.7122667</v>
      </c>
      <c r="D191" s="129" t="s">
        <v>394</v>
      </c>
      <c r="E191" s="122" t="s">
        <v>11</v>
      </c>
      <c r="F191" s="122" t="s">
        <v>253</v>
      </c>
      <c r="G191" s="122">
        <v>1.47</v>
      </c>
      <c r="H191" s="122" t="s">
        <v>13</v>
      </c>
      <c r="I191" s="122" t="s">
        <v>14</v>
      </c>
      <c r="J191" s="123" t="s">
        <v>481</v>
      </c>
    </row>
    <row r="192" spans="1:10" ht="30" x14ac:dyDescent="0.2">
      <c r="A192" s="129" t="s">
        <v>482</v>
      </c>
      <c r="B192" s="131">
        <v>50.549316699999999</v>
      </c>
      <c r="C192" s="131">
        <v>101.3896167</v>
      </c>
      <c r="D192" s="129" t="s">
        <v>394</v>
      </c>
      <c r="E192" s="122" t="s">
        <v>395</v>
      </c>
      <c r="F192" s="122" t="s">
        <v>483</v>
      </c>
      <c r="G192" s="122">
        <v>2.92</v>
      </c>
      <c r="H192" s="122" t="s">
        <v>13</v>
      </c>
      <c r="I192" s="122" t="s">
        <v>18</v>
      </c>
      <c r="J192" s="123" t="s">
        <v>484</v>
      </c>
    </row>
    <row r="193" spans="1:10" x14ac:dyDescent="0.2">
      <c r="A193" s="129" t="s">
        <v>485</v>
      </c>
      <c r="B193" s="131">
        <v>50.384999999999998</v>
      </c>
      <c r="C193" s="131">
        <v>101.3896167</v>
      </c>
      <c r="D193" s="129" t="s">
        <v>394</v>
      </c>
      <c r="E193" s="122" t="s">
        <v>395</v>
      </c>
      <c r="F193" s="122" t="s">
        <v>486</v>
      </c>
      <c r="G193" s="122">
        <v>2.4500000000000002</v>
      </c>
      <c r="H193" s="122" t="s">
        <v>13</v>
      </c>
      <c r="I193" s="122" t="s">
        <v>27</v>
      </c>
      <c r="J193" s="123" t="s">
        <v>487</v>
      </c>
    </row>
    <row r="194" spans="1:10" ht="30" x14ac:dyDescent="0.2">
      <c r="A194" s="129" t="s">
        <v>488</v>
      </c>
      <c r="B194" s="131">
        <v>50.552416700000002</v>
      </c>
      <c r="C194" s="131">
        <v>101.39019999999999</v>
      </c>
      <c r="D194" s="129" t="s">
        <v>394</v>
      </c>
      <c r="E194" s="122" t="s">
        <v>11</v>
      </c>
      <c r="F194" s="122" t="s">
        <v>354</v>
      </c>
      <c r="G194" s="122">
        <v>1.46</v>
      </c>
      <c r="H194" s="122" t="s">
        <v>13</v>
      </c>
      <c r="I194" s="122" t="s">
        <v>18</v>
      </c>
      <c r="J194" s="123" t="s">
        <v>489</v>
      </c>
    </row>
    <row r="195" spans="1:10" x14ac:dyDescent="0.2">
      <c r="A195" s="129" t="s">
        <v>490</v>
      </c>
      <c r="B195" s="131">
        <v>50.553150000000002</v>
      </c>
      <c r="C195" s="131">
        <v>101.3912167</v>
      </c>
      <c r="D195" s="129" t="s">
        <v>394</v>
      </c>
      <c r="E195" s="122" t="s">
        <v>395</v>
      </c>
      <c r="F195" s="122" t="s">
        <v>491</v>
      </c>
      <c r="G195" s="122">
        <v>2.0499999999999998</v>
      </c>
      <c r="H195" s="122" t="s">
        <v>13</v>
      </c>
      <c r="I195" s="122" t="s">
        <v>27</v>
      </c>
      <c r="J195" s="123" t="s">
        <v>492</v>
      </c>
    </row>
    <row r="196" spans="1:10" ht="30" x14ac:dyDescent="0.2">
      <c r="A196" s="129" t="s">
        <v>493</v>
      </c>
      <c r="B196" s="131">
        <v>50.553150000000002</v>
      </c>
      <c r="C196" s="131">
        <v>101.3912167</v>
      </c>
      <c r="D196" s="129" t="s">
        <v>394</v>
      </c>
      <c r="E196" s="122" t="s">
        <v>395</v>
      </c>
      <c r="F196" s="122" t="s">
        <v>494</v>
      </c>
      <c r="G196" s="122">
        <v>6.58</v>
      </c>
      <c r="H196" s="122" t="s">
        <v>13</v>
      </c>
      <c r="I196" s="122" t="s">
        <v>18</v>
      </c>
      <c r="J196" s="123" t="s">
        <v>495</v>
      </c>
    </row>
    <row r="197" spans="1:10" ht="30" x14ac:dyDescent="0.2">
      <c r="A197" s="129" t="s">
        <v>496</v>
      </c>
      <c r="B197" s="131">
        <v>50.553266700000002</v>
      </c>
      <c r="C197" s="131">
        <v>101.3913833</v>
      </c>
      <c r="D197" s="129" t="s">
        <v>394</v>
      </c>
      <c r="E197" s="122" t="s">
        <v>11</v>
      </c>
      <c r="F197" s="122" t="s">
        <v>220</v>
      </c>
      <c r="G197" s="122">
        <v>3.82</v>
      </c>
      <c r="H197" s="122" t="s">
        <v>13</v>
      </c>
      <c r="I197" s="122" t="s">
        <v>18</v>
      </c>
      <c r="J197" s="123" t="s">
        <v>497</v>
      </c>
    </row>
    <row r="198" spans="1:10" ht="30" x14ac:dyDescent="0.2">
      <c r="A198" s="129" t="s">
        <v>498</v>
      </c>
      <c r="B198" s="131">
        <v>50.616100000000003</v>
      </c>
      <c r="C198" s="131">
        <v>100.7158167</v>
      </c>
      <c r="D198" s="129" t="s">
        <v>394</v>
      </c>
      <c r="E198" s="122" t="s">
        <v>11</v>
      </c>
      <c r="F198" s="122" t="s">
        <v>109</v>
      </c>
      <c r="G198" s="122">
        <v>2.41</v>
      </c>
      <c r="H198" s="122" t="s">
        <v>13</v>
      </c>
      <c r="I198" s="122" t="s">
        <v>14</v>
      </c>
      <c r="J198" s="123" t="s">
        <v>499</v>
      </c>
    </row>
    <row r="199" spans="1:10" ht="30" x14ac:dyDescent="0.2">
      <c r="A199" s="129" t="s">
        <v>500</v>
      </c>
      <c r="B199" s="131">
        <v>50.616583300000002</v>
      </c>
      <c r="C199" s="131">
        <v>100.71546669999999</v>
      </c>
      <c r="D199" s="129" t="s">
        <v>394</v>
      </c>
      <c r="E199" s="122" t="s">
        <v>395</v>
      </c>
      <c r="F199" s="122" t="s">
        <v>501</v>
      </c>
      <c r="G199" s="122">
        <v>1.58</v>
      </c>
      <c r="H199" s="122" t="s">
        <v>13</v>
      </c>
      <c r="I199" s="122" t="s">
        <v>14</v>
      </c>
      <c r="J199" s="123" t="s">
        <v>502</v>
      </c>
    </row>
    <row r="200" spans="1:10" ht="30" x14ac:dyDescent="0.2">
      <c r="A200" s="129" t="s">
        <v>503</v>
      </c>
      <c r="B200" s="131">
        <v>49.846766700000003</v>
      </c>
      <c r="C200" s="131">
        <v>100.05151669999999</v>
      </c>
      <c r="D200" s="129" t="s">
        <v>394</v>
      </c>
      <c r="E200" s="122" t="s">
        <v>395</v>
      </c>
      <c r="F200" s="122" t="s">
        <v>504</v>
      </c>
      <c r="G200" s="122">
        <v>0.79</v>
      </c>
      <c r="H200" s="122" t="s">
        <v>13</v>
      </c>
      <c r="I200" s="122" t="s">
        <v>14</v>
      </c>
      <c r="J200" s="123" t="s">
        <v>505</v>
      </c>
    </row>
    <row r="201" spans="1:10" ht="30" x14ac:dyDescent="0.2">
      <c r="A201" s="129" t="s">
        <v>506</v>
      </c>
      <c r="B201" s="131">
        <v>49.848133300000001</v>
      </c>
      <c r="C201" s="131">
        <v>100.05151669999999</v>
      </c>
      <c r="D201" s="129" t="s">
        <v>394</v>
      </c>
      <c r="E201" s="122" t="s">
        <v>11</v>
      </c>
      <c r="F201" s="122" t="s">
        <v>507</v>
      </c>
      <c r="G201" s="122">
        <v>2.48</v>
      </c>
      <c r="H201" s="122" t="s">
        <v>13</v>
      </c>
      <c r="I201" s="122" t="s">
        <v>18</v>
      </c>
      <c r="J201" s="123" t="s">
        <v>508</v>
      </c>
    </row>
    <row r="202" spans="1:10" x14ac:dyDescent="0.2">
      <c r="A202" s="129" t="s">
        <v>509</v>
      </c>
      <c r="B202" s="131">
        <v>49.846383299999999</v>
      </c>
      <c r="C202" s="131">
        <v>100.0515667</v>
      </c>
      <c r="D202" s="129" t="s">
        <v>394</v>
      </c>
      <c r="E202" s="122" t="s">
        <v>395</v>
      </c>
      <c r="F202" s="122" t="s">
        <v>510</v>
      </c>
      <c r="G202" s="122">
        <v>2.69</v>
      </c>
      <c r="H202" s="122" t="s">
        <v>13</v>
      </c>
      <c r="I202" s="122" t="s">
        <v>60</v>
      </c>
      <c r="J202" s="123" t="s">
        <v>511</v>
      </c>
    </row>
    <row r="203" spans="1:10" ht="30" x14ac:dyDescent="0.2">
      <c r="A203" s="129" t="s">
        <v>512</v>
      </c>
      <c r="B203" s="131">
        <v>51.438650000000003</v>
      </c>
      <c r="C203" s="131">
        <v>99.216800000000006</v>
      </c>
      <c r="D203" s="129" t="s">
        <v>394</v>
      </c>
      <c r="E203" s="122" t="s">
        <v>11</v>
      </c>
      <c r="F203" s="122" t="s">
        <v>100</v>
      </c>
      <c r="G203" s="122">
        <v>2.19</v>
      </c>
      <c r="H203" s="122" t="s">
        <v>13</v>
      </c>
      <c r="I203" s="122" t="s">
        <v>34</v>
      </c>
      <c r="J203" s="123" t="s">
        <v>513</v>
      </c>
    </row>
    <row r="204" spans="1:10" x14ac:dyDescent="0.2">
      <c r="A204" s="129" t="s">
        <v>514</v>
      </c>
      <c r="B204" s="131">
        <v>51.438866699999998</v>
      </c>
      <c r="C204" s="131">
        <v>99.217150000000004</v>
      </c>
      <c r="D204" s="129" t="s">
        <v>394</v>
      </c>
      <c r="E204" s="122" t="s">
        <v>395</v>
      </c>
      <c r="F204" s="122" t="s">
        <v>515</v>
      </c>
      <c r="G204" s="122">
        <v>4.1100000000000003</v>
      </c>
      <c r="H204" s="122" t="s">
        <v>13</v>
      </c>
      <c r="I204" s="122" t="s">
        <v>34</v>
      </c>
      <c r="J204" s="123" t="s">
        <v>516</v>
      </c>
    </row>
    <row r="205" spans="1:10" ht="30" x14ac:dyDescent="0.2">
      <c r="A205" s="129" t="s">
        <v>517</v>
      </c>
      <c r="B205" s="131">
        <v>51.439216700000003</v>
      </c>
      <c r="C205" s="131">
        <v>99.217316699999998</v>
      </c>
      <c r="D205" s="129" t="s">
        <v>394</v>
      </c>
      <c r="E205" s="122" t="s">
        <v>395</v>
      </c>
      <c r="F205" s="122" t="s">
        <v>518</v>
      </c>
      <c r="G205" s="122">
        <v>3.76</v>
      </c>
      <c r="H205" s="122" t="s">
        <v>13</v>
      </c>
      <c r="I205" s="122" t="s">
        <v>213</v>
      </c>
      <c r="J205" s="123" t="s">
        <v>519</v>
      </c>
    </row>
    <row r="206" spans="1:10" ht="45" x14ac:dyDescent="0.2">
      <c r="A206" s="129" t="s">
        <v>520</v>
      </c>
      <c r="B206" s="131">
        <v>51.439483299999999</v>
      </c>
      <c r="C206" s="131">
        <v>99.217583300000001</v>
      </c>
      <c r="D206" s="129" t="s">
        <v>394</v>
      </c>
      <c r="E206" s="122" t="s">
        <v>395</v>
      </c>
      <c r="F206" s="122" t="s">
        <v>521</v>
      </c>
      <c r="G206" s="122">
        <v>1.44</v>
      </c>
      <c r="H206" s="122" t="s">
        <v>13</v>
      </c>
      <c r="I206" s="122" t="s">
        <v>213</v>
      </c>
      <c r="J206" s="123" t="s">
        <v>522</v>
      </c>
    </row>
    <row r="207" spans="1:10" ht="30" x14ac:dyDescent="0.2">
      <c r="A207" s="129" t="s">
        <v>523</v>
      </c>
      <c r="B207" s="131">
        <v>51.440049999999999</v>
      </c>
      <c r="C207" s="131">
        <v>99.217799999999997</v>
      </c>
      <c r="D207" s="129" t="s">
        <v>394</v>
      </c>
      <c r="E207" s="122" t="s">
        <v>395</v>
      </c>
      <c r="F207" s="122" t="s">
        <v>524</v>
      </c>
      <c r="G207" s="122">
        <v>2.9</v>
      </c>
      <c r="H207" s="122" t="s">
        <v>13</v>
      </c>
      <c r="I207" s="122" t="s">
        <v>27</v>
      </c>
      <c r="J207" s="123" t="s">
        <v>525</v>
      </c>
    </row>
    <row r="208" spans="1:10" ht="30" x14ac:dyDescent="0.2">
      <c r="A208" s="129" t="s">
        <v>526</v>
      </c>
      <c r="B208" s="131">
        <v>50.139783299999998</v>
      </c>
      <c r="C208" s="131">
        <v>99.320583299999996</v>
      </c>
      <c r="D208" s="129" t="s">
        <v>394</v>
      </c>
      <c r="E208" s="122" t="s">
        <v>395</v>
      </c>
      <c r="F208" s="122" t="s">
        <v>527</v>
      </c>
      <c r="G208" s="122">
        <v>6.4</v>
      </c>
      <c r="H208" s="122" t="s">
        <v>13</v>
      </c>
      <c r="I208" s="122" t="s">
        <v>34</v>
      </c>
      <c r="J208" s="123" t="s">
        <v>528</v>
      </c>
    </row>
    <row r="209" spans="1:10" x14ac:dyDescent="0.2">
      <c r="A209" s="129" t="s">
        <v>529</v>
      </c>
      <c r="B209" s="131">
        <v>50.140033299999999</v>
      </c>
      <c r="C209" s="131">
        <v>99.303849999999997</v>
      </c>
      <c r="D209" s="129" t="s">
        <v>394</v>
      </c>
      <c r="E209" s="122" t="s">
        <v>395</v>
      </c>
      <c r="F209" s="122" t="s">
        <v>530</v>
      </c>
      <c r="G209" s="122">
        <v>3.22</v>
      </c>
      <c r="H209" s="122" t="s">
        <v>13</v>
      </c>
      <c r="I209" s="122" t="s">
        <v>27</v>
      </c>
      <c r="J209" s="123" t="s">
        <v>531</v>
      </c>
    </row>
    <row r="210" spans="1:10" ht="45" x14ac:dyDescent="0.2">
      <c r="A210" s="129" t="s">
        <v>532</v>
      </c>
      <c r="B210" s="131">
        <v>50.141366699999999</v>
      </c>
      <c r="C210" s="131">
        <v>99.314216700000003</v>
      </c>
      <c r="D210" s="129" t="s">
        <v>394</v>
      </c>
      <c r="E210" s="122" t="s">
        <v>395</v>
      </c>
      <c r="F210" s="122" t="s">
        <v>533</v>
      </c>
      <c r="G210" s="122">
        <v>18.27</v>
      </c>
      <c r="H210" s="122" t="s">
        <v>13</v>
      </c>
      <c r="I210" s="122" t="s">
        <v>60</v>
      </c>
      <c r="J210" s="123" t="s">
        <v>534</v>
      </c>
    </row>
    <row r="211" spans="1:10" ht="30" x14ac:dyDescent="0.2">
      <c r="A211" s="129" t="s">
        <v>535</v>
      </c>
      <c r="B211" s="131">
        <v>50.139933300000003</v>
      </c>
      <c r="C211" s="131">
        <v>99.318683300000004</v>
      </c>
      <c r="D211" s="129" t="s">
        <v>394</v>
      </c>
      <c r="E211" s="122" t="s">
        <v>395</v>
      </c>
      <c r="F211" s="122" t="s">
        <v>536</v>
      </c>
      <c r="G211" s="122">
        <v>4.04</v>
      </c>
      <c r="H211" s="122" t="s">
        <v>13</v>
      </c>
      <c r="I211" s="122" t="s">
        <v>18</v>
      </c>
      <c r="J211" s="123" t="s">
        <v>537</v>
      </c>
    </row>
    <row r="212" spans="1:10" ht="30" x14ac:dyDescent="0.2">
      <c r="A212" s="129" t="s">
        <v>538</v>
      </c>
      <c r="B212" s="131">
        <v>50.100083300000001</v>
      </c>
      <c r="C212" s="131">
        <v>99.397316700000005</v>
      </c>
      <c r="D212" s="129" t="s">
        <v>394</v>
      </c>
      <c r="E212" s="122" t="s">
        <v>395</v>
      </c>
      <c r="F212" s="122" t="s">
        <v>539</v>
      </c>
      <c r="G212" s="122">
        <v>3.45</v>
      </c>
      <c r="H212" s="122" t="s">
        <v>13</v>
      </c>
      <c r="I212" s="122" t="s">
        <v>34</v>
      </c>
      <c r="J212" s="123" t="s">
        <v>540</v>
      </c>
    </row>
    <row r="213" spans="1:10" ht="30" x14ac:dyDescent="0.2">
      <c r="A213" s="129" t="s">
        <v>541</v>
      </c>
      <c r="B213" s="131">
        <v>50.100900000000003</v>
      </c>
      <c r="C213" s="131">
        <v>99.372916700000005</v>
      </c>
      <c r="D213" s="129" t="s">
        <v>394</v>
      </c>
      <c r="E213" s="122" t="s">
        <v>395</v>
      </c>
      <c r="F213" s="122" t="s">
        <v>542</v>
      </c>
      <c r="G213" s="122">
        <v>2.63</v>
      </c>
      <c r="H213" s="122" t="s">
        <v>13</v>
      </c>
      <c r="I213" s="122" t="s">
        <v>27</v>
      </c>
      <c r="J213" s="123" t="s">
        <v>543</v>
      </c>
    </row>
    <row r="214" spans="1:10" ht="30" x14ac:dyDescent="0.2">
      <c r="A214" s="129" t="s">
        <v>544</v>
      </c>
      <c r="B214" s="131">
        <v>50.104133300000001</v>
      </c>
      <c r="C214" s="131">
        <v>99.377883299999993</v>
      </c>
      <c r="D214" s="129" t="s">
        <v>394</v>
      </c>
      <c r="E214" s="122" t="s">
        <v>395</v>
      </c>
      <c r="F214" s="122" t="s">
        <v>545</v>
      </c>
      <c r="G214" s="122">
        <v>3.83</v>
      </c>
      <c r="H214" s="122" t="s">
        <v>13</v>
      </c>
      <c r="I214" s="122" t="s">
        <v>263</v>
      </c>
      <c r="J214" s="123" t="s">
        <v>546</v>
      </c>
    </row>
    <row r="215" spans="1:10" ht="30" x14ac:dyDescent="0.2">
      <c r="A215" s="129" t="s">
        <v>547</v>
      </c>
      <c r="B215" s="131">
        <v>50.108750000000001</v>
      </c>
      <c r="C215" s="131">
        <v>99.3779167</v>
      </c>
      <c r="D215" s="129" t="s">
        <v>394</v>
      </c>
      <c r="E215" s="122" t="s">
        <v>395</v>
      </c>
      <c r="F215" s="122" t="s">
        <v>548</v>
      </c>
      <c r="G215" s="122">
        <v>6.63</v>
      </c>
      <c r="H215" s="122" t="s">
        <v>13</v>
      </c>
      <c r="I215" s="122" t="s">
        <v>94</v>
      </c>
      <c r="J215" s="123" t="s">
        <v>549</v>
      </c>
    </row>
    <row r="216" spans="1:10" x14ac:dyDescent="0.2">
      <c r="A216" s="129" t="s">
        <v>550</v>
      </c>
      <c r="B216" s="131">
        <v>49.5401667</v>
      </c>
      <c r="C216" s="131">
        <v>98.025316700000005</v>
      </c>
      <c r="D216" s="129" t="s">
        <v>394</v>
      </c>
      <c r="E216" s="122" t="s">
        <v>11</v>
      </c>
      <c r="F216" s="122" t="s">
        <v>357</v>
      </c>
      <c r="G216" s="122">
        <v>2.87</v>
      </c>
      <c r="H216" s="122" t="s">
        <v>13</v>
      </c>
      <c r="I216" s="122" t="s">
        <v>263</v>
      </c>
      <c r="J216" s="123" t="s">
        <v>551</v>
      </c>
    </row>
    <row r="217" spans="1:10" ht="30" x14ac:dyDescent="0.2">
      <c r="A217" s="129" t="s">
        <v>552</v>
      </c>
      <c r="B217" s="131">
        <v>49.523533299999997</v>
      </c>
      <c r="C217" s="131">
        <v>98.0273167</v>
      </c>
      <c r="D217" s="129" t="s">
        <v>394</v>
      </c>
      <c r="E217" s="122" t="s">
        <v>395</v>
      </c>
      <c r="F217" s="122" t="s">
        <v>553</v>
      </c>
      <c r="G217" s="122">
        <v>5.13</v>
      </c>
      <c r="H217" s="122" t="s">
        <v>13</v>
      </c>
      <c r="I217" s="122" t="s">
        <v>22</v>
      </c>
      <c r="J217" s="123" t="s">
        <v>554</v>
      </c>
    </row>
    <row r="218" spans="1:10" ht="30" x14ac:dyDescent="0.2">
      <c r="A218" s="129" t="s">
        <v>555</v>
      </c>
      <c r="B218" s="131">
        <v>49.52375</v>
      </c>
      <c r="C218" s="131">
        <v>98.02825</v>
      </c>
      <c r="D218" s="129" t="s">
        <v>394</v>
      </c>
      <c r="E218" s="122" t="s">
        <v>395</v>
      </c>
      <c r="F218" s="122" t="s">
        <v>556</v>
      </c>
      <c r="G218" s="122">
        <v>2.42</v>
      </c>
      <c r="H218" s="122" t="s">
        <v>13</v>
      </c>
      <c r="I218" s="122" t="s">
        <v>60</v>
      </c>
      <c r="J218" s="123" t="s">
        <v>557</v>
      </c>
    </row>
    <row r="219" spans="1:10" ht="30" x14ac:dyDescent="0.2">
      <c r="A219" s="129" t="s">
        <v>558</v>
      </c>
      <c r="B219" s="131">
        <v>49.5249667</v>
      </c>
      <c r="C219" s="131">
        <v>98.029949999999999</v>
      </c>
      <c r="D219" s="129" t="s">
        <v>394</v>
      </c>
      <c r="E219" s="122" t="s">
        <v>395</v>
      </c>
      <c r="F219" s="122" t="s">
        <v>559</v>
      </c>
      <c r="G219" s="122">
        <v>5.88</v>
      </c>
      <c r="H219" s="122" t="s">
        <v>13</v>
      </c>
      <c r="I219" s="122" t="s">
        <v>27</v>
      </c>
      <c r="J219" s="123" t="s">
        <v>560</v>
      </c>
    </row>
    <row r="220" spans="1:10" x14ac:dyDescent="0.2">
      <c r="A220" s="129" t="s">
        <v>561</v>
      </c>
      <c r="B220" s="131">
        <v>49.525316699999998</v>
      </c>
      <c r="C220" s="131">
        <v>99.029616700000005</v>
      </c>
      <c r="D220" s="129" t="s">
        <v>394</v>
      </c>
      <c r="E220" s="122" t="s">
        <v>395</v>
      </c>
      <c r="F220" s="122" t="s">
        <v>562</v>
      </c>
      <c r="G220" s="122">
        <v>4.63</v>
      </c>
      <c r="H220" s="122" t="s">
        <v>13</v>
      </c>
      <c r="I220" s="122" t="s">
        <v>263</v>
      </c>
      <c r="J220" s="123" t="s">
        <v>563</v>
      </c>
    </row>
    <row r="221" spans="1:10" ht="30" x14ac:dyDescent="0.2">
      <c r="A221" s="129" t="s">
        <v>564</v>
      </c>
      <c r="B221" s="131">
        <v>49.525633300000003</v>
      </c>
      <c r="C221" s="131">
        <v>98.029033299999995</v>
      </c>
      <c r="D221" s="129" t="s">
        <v>394</v>
      </c>
      <c r="E221" s="122" t="s">
        <v>395</v>
      </c>
      <c r="F221" s="122" t="s">
        <v>565</v>
      </c>
      <c r="G221" s="122">
        <v>2.73</v>
      </c>
      <c r="H221" s="122" t="s">
        <v>13</v>
      </c>
      <c r="I221" s="122" t="s">
        <v>22</v>
      </c>
      <c r="J221" s="123" t="s">
        <v>566</v>
      </c>
    </row>
    <row r="222" spans="1:10" x14ac:dyDescent="0.2">
      <c r="A222" s="129" t="s">
        <v>567</v>
      </c>
      <c r="B222" s="131">
        <v>49.471066700000002</v>
      </c>
      <c r="C222" s="131">
        <v>97.782266699999994</v>
      </c>
      <c r="D222" s="129" t="s">
        <v>394</v>
      </c>
      <c r="E222" s="122" t="s">
        <v>395</v>
      </c>
      <c r="F222" s="122" t="s">
        <v>568</v>
      </c>
      <c r="G222" s="122">
        <v>3.62</v>
      </c>
      <c r="H222" s="122" t="s">
        <v>13</v>
      </c>
      <c r="I222" s="122" t="s">
        <v>22</v>
      </c>
      <c r="J222" s="123" t="s">
        <v>569</v>
      </c>
    </row>
    <row r="223" spans="1:10" ht="30" x14ac:dyDescent="0.2">
      <c r="A223" s="129" t="s">
        <v>570</v>
      </c>
      <c r="B223" s="131">
        <v>49.471066700000002</v>
      </c>
      <c r="C223" s="131">
        <v>97.782266699999994</v>
      </c>
      <c r="D223" s="129" t="s">
        <v>394</v>
      </c>
      <c r="E223" s="122" t="s">
        <v>395</v>
      </c>
      <c r="F223" s="122" t="s">
        <v>571</v>
      </c>
      <c r="G223" s="122">
        <v>2.1</v>
      </c>
      <c r="H223" s="122" t="s">
        <v>13</v>
      </c>
      <c r="I223" s="122" t="s">
        <v>27</v>
      </c>
      <c r="J223" s="123" t="s">
        <v>572</v>
      </c>
    </row>
    <row r="224" spans="1:10" x14ac:dyDescent="0.2">
      <c r="A224" s="129" t="s">
        <v>573</v>
      </c>
      <c r="B224" s="131">
        <v>49.471066700000002</v>
      </c>
      <c r="C224" s="131">
        <v>97.782266699999994</v>
      </c>
      <c r="D224" s="129" t="s">
        <v>394</v>
      </c>
      <c r="E224" s="122" t="s">
        <v>395</v>
      </c>
      <c r="F224" s="122" t="s">
        <v>574</v>
      </c>
      <c r="G224" s="122">
        <v>1.34</v>
      </c>
      <c r="H224" s="122" t="s">
        <v>13</v>
      </c>
      <c r="I224" s="122" t="s">
        <v>14</v>
      </c>
      <c r="J224" s="123" t="s">
        <v>575</v>
      </c>
    </row>
    <row r="225" spans="1:10" x14ac:dyDescent="0.2">
      <c r="A225" s="129" t="s">
        <v>576</v>
      </c>
      <c r="B225" s="131">
        <v>49.163400000000003</v>
      </c>
      <c r="C225" s="131">
        <v>97.657833299999993</v>
      </c>
      <c r="D225" s="129" t="s">
        <v>394</v>
      </c>
      <c r="E225" s="122" t="s">
        <v>395</v>
      </c>
      <c r="F225" s="122" t="s">
        <v>577</v>
      </c>
      <c r="G225" s="122">
        <v>3.38</v>
      </c>
      <c r="H225" s="122" t="s">
        <v>13</v>
      </c>
      <c r="I225" s="122" t="s">
        <v>27</v>
      </c>
      <c r="J225" s="123" t="s">
        <v>578</v>
      </c>
    </row>
    <row r="226" spans="1:10" x14ac:dyDescent="0.2">
      <c r="A226" s="129" t="s">
        <v>579</v>
      </c>
      <c r="B226" s="131">
        <v>49.163499999999999</v>
      </c>
      <c r="C226" s="131">
        <v>97.657833299999993</v>
      </c>
      <c r="D226" s="129" t="s">
        <v>394</v>
      </c>
      <c r="E226" s="122" t="s">
        <v>395</v>
      </c>
      <c r="F226" s="122" t="s">
        <v>580</v>
      </c>
      <c r="G226" s="122">
        <v>17.690000000000001</v>
      </c>
      <c r="H226" s="122" t="s">
        <v>13</v>
      </c>
      <c r="I226" s="122" t="s">
        <v>263</v>
      </c>
      <c r="J226" s="123" t="s">
        <v>581</v>
      </c>
    </row>
    <row r="227" spans="1:10" ht="30" x14ac:dyDescent="0.2">
      <c r="A227" s="129" t="s">
        <v>582</v>
      </c>
      <c r="B227" s="131">
        <v>49.163633300000001</v>
      </c>
      <c r="C227" s="131">
        <v>97.657966700000003</v>
      </c>
      <c r="D227" s="129" t="s">
        <v>394</v>
      </c>
      <c r="E227" s="122" t="s">
        <v>395</v>
      </c>
      <c r="F227" s="122" t="s">
        <v>583</v>
      </c>
      <c r="G227" s="122">
        <v>7.04</v>
      </c>
      <c r="H227" s="122" t="s">
        <v>13</v>
      </c>
      <c r="I227" s="122" t="s">
        <v>27</v>
      </c>
      <c r="J227" s="123" t="s">
        <v>584</v>
      </c>
    </row>
    <row r="228" spans="1:10" x14ac:dyDescent="0.2">
      <c r="A228" s="129" t="s">
        <v>585</v>
      </c>
      <c r="B228" s="131">
        <v>49.165266699999997</v>
      </c>
      <c r="C228" s="131">
        <v>97.658299999999997</v>
      </c>
      <c r="D228" s="129" t="s">
        <v>394</v>
      </c>
      <c r="E228" s="122" t="s">
        <v>11</v>
      </c>
      <c r="F228" s="122" t="s">
        <v>106</v>
      </c>
      <c r="G228" s="122">
        <v>2.44</v>
      </c>
      <c r="H228" s="122" t="s">
        <v>13</v>
      </c>
      <c r="I228" s="122" t="s">
        <v>27</v>
      </c>
    </row>
    <row r="229" spans="1:10" ht="30" x14ac:dyDescent="0.2">
      <c r="A229" s="129" t="s">
        <v>586</v>
      </c>
      <c r="B229" s="131">
        <v>47.754933299999998</v>
      </c>
      <c r="C229" s="131">
        <v>97.183300000000003</v>
      </c>
      <c r="D229" s="129" t="s">
        <v>394</v>
      </c>
      <c r="E229" s="122" t="s">
        <v>395</v>
      </c>
      <c r="F229" s="122" t="s">
        <v>587</v>
      </c>
      <c r="G229" s="122">
        <v>2.11</v>
      </c>
      <c r="H229" s="122" t="s">
        <v>13</v>
      </c>
      <c r="I229" s="122" t="s">
        <v>22</v>
      </c>
      <c r="J229" s="123" t="s">
        <v>588</v>
      </c>
    </row>
    <row r="230" spans="1:10" ht="30" x14ac:dyDescent="0.2">
      <c r="A230" s="129" t="s">
        <v>589</v>
      </c>
      <c r="B230" s="131">
        <v>47.743299999999998</v>
      </c>
      <c r="C230" s="131">
        <v>96.913066700000002</v>
      </c>
      <c r="D230" s="129" t="s">
        <v>394</v>
      </c>
      <c r="E230" s="122" t="s">
        <v>395</v>
      </c>
      <c r="F230" s="122" t="s">
        <v>590</v>
      </c>
      <c r="G230" s="122">
        <v>4.5049999999999999</v>
      </c>
      <c r="H230" s="122" t="s">
        <v>13</v>
      </c>
      <c r="I230" s="122" t="s">
        <v>27</v>
      </c>
      <c r="J230" s="123" t="s">
        <v>591</v>
      </c>
    </row>
    <row r="231" spans="1:10" ht="30" x14ac:dyDescent="0.2">
      <c r="A231" s="129" t="s">
        <v>592</v>
      </c>
      <c r="B231" s="131">
        <v>46.536799999999999</v>
      </c>
      <c r="C231" s="131">
        <v>98.832549999999998</v>
      </c>
      <c r="D231" s="129" t="s">
        <v>394</v>
      </c>
      <c r="E231" s="122" t="s">
        <v>395</v>
      </c>
      <c r="F231" s="122" t="s">
        <v>593</v>
      </c>
      <c r="G231" s="122">
        <v>1.64</v>
      </c>
      <c r="H231" s="122" t="s">
        <v>13</v>
      </c>
      <c r="I231" s="122" t="s">
        <v>213</v>
      </c>
      <c r="J231" s="123" t="s">
        <v>594</v>
      </c>
    </row>
    <row r="232" spans="1:10" ht="30" x14ac:dyDescent="0.2">
      <c r="A232" s="129" t="s">
        <v>595</v>
      </c>
      <c r="B232" s="131">
        <v>46.540649999999999</v>
      </c>
      <c r="C232" s="131">
        <v>98.835166700000002</v>
      </c>
      <c r="D232" s="129" t="s">
        <v>394</v>
      </c>
      <c r="E232" s="122" t="s">
        <v>395</v>
      </c>
      <c r="F232" s="122" t="s">
        <v>596</v>
      </c>
      <c r="G232" s="122">
        <v>2.38</v>
      </c>
      <c r="H232" s="122" t="s">
        <v>13</v>
      </c>
      <c r="I232" s="122" t="s">
        <v>18</v>
      </c>
      <c r="J232" s="123" t="s">
        <v>597</v>
      </c>
    </row>
    <row r="233" spans="1:10" ht="30" x14ac:dyDescent="0.2">
      <c r="A233" s="129" t="s">
        <v>598</v>
      </c>
      <c r="B233" s="131">
        <v>46.546950000000002</v>
      </c>
      <c r="C233" s="131">
        <v>98.839583300000001</v>
      </c>
      <c r="D233" s="129" t="s">
        <v>394</v>
      </c>
      <c r="E233" s="122" t="s">
        <v>395</v>
      </c>
      <c r="F233" s="122" t="s">
        <v>599</v>
      </c>
      <c r="G233" s="122">
        <v>3.21</v>
      </c>
      <c r="H233" s="122" t="s">
        <v>13</v>
      </c>
      <c r="I233" s="122" t="s">
        <v>34</v>
      </c>
      <c r="J233" s="123" t="s">
        <v>600</v>
      </c>
    </row>
    <row r="234" spans="1:10" ht="30" x14ac:dyDescent="0.2">
      <c r="A234" s="129" t="s">
        <v>601</v>
      </c>
      <c r="B234" s="131">
        <v>46.4187333</v>
      </c>
      <c r="C234" s="131">
        <v>100.8518833</v>
      </c>
      <c r="D234" s="129" t="s">
        <v>394</v>
      </c>
      <c r="E234" s="122" t="s">
        <v>395</v>
      </c>
      <c r="F234" s="122" t="s">
        <v>602</v>
      </c>
      <c r="G234" s="122">
        <v>6.58</v>
      </c>
      <c r="H234" s="122" t="s">
        <v>13</v>
      </c>
      <c r="I234" s="122" t="s">
        <v>27</v>
      </c>
      <c r="J234" s="123" t="s">
        <v>603</v>
      </c>
    </row>
    <row r="235" spans="1:10" x14ac:dyDescent="0.2">
      <c r="A235" s="129" t="s">
        <v>604</v>
      </c>
      <c r="B235" s="131">
        <v>46.727116700000003</v>
      </c>
      <c r="C235" s="131">
        <v>101.41746670000001</v>
      </c>
      <c r="D235" s="129" t="s">
        <v>394</v>
      </c>
      <c r="E235" s="122" t="s">
        <v>395</v>
      </c>
      <c r="F235" s="122" t="s">
        <v>605</v>
      </c>
      <c r="G235" s="122">
        <v>2.89</v>
      </c>
      <c r="H235" s="122" t="s">
        <v>13</v>
      </c>
      <c r="I235" s="122" t="s">
        <v>27</v>
      </c>
      <c r="J235" s="123" t="s">
        <v>606</v>
      </c>
    </row>
    <row r="236" spans="1:10" x14ac:dyDescent="0.2">
      <c r="A236" s="129" t="s">
        <v>607</v>
      </c>
      <c r="B236" s="131">
        <v>46.726966699999998</v>
      </c>
      <c r="C236" s="131">
        <v>101.41755000000001</v>
      </c>
      <c r="D236" s="129" t="s">
        <v>394</v>
      </c>
      <c r="E236" s="122" t="s">
        <v>395</v>
      </c>
      <c r="F236" s="122" t="s">
        <v>608</v>
      </c>
      <c r="G236" s="122">
        <v>4.71</v>
      </c>
      <c r="H236" s="122" t="s">
        <v>13</v>
      </c>
      <c r="I236" s="122" t="s">
        <v>263</v>
      </c>
      <c r="J236" s="123" t="s">
        <v>609</v>
      </c>
    </row>
    <row r="237" spans="1:10" x14ac:dyDescent="0.2">
      <c r="A237" s="129" t="s">
        <v>610</v>
      </c>
      <c r="B237" s="131">
        <v>46.723700000000001</v>
      </c>
      <c r="C237" s="131">
        <v>101.4246833</v>
      </c>
      <c r="D237" s="129" t="s">
        <v>394</v>
      </c>
      <c r="E237" s="122" t="s">
        <v>395</v>
      </c>
      <c r="F237" s="122" t="s">
        <v>611</v>
      </c>
      <c r="G237" s="122">
        <v>4.96</v>
      </c>
      <c r="H237" s="122" t="s">
        <v>13</v>
      </c>
      <c r="I237" s="122" t="s">
        <v>34</v>
      </c>
      <c r="J237" s="123" t="s">
        <v>612</v>
      </c>
    </row>
    <row r="238" spans="1:10" ht="30" x14ac:dyDescent="0.2">
      <c r="A238" s="129" t="s">
        <v>613</v>
      </c>
      <c r="B238" s="131">
        <v>46.7333833</v>
      </c>
      <c r="C238" s="131">
        <v>101.4214333</v>
      </c>
      <c r="D238" s="129" t="s">
        <v>394</v>
      </c>
      <c r="E238" s="122" t="s">
        <v>395</v>
      </c>
      <c r="F238" s="122" t="s">
        <v>614</v>
      </c>
      <c r="G238" s="122">
        <v>2.5099999999999998</v>
      </c>
      <c r="H238" s="122" t="s">
        <v>13</v>
      </c>
      <c r="I238" s="122" t="s">
        <v>60</v>
      </c>
      <c r="J238" s="123" t="s">
        <v>615</v>
      </c>
    </row>
    <row r="239" spans="1:10" ht="30" x14ac:dyDescent="0.2">
      <c r="A239" s="129" t="s">
        <v>616</v>
      </c>
      <c r="B239" s="131">
        <v>46.751533299999998</v>
      </c>
      <c r="C239" s="131">
        <v>101.41078330000001</v>
      </c>
      <c r="D239" s="129" t="s">
        <v>394</v>
      </c>
      <c r="E239" s="122" t="s">
        <v>395</v>
      </c>
      <c r="F239" s="122" t="s">
        <v>617</v>
      </c>
      <c r="G239" s="122">
        <v>1.92</v>
      </c>
      <c r="H239" s="122" t="s">
        <v>13</v>
      </c>
      <c r="I239" s="122" t="s">
        <v>27</v>
      </c>
      <c r="J239" s="123" t="s">
        <v>618</v>
      </c>
    </row>
    <row r="240" spans="1:10" ht="30" x14ac:dyDescent="0.2">
      <c r="A240" s="129" t="s">
        <v>619</v>
      </c>
      <c r="B240" s="131">
        <v>46.793149999999997</v>
      </c>
      <c r="C240" s="131">
        <v>101.7684333</v>
      </c>
      <c r="D240" s="129" t="s">
        <v>394</v>
      </c>
      <c r="E240" s="122" t="s">
        <v>395</v>
      </c>
      <c r="F240" s="122" t="s">
        <v>620</v>
      </c>
      <c r="G240" s="122">
        <v>6.13</v>
      </c>
      <c r="H240" s="122" t="s">
        <v>13</v>
      </c>
      <c r="I240" s="122" t="s">
        <v>94</v>
      </c>
      <c r="J240" s="123" t="s">
        <v>621</v>
      </c>
    </row>
    <row r="241" spans="1:10" ht="30" x14ac:dyDescent="0.2">
      <c r="A241" s="129" t="s">
        <v>622</v>
      </c>
      <c r="B241" s="131">
        <v>46.792966700000001</v>
      </c>
      <c r="C241" s="131">
        <v>101.7681333</v>
      </c>
      <c r="D241" s="129" t="s">
        <v>394</v>
      </c>
      <c r="E241" s="122" t="s">
        <v>395</v>
      </c>
      <c r="F241" s="122" t="s">
        <v>623</v>
      </c>
      <c r="G241" s="122">
        <v>3.61</v>
      </c>
      <c r="H241" s="122" t="s">
        <v>13</v>
      </c>
      <c r="I241" s="122" t="s">
        <v>60</v>
      </c>
      <c r="J241" s="123" t="s">
        <v>624</v>
      </c>
    </row>
    <row r="242" spans="1:10" x14ac:dyDescent="0.2">
      <c r="A242" s="129" t="s">
        <v>625</v>
      </c>
      <c r="B242" s="131">
        <v>46.792416699999997</v>
      </c>
      <c r="C242" s="131">
        <v>101.7678167</v>
      </c>
      <c r="D242" s="129" t="s">
        <v>394</v>
      </c>
      <c r="E242" s="122" t="s">
        <v>395</v>
      </c>
      <c r="F242" s="122" t="s">
        <v>626</v>
      </c>
      <c r="G242" s="122">
        <v>2.36</v>
      </c>
      <c r="H242" s="122" t="s">
        <v>13</v>
      </c>
      <c r="I242" s="122" t="s">
        <v>18</v>
      </c>
      <c r="J242" s="123" t="s">
        <v>627</v>
      </c>
    </row>
    <row r="243" spans="1:10" ht="30" x14ac:dyDescent="0.2">
      <c r="A243" s="129" t="s">
        <v>628</v>
      </c>
      <c r="B243" s="131">
        <v>46.777233299999999</v>
      </c>
      <c r="C243" s="131">
        <v>101.8985667</v>
      </c>
      <c r="D243" s="129" t="s">
        <v>394</v>
      </c>
      <c r="E243" s="122" t="s">
        <v>395</v>
      </c>
      <c r="F243" s="122" t="s">
        <v>629</v>
      </c>
      <c r="G243" s="122">
        <v>2.64</v>
      </c>
      <c r="H243" s="122" t="s">
        <v>13</v>
      </c>
      <c r="I243" s="122" t="s">
        <v>60</v>
      </c>
      <c r="J243" s="123" t="s">
        <v>630</v>
      </c>
    </row>
    <row r="244" spans="1:10" x14ac:dyDescent="0.2">
      <c r="A244" s="129" t="s">
        <v>631</v>
      </c>
      <c r="B244" s="131">
        <v>49.5249667</v>
      </c>
      <c r="C244" s="131">
        <v>98.029949999999999</v>
      </c>
      <c r="D244" s="129" t="s">
        <v>394</v>
      </c>
    </row>
    <row r="245" spans="1:10" x14ac:dyDescent="0.2">
      <c r="A245" s="129" t="s">
        <v>632</v>
      </c>
      <c r="B245" s="131">
        <v>46.792416699999997</v>
      </c>
      <c r="C245" s="131">
        <v>101.7678167</v>
      </c>
      <c r="D245" s="129" t="s">
        <v>633</v>
      </c>
    </row>
    <row r="246" spans="1:10" x14ac:dyDescent="0.2">
      <c r="A246" s="129" t="s">
        <v>634</v>
      </c>
      <c r="B246" s="131">
        <v>46.777233299999999</v>
      </c>
      <c r="C246" s="131">
        <v>101.8985667</v>
      </c>
      <c r="D246" s="129" t="s">
        <v>635</v>
      </c>
    </row>
    <row r="247" spans="1:10" ht="30" x14ac:dyDescent="0.2">
      <c r="A247" s="129" t="s">
        <v>636</v>
      </c>
      <c r="B247" s="131">
        <v>48.994399999999999</v>
      </c>
      <c r="C247" s="131">
        <v>103.24469999999999</v>
      </c>
      <c r="D247" s="129" t="s">
        <v>394</v>
      </c>
      <c r="E247" s="122" t="s">
        <v>395</v>
      </c>
      <c r="F247" s="122" t="s">
        <v>637</v>
      </c>
      <c r="G247" s="122">
        <v>4.26</v>
      </c>
      <c r="H247" s="122" t="s">
        <v>13</v>
      </c>
      <c r="I247" s="122" t="s">
        <v>34</v>
      </c>
      <c r="J247" s="123" t="s">
        <v>638</v>
      </c>
    </row>
    <row r="248" spans="1:10" ht="30" x14ac:dyDescent="0.2">
      <c r="A248" s="129" t="s">
        <v>639</v>
      </c>
      <c r="B248" s="131">
        <v>48.624299999999998</v>
      </c>
      <c r="C248" s="131">
        <v>103.5466</v>
      </c>
      <c r="D248" s="129" t="s">
        <v>394</v>
      </c>
      <c r="E248" s="122" t="s">
        <v>395</v>
      </c>
      <c r="F248" s="122" t="s">
        <v>640</v>
      </c>
      <c r="G248" s="122">
        <v>1.54</v>
      </c>
      <c r="H248" s="122" t="s">
        <v>13</v>
      </c>
      <c r="I248" s="122" t="s">
        <v>18</v>
      </c>
      <c r="J248" s="123" t="s">
        <v>641</v>
      </c>
    </row>
    <row r="249" spans="1:10" ht="30" x14ac:dyDescent="0.2">
      <c r="A249" s="129" t="s">
        <v>642</v>
      </c>
      <c r="B249" s="131">
        <v>48.195399999999999</v>
      </c>
      <c r="C249" s="131">
        <v>103.92140000000001</v>
      </c>
      <c r="D249" s="129" t="s">
        <v>394</v>
      </c>
      <c r="E249" s="122" t="s">
        <v>395</v>
      </c>
      <c r="F249" s="122" t="s">
        <v>643</v>
      </c>
      <c r="G249" s="122">
        <v>2.75</v>
      </c>
      <c r="H249" s="122" t="s">
        <v>13</v>
      </c>
      <c r="I249" s="122" t="s">
        <v>14</v>
      </c>
      <c r="J249" s="123" t="s">
        <v>644</v>
      </c>
    </row>
    <row r="250" spans="1:10" x14ac:dyDescent="0.2">
      <c r="A250" s="126" t="s">
        <v>645</v>
      </c>
      <c r="B250" s="130">
        <v>47.2742833</v>
      </c>
      <c r="C250" s="130">
        <v>100.03019999999999</v>
      </c>
      <c r="D250" s="129" t="s">
        <v>394</v>
      </c>
    </row>
    <row r="251" spans="1:10" ht="60" x14ac:dyDescent="0.2">
      <c r="A251" s="126" t="s">
        <v>646</v>
      </c>
      <c r="B251" s="130">
        <v>47.448099999999997</v>
      </c>
      <c r="C251" s="130">
        <v>100.20085</v>
      </c>
      <c r="D251" s="129" t="s">
        <v>394</v>
      </c>
      <c r="E251" s="122" t="s">
        <v>11</v>
      </c>
      <c r="F251" s="122" t="s">
        <v>93</v>
      </c>
      <c r="G251" s="122">
        <v>2.8</v>
      </c>
      <c r="H251" s="122" t="s">
        <v>13</v>
      </c>
      <c r="I251" s="122" t="s">
        <v>22</v>
      </c>
      <c r="J251" s="123" t="s">
        <v>647</v>
      </c>
    </row>
    <row r="252" spans="1:10" x14ac:dyDescent="0.2">
      <c r="A252" s="126" t="s">
        <v>648</v>
      </c>
      <c r="B252" s="130">
        <v>47.269066700000003</v>
      </c>
      <c r="C252" s="130">
        <v>100.0209</v>
      </c>
      <c r="D252" s="129" t="s">
        <v>394</v>
      </c>
    </row>
    <row r="253" spans="1:10" ht="45" x14ac:dyDescent="0.2">
      <c r="A253" s="126" t="s">
        <v>649</v>
      </c>
      <c r="B253" s="130">
        <v>47.244999999999997</v>
      </c>
      <c r="C253" s="130">
        <v>100.0316167</v>
      </c>
      <c r="D253" s="129" t="s">
        <v>394</v>
      </c>
      <c r="E253" s="122" t="s">
        <v>11</v>
      </c>
      <c r="F253" s="122" t="s">
        <v>87</v>
      </c>
      <c r="G253" s="122">
        <v>2.46</v>
      </c>
      <c r="H253" s="122" t="s">
        <v>13</v>
      </c>
      <c r="I253" s="122" t="s">
        <v>60</v>
      </c>
      <c r="J253" s="123" t="s">
        <v>650</v>
      </c>
    </row>
    <row r="254" spans="1:10" x14ac:dyDescent="0.2">
      <c r="A254" s="126" t="s">
        <v>651</v>
      </c>
      <c r="B254" s="130">
        <v>47.269066700000003</v>
      </c>
      <c r="C254" s="130">
        <v>100.0209</v>
      </c>
      <c r="D254" s="129" t="s">
        <v>394</v>
      </c>
    </row>
    <row r="255" spans="1:10" x14ac:dyDescent="0.2">
      <c r="A255" s="126" t="s">
        <v>652</v>
      </c>
      <c r="B255" s="130">
        <v>47.269066700000003</v>
      </c>
      <c r="C255" s="130">
        <v>100.0209</v>
      </c>
      <c r="D255" s="129" t="s">
        <v>394</v>
      </c>
    </row>
    <row r="256" spans="1:10" x14ac:dyDescent="0.2">
      <c r="A256" s="126" t="s">
        <v>653</v>
      </c>
      <c r="B256" s="130">
        <v>47.265133300000002</v>
      </c>
      <c r="C256" s="130">
        <v>99.668016699999995</v>
      </c>
      <c r="D256" s="129" t="s">
        <v>394</v>
      </c>
    </row>
    <row r="257" spans="1:10" ht="30" x14ac:dyDescent="0.2">
      <c r="A257" s="126" t="s">
        <v>654</v>
      </c>
      <c r="B257" s="130">
        <v>47.209899999999998</v>
      </c>
      <c r="C257" s="130">
        <v>100.01049999999999</v>
      </c>
      <c r="D257" s="129" t="s">
        <v>394</v>
      </c>
      <c r="E257" s="122" t="s">
        <v>11</v>
      </c>
      <c r="F257" s="122" t="s">
        <v>553</v>
      </c>
      <c r="G257" s="122">
        <v>3.79</v>
      </c>
      <c r="H257" s="122" t="s">
        <v>13</v>
      </c>
      <c r="I257" s="122" t="s">
        <v>60</v>
      </c>
      <c r="J257" s="123" t="s">
        <v>655</v>
      </c>
    </row>
    <row r="258" spans="1:10" ht="30" x14ac:dyDescent="0.2">
      <c r="A258" s="126" t="s">
        <v>656</v>
      </c>
      <c r="B258" s="130">
        <v>47.209899999999998</v>
      </c>
      <c r="C258" s="130">
        <v>100.01049999999999</v>
      </c>
      <c r="D258" s="129" t="s">
        <v>394</v>
      </c>
      <c r="E258" s="122" t="s">
        <v>11</v>
      </c>
      <c r="F258" s="122" t="s">
        <v>90</v>
      </c>
      <c r="G258" s="122">
        <v>2.41</v>
      </c>
      <c r="H258" s="122" t="s">
        <v>13</v>
      </c>
      <c r="I258" s="122" t="s">
        <v>27</v>
      </c>
      <c r="J258" s="123" t="s">
        <v>657</v>
      </c>
    </row>
    <row r="259" spans="1:10" x14ac:dyDescent="0.2">
      <c r="A259" s="126" t="s">
        <v>658</v>
      </c>
      <c r="B259" s="130">
        <v>45.716766700000001</v>
      </c>
      <c r="C259" s="130">
        <v>101.07185</v>
      </c>
      <c r="D259" s="129" t="s">
        <v>394</v>
      </c>
    </row>
    <row r="260" spans="1:10" ht="45" x14ac:dyDescent="0.2">
      <c r="A260" s="126" t="s">
        <v>659</v>
      </c>
      <c r="B260" s="130">
        <v>45.716766700000001</v>
      </c>
      <c r="C260" s="130">
        <v>101.07185</v>
      </c>
      <c r="D260" s="129" t="s">
        <v>394</v>
      </c>
      <c r="E260" s="122" t="s">
        <v>11</v>
      </c>
      <c r="F260" s="122" t="s">
        <v>103</v>
      </c>
      <c r="G260" s="122">
        <v>2.5299999999999998</v>
      </c>
      <c r="H260" s="122" t="s">
        <v>13</v>
      </c>
      <c r="I260" s="122" t="s">
        <v>60</v>
      </c>
      <c r="J260" s="123" t="s">
        <v>660</v>
      </c>
    </row>
    <row r="261" spans="1:10" ht="30" x14ac:dyDescent="0.2">
      <c r="A261" s="126" t="s">
        <v>661</v>
      </c>
      <c r="B261" s="130">
        <v>46.799900000000001</v>
      </c>
      <c r="C261" s="130">
        <v>101.7607167</v>
      </c>
      <c r="D261" s="129" t="s">
        <v>394</v>
      </c>
      <c r="E261" s="122" t="s">
        <v>11</v>
      </c>
      <c r="F261" s="122" t="s">
        <v>360</v>
      </c>
      <c r="G261" s="122">
        <v>2.89</v>
      </c>
      <c r="H261" s="122" t="s">
        <v>13</v>
      </c>
      <c r="I261" s="122" t="s">
        <v>213</v>
      </c>
      <c r="J261" s="123" t="s">
        <v>662</v>
      </c>
    </row>
    <row r="262" spans="1:10" x14ac:dyDescent="0.2">
      <c r="A262" s="126" t="s">
        <v>663</v>
      </c>
      <c r="B262" s="130">
        <v>46.799900000000001</v>
      </c>
      <c r="C262" s="130">
        <v>101.7607167</v>
      </c>
      <c r="D262" s="129" t="s">
        <v>394</v>
      </c>
    </row>
    <row r="263" spans="1:10" ht="45" x14ac:dyDescent="0.2">
      <c r="A263" s="126" t="s">
        <v>664</v>
      </c>
      <c r="B263" s="130">
        <v>46.799900000000001</v>
      </c>
      <c r="C263" s="130">
        <v>101.7607167</v>
      </c>
      <c r="D263" s="129" t="s">
        <v>394</v>
      </c>
      <c r="E263" s="122" t="s">
        <v>11</v>
      </c>
      <c r="F263" s="122" t="s">
        <v>665</v>
      </c>
      <c r="G263" s="122">
        <v>3.6</v>
      </c>
      <c r="H263" s="122" t="s">
        <v>13</v>
      </c>
      <c r="I263" s="122" t="s">
        <v>60</v>
      </c>
      <c r="J263" s="123" t="s">
        <v>666</v>
      </c>
    </row>
    <row r="264" spans="1:10" x14ac:dyDescent="0.2">
      <c r="A264" s="126" t="s">
        <v>667</v>
      </c>
      <c r="B264" s="130">
        <v>46.787883299999997</v>
      </c>
      <c r="C264" s="130">
        <v>101.96026670000001</v>
      </c>
      <c r="D264" s="129" t="s">
        <v>394</v>
      </c>
    </row>
    <row r="265" spans="1:10" ht="30" x14ac:dyDescent="0.2">
      <c r="A265" s="126" t="s">
        <v>668</v>
      </c>
      <c r="B265" s="130">
        <v>46.788716700000002</v>
      </c>
      <c r="C265" s="130">
        <v>101.9612667</v>
      </c>
      <c r="D265" s="129" t="s">
        <v>394</v>
      </c>
      <c r="E265" s="122" t="s">
        <v>11</v>
      </c>
      <c r="F265" s="122" t="s">
        <v>84</v>
      </c>
      <c r="G265" s="122">
        <v>2.88</v>
      </c>
      <c r="H265" s="122" t="s">
        <v>13</v>
      </c>
      <c r="I265" s="122" t="s">
        <v>60</v>
      </c>
      <c r="J265" s="123" t="s">
        <v>669</v>
      </c>
    </row>
    <row r="266" spans="1:10" ht="30" x14ac:dyDescent="0.2">
      <c r="A266" s="126" t="s">
        <v>670</v>
      </c>
      <c r="B266" s="130">
        <v>48.096166699999998</v>
      </c>
      <c r="C266" s="130">
        <v>100.3158667</v>
      </c>
      <c r="D266" s="129" t="s">
        <v>394</v>
      </c>
      <c r="E266" s="122" t="s">
        <v>11</v>
      </c>
      <c r="F266" s="122" t="s">
        <v>671</v>
      </c>
      <c r="G266" s="122">
        <v>2.67</v>
      </c>
      <c r="H266" s="122" t="s">
        <v>13</v>
      </c>
      <c r="I266" s="122" t="s">
        <v>18</v>
      </c>
      <c r="J266" s="123" t="s">
        <v>672</v>
      </c>
    </row>
    <row r="267" spans="1:10" ht="30" x14ac:dyDescent="0.2">
      <c r="A267" s="126" t="s">
        <v>673</v>
      </c>
      <c r="B267" s="130">
        <v>48.184266700000002</v>
      </c>
      <c r="C267" s="130">
        <v>100.2001333</v>
      </c>
      <c r="D267" s="129" t="s">
        <v>394</v>
      </c>
      <c r="E267" s="122" t="s">
        <v>11</v>
      </c>
      <c r="F267" s="122" t="s">
        <v>466</v>
      </c>
      <c r="G267" s="122">
        <v>5.64</v>
      </c>
      <c r="H267" s="122" t="s">
        <v>13</v>
      </c>
      <c r="I267" s="122" t="s">
        <v>263</v>
      </c>
      <c r="J267" s="123" t="s">
        <v>674</v>
      </c>
    </row>
    <row r="268" spans="1:10" ht="33" customHeight="1" x14ac:dyDescent="0.2">
      <c r="A268" s="126" t="s">
        <v>675</v>
      </c>
      <c r="B268" s="130">
        <v>47.927930000000003</v>
      </c>
      <c r="C268" s="130">
        <v>97.113511000000003</v>
      </c>
      <c r="D268" s="129" t="s">
        <v>394</v>
      </c>
      <c r="E268" s="122" t="s">
        <v>11</v>
      </c>
      <c r="F268" s="122" t="s">
        <v>676</v>
      </c>
      <c r="G268" s="122">
        <v>1.93</v>
      </c>
      <c r="H268" s="122" t="s">
        <v>13</v>
      </c>
      <c r="I268" s="122" t="s">
        <v>14</v>
      </c>
      <c r="J268" s="123" t="s">
        <v>677</v>
      </c>
    </row>
    <row r="269" spans="1:10" ht="39" customHeight="1" x14ac:dyDescent="0.2">
      <c r="A269" s="126" t="s">
        <v>678</v>
      </c>
      <c r="B269" s="130">
        <v>47.136569999999999</v>
      </c>
      <c r="C269" s="130">
        <v>99.86327</v>
      </c>
      <c r="D269" s="129" t="s">
        <v>394</v>
      </c>
      <c r="E269" s="122" t="s">
        <v>11</v>
      </c>
      <c r="F269" s="122" t="s">
        <v>679</v>
      </c>
      <c r="G269" s="122">
        <v>2.9670000000000001</v>
      </c>
      <c r="H269" s="122" t="s">
        <v>13</v>
      </c>
      <c r="I269" s="122" t="s">
        <v>34</v>
      </c>
      <c r="J269" s="123" t="s">
        <v>680</v>
      </c>
    </row>
    <row r="270" spans="1:10" ht="54.95" customHeight="1" x14ac:dyDescent="0.2">
      <c r="A270" s="126" t="s">
        <v>681</v>
      </c>
      <c r="B270" s="130">
        <v>47.134569999999997</v>
      </c>
      <c r="C270" s="130">
        <v>99.862660000000005</v>
      </c>
      <c r="D270" s="129" t="s">
        <v>394</v>
      </c>
      <c r="E270" s="122" t="s">
        <v>11</v>
      </c>
      <c r="F270" s="122" t="s">
        <v>682</v>
      </c>
      <c r="G270" s="122">
        <v>2.36</v>
      </c>
      <c r="H270" s="122" t="s">
        <v>13</v>
      </c>
      <c r="I270" s="122" t="s">
        <v>22</v>
      </c>
      <c r="J270" s="123" t="s">
        <v>683</v>
      </c>
    </row>
    <row r="271" spans="1:10" ht="33.950000000000003" customHeight="1" x14ac:dyDescent="0.2">
      <c r="A271" s="126" t="s">
        <v>684</v>
      </c>
      <c r="B271" s="130">
        <v>47.138039999999997</v>
      </c>
      <c r="C271" s="130">
        <v>99.857889999999998</v>
      </c>
      <c r="D271" s="129" t="s">
        <v>394</v>
      </c>
      <c r="E271" s="122" t="s">
        <v>11</v>
      </c>
      <c r="F271" s="122" t="s">
        <v>685</v>
      </c>
      <c r="G271" s="122">
        <v>1.679</v>
      </c>
      <c r="H271" s="122" t="s">
        <v>13</v>
      </c>
      <c r="I271" s="122" t="s">
        <v>18</v>
      </c>
      <c r="J271" s="123" t="s">
        <v>686</v>
      </c>
    </row>
    <row r="272" spans="1:10" x14ac:dyDescent="0.2">
      <c r="A272" s="126" t="s">
        <v>687</v>
      </c>
      <c r="B272" s="130">
        <v>46.844810000000003</v>
      </c>
      <c r="C272" s="130">
        <v>101.53944</v>
      </c>
      <c r="D272" s="129" t="s">
        <v>394</v>
      </c>
      <c r="E272" s="122" t="s">
        <v>395</v>
      </c>
      <c r="F272" s="122" t="s">
        <v>688</v>
      </c>
      <c r="G272" s="122">
        <v>5.67</v>
      </c>
    </row>
    <row r="273" spans="1:7" x14ac:dyDescent="0.2">
      <c r="A273" s="126" t="s">
        <v>689</v>
      </c>
      <c r="B273" s="130">
        <v>46.967449999999999</v>
      </c>
      <c r="C273" s="130">
        <v>102.55920999999999</v>
      </c>
      <c r="D273" s="129" t="s">
        <v>394</v>
      </c>
      <c r="E273" s="122" t="s">
        <v>395</v>
      </c>
      <c r="F273" s="122" t="s">
        <v>690</v>
      </c>
      <c r="G273" s="122">
        <v>5.89</v>
      </c>
    </row>
    <row r="274" spans="1:7" x14ac:dyDescent="0.2">
      <c r="A274" s="126" t="s">
        <v>691</v>
      </c>
      <c r="B274" s="130">
        <v>47.248289999999997</v>
      </c>
      <c r="C274" s="130">
        <v>100.05029</v>
      </c>
      <c r="D274" s="129" t="s">
        <v>394</v>
      </c>
      <c r="E274" s="122" t="s">
        <v>395</v>
      </c>
      <c r="F274" s="122" t="s">
        <v>692</v>
      </c>
      <c r="G274" s="122">
        <v>5.0199999999999996</v>
      </c>
    </row>
    <row r="275" spans="1:7" x14ac:dyDescent="0.2">
      <c r="A275" s="126" t="s">
        <v>693</v>
      </c>
      <c r="B275" s="130">
        <v>47.183929999999997</v>
      </c>
      <c r="C275" s="130">
        <v>100.10101</v>
      </c>
      <c r="D275" s="129" t="s">
        <v>394</v>
      </c>
      <c r="E275" s="122" t="s">
        <v>395</v>
      </c>
      <c r="F275" s="122" t="s">
        <v>694</v>
      </c>
      <c r="G275" s="122">
        <v>7.32</v>
      </c>
    </row>
    <row r="276" spans="1:7" x14ac:dyDescent="0.2">
      <c r="A276" s="126" t="s">
        <v>695</v>
      </c>
      <c r="B276" s="130">
        <v>47.177300000000002</v>
      </c>
      <c r="C276" s="130">
        <v>100.11057</v>
      </c>
      <c r="D276" s="129" t="s">
        <v>394</v>
      </c>
      <c r="E276" s="122" t="s">
        <v>395</v>
      </c>
      <c r="F276" s="122" t="s">
        <v>696</v>
      </c>
      <c r="G276" s="122">
        <v>4.38</v>
      </c>
    </row>
    <row r="277" spans="1:7" x14ac:dyDescent="0.2">
      <c r="A277" s="126" t="s">
        <v>697</v>
      </c>
      <c r="B277" s="130">
        <v>47.096380000000003</v>
      </c>
      <c r="C277" s="130">
        <v>99.935090000000002</v>
      </c>
      <c r="D277" s="129" t="s">
        <v>394</v>
      </c>
      <c r="E277" s="122" t="s">
        <v>395</v>
      </c>
      <c r="F277" s="122" t="s">
        <v>698</v>
      </c>
      <c r="G277" s="122">
        <v>4.1900000000000004</v>
      </c>
    </row>
    <row r="278" spans="1:7" x14ac:dyDescent="0.2">
      <c r="A278" s="126" t="s">
        <v>699</v>
      </c>
      <c r="B278" s="130">
        <v>47.121569999999998</v>
      </c>
      <c r="C278" s="130">
        <v>99.944680000000005</v>
      </c>
      <c r="D278" s="129" t="s">
        <v>394</v>
      </c>
      <c r="E278" s="122" t="s">
        <v>395</v>
      </c>
      <c r="F278" s="122" t="s">
        <v>700</v>
      </c>
      <c r="G278" s="122">
        <v>8.8000000000000007</v>
      </c>
    </row>
  </sheetData>
  <mergeCells count="2">
    <mergeCell ref="A4:D4"/>
    <mergeCell ref="A1:J1"/>
  </mergeCells>
  <printOptions gridLines="1"/>
  <pageMargins left="0.7" right="0.7" top="0.75" bottom="0.75" header="0.5" footer="0.5"/>
  <pageSetup scale="71" orientation="landscape" horizontalDpi="4294967292" verticalDpi="4294967292" r:id="rId1"/>
  <headerFooter>
    <oddHeader>&amp;A</oddHeader>
    <oddFooter>Page &amp;P</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2"/>
  <sheetViews>
    <sheetView zoomScale="125" workbookViewId="0">
      <pane ySplit="945" activePane="bottomLeft"/>
      <selection sqref="A1:XFD1048576"/>
      <selection pane="bottomLeft" activeCell="H58" sqref="H58"/>
    </sheetView>
  </sheetViews>
  <sheetFormatPr defaultColWidth="10.875" defaultRowHeight="15" x14ac:dyDescent="0.2"/>
  <cols>
    <col min="1" max="1" width="13.625" style="109" customWidth="1"/>
    <col min="2" max="6" width="10.875" style="45"/>
    <col min="7" max="35" width="10.875" style="96"/>
    <col min="36" max="62" width="10.875" style="45"/>
    <col min="63" max="63" width="10.875" style="45" customWidth="1"/>
    <col min="64" max="16384" width="10.875" style="45"/>
  </cols>
  <sheetData>
    <row r="1" spans="1:63" ht="15.75" x14ac:dyDescent="0.2">
      <c r="A1" s="135" t="s">
        <v>1525</v>
      </c>
      <c r="B1" s="135"/>
      <c r="C1" s="135"/>
      <c r="D1" s="135"/>
    </row>
    <row r="2" spans="1:63" s="103" customFormat="1" ht="15.95" x14ac:dyDescent="0.2">
      <c r="A2" s="97"/>
      <c r="B2" s="98" t="s">
        <v>701</v>
      </c>
      <c r="C2" s="98"/>
      <c r="D2" s="98"/>
      <c r="E2" s="99" t="s">
        <v>702</v>
      </c>
      <c r="F2" s="99"/>
      <c r="G2" s="100" t="s">
        <v>703</v>
      </c>
      <c r="H2" s="100"/>
      <c r="I2" s="100"/>
      <c r="J2" s="100"/>
      <c r="K2" s="100"/>
      <c r="L2" s="100"/>
      <c r="M2" s="100"/>
      <c r="N2" s="100"/>
      <c r="O2" s="100"/>
      <c r="P2" s="100"/>
      <c r="Q2" s="101" t="s">
        <v>704</v>
      </c>
      <c r="R2" s="100" t="s">
        <v>705</v>
      </c>
      <c r="S2" s="100"/>
      <c r="T2" s="100"/>
      <c r="U2" s="100"/>
      <c r="V2" s="100"/>
      <c r="W2" s="100"/>
      <c r="X2" s="100"/>
      <c r="Y2" s="100"/>
      <c r="Z2" s="100"/>
      <c r="AA2" s="100"/>
      <c r="AB2" s="100"/>
      <c r="AC2" s="100"/>
      <c r="AD2" s="100"/>
      <c r="AE2" s="100"/>
      <c r="AF2" s="100"/>
      <c r="AG2" s="100"/>
      <c r="AH2" s="100"/>
      <c r="AI2" s="100"/>
      <c r="AJ2" s="102" t="s">
        <v>706</v>
      </c>
      <c r="AK2" s="102"/>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row>
    <row r="3" spans="1:63" s="103" customFormat="1" ht="15.95" x14ac:dyDescent="0.2">
      <c r="A3" s="104" t="s">
        <v>707</v>
      </c>
      <c r="B3" s="103" t="s">
        <v>1</v>
      </c>
      <c r="C3" s="103" t="s">
        <v>2</v>
      </c>
      <c r="D3" s="103" t="s">
        <v>708</v>
      </c>
      <c r="E3" s="103" t="s">
        <v>709</v>
      </c>
      <c r="F3" s="103" t="s">
        <v>710</v>
      </c>
      <c r="G3" s="105" t="s">
        <v>711</v>
      </c>
      <c r="H3" s="106" t="s">
        <v>712</v>
      </c>
      <c r="I3" s="105" t="s">
        <v>713</v>
      </c>
      <c r="J3" s="105" t="s">
        <v>714</v>
      </c>
      <c r="K3" s="106" t="s">
        <v>715</v>
      </c>
      <c r="L3" s="105" t="s">
        <v>716</v>
      </c>
      <c r="M3" s="105" t="s">
        <v>717</v>
      </c>
      <c r="N3" s="105" t="s">
        <v>718</v>
      </c>
      <c r="O3" s="105" t="s">
        <v>719</v>
      </c>
      <c r="P3" s="106" t="s">
        <v>720</v>
      </c>
      <c r="Q3" s="105" t="s">
        <v>721</v>
      </c>
      <c r="R3" s="105" t="s">
        <v>722</v>
      </c>
      <c r="S3" s="107" t="s">
        <v>723</v>
      </c>
      <c r="T3" s="107" t="s">
        <v>724</v>
      </c>
      <c r="U3" s="107" t="s">
        <v>725</v>
      </c>
      <c r="V3" s="107" t="s">
        <v>726</v>
      </c>
      <c r="W3" s="107" t="s">
        <v>727</v>
      </c>
      <c r="X3" s="107" t="s">
        <v>728</v>
      </c>
      <c r="Y3" s="107" t="s">
        <v>729</v>
      </c>
      <c r="Z3" s="107" t="s">
        <v>730</v>
      </c>
      <c r="AA3" s="108" t="s">
        <v>731</v>
      </c>
      <c r="AB3" s="107" t="s">
        <v>732</v>
      </c>
      <c r="AC3" s="107" t="s">
        <v>733</v>
      </c>
      <c r="AD3" s="107" t="s">
        <v>734</v>
      </c>
      <c r="AE3" s="107" t="s">
        <v>735</v>
      </c>
      <c r="AF3" s="107" t="s">
        <v>736</v>
      </c>
      <c r="AG3" s="107" t="s">
        <v>737</v>
      </c>
      <c r="AH3" s="107" t="s">
        <v>738</v>
      </c>
      <c r="AI3" s="107" t="s">
        <v>739</v>
      </c>
      <c r="AJ3" s="103" t="s">
        <v>740</v>
      </c>
      <c r="AK3" s="103" t="s">
        <v>741</v>
      </c>
      <c r="AL3" s="103" t="s">
        <v>742</v>
      </c>
      <c r="AM3" s="103" t="s">
        <v>743</v>
      </c>
      <c r="AN3" s="103" t="s">
        <v>744</v>
      </c>
      <c r="AO3" s="103" t="s">
        <v>745</v>
      </c>
      <c r="AP3" s="103" t="s">
        <v>746</v>
      </c>
      <c r="AQ3" s="103" t="s">
        <v>747</v>
      </c>
      <c r="AR3" s="103" t="s">
        <v>748</v>
      </c>
      <c r="AS3" s="103" t="s">
        <v>749</v>
      </c>
      <c r="AT3" s="103" t="s">
        <v>750</v>
      </c>
      <c r="AU3" s="103" t="s">
        <v>751</v>
      </c>
      <c r="AV3" s="103" t="s">
        <v>752</v>
      </c>
      <c r="AW3" s="103" t="s">
        <v>753</v>
      </c>
      <c r="AX3" s="103" t="s">
        <v>754</v>
      </c>
      <c r="AY3" s="103" t="s">
        <v>755</v>
      </c>
      <c r="AZ3" s="103" t="s">
        <v>740</v>
      </c>
      <c r="BA3" s="103" t="s">
        <v>756</v>
      </c>
      <c r="BB3" s="103" t="s">
        <v>757</v>
      </c>
      <c r="BC3" s="103" t="s">
        <v>758</v>
      </c>
      <c r="BD3" s="103" t="s">
        <v>759</v>
      </c>
      <c r="BE3" s="103" t="s">
        <v>760</v>
      </c>
      <c r="BF3" s="103" t="s">
        <v>761</v>
      </c>
      <c r="BG3" s="103" t="s">
        <v>762</v>
      </c>
      <c r="BH3" s="103" t="s">
        <v>763</v>
      </c>
      <c r="BI3" s="103" t="s">
        <v>764</v>
      </c>
      <c r="BJ3" s="103" t="s">
        <v>765</v>
      </c>
      <c r="BK3" s="103" t="s">
        <v>766</v>
      </c>
    </row>
    <row r="4" spans="1:63" ht="15.95" x14ac:dyDescent="0.2">
      <c r="A4" s="109" t="s">
        <v>767</v>
      </c>
      <c r="B4" s="110">
        <v>47.205210000000001</v>
      </c>
      <c r="C4" s="110">
        <v>100.10312925291301</v>
      </c>
      <c r="D4" s="45">
        <v>2703</v>
      </c>
      <c r="E4" s="45">
        <v>9.7799999999999994</v>
      </c>
      <c r="F4" s="45">
        <v>0.44</v>
      </c>
      <c r="G4" s="111">
        <v>48.119875583680638</v>
      </c>
      <c r="H4" s="112">
        <v>1.7996609175158862</v>
      </c>
      <c r="I4" s="111">
        <v>15.756128923969911</v>
      </c>
      <c r="J4" s="111">
        <v>9.7015255080487695</v>
      </c>
      <c r="K4" s="112">
        <v>0.15270614371141997</v>
      </c>
      <c r="L4" s="111">
        <v>9.9454982604067972</v>
      </c>
      <c r="M4" s="111">
        <v>9.2309799701668744</v>
      </c>
      <c r="N4" s="111">
        <v>3.5887507247464443</v>
      </c>
      <c r="O4" s="111">
        <v>1.2285687886758392</v>
      </c>
      <c r="P4" s="112">
        <v>0.47631526601472779</v>
      </c>
      <c r="Q4" s="111">
        <v>99.138120000000001</v>
      </c>
      <c r="R4" s="113">
        <v>179.7</v>
      </c>
      <c r="S4" s="114">
        <v>367.9</v>
      </c>
      <c r="T4" s="114">
        <v>25.8</v>
      </c>
      <c r="U4" s="114">
        <v>205</v>
      </c>
      <c r="V4" s="114">
        <v>420.3</v>
      </c>
      <c r="W4" s="114">
        <v>26</v>
      </c>
      <c r="X4" s="114">
        <v>711.3</v>
      </c>
      <c r="Y4" s="114">
        <v>194.8</v>
      </c>
      <c r="Z4" s="114">
        <v>22.3</v>
      </c>
      <c r="AA4" s="115">
        <v>35.4</v>
      </c>
      <c r="AB4" s="114">
        <v>20.9</v>
      </c>
      <c r="AC4" s="114">
        <v>46.3</v>
      </c>
      <c r="AD4" s="114">
        <v>92.8</v>
      </c>
      <c r="AE4" s="114">
        <v>2.5</v>
      </c>
      <c r="AF4" s="114">
        <v>25.7</v>
      </c>
      <c r="AG4" s="114">
        <v>52.8</v>
      </c>
      <c r="AH4" s="114">
        <v>0</v>
      </c>
      <c r="AI4" s="114">
        <v>26.6</v>
      </c>
      <c r="AJ4" s="45">
        <v>0</v>
      </c>
      <c r="AK4" s="45">
        <v>28.07</v>
      </c>
      <c r="AL4" s="45">
        <v>56.63</v>
      </c>
      <c r="AM4" s="45">
        <v>6.98</v>
      </c>
      <c r="AN4" s="45">
        <v>28.08</v>
      </c>
      <c r="AO4" s="45">
        <v>6.08</v>
      </c>
      <c r="AP4" s="45">
        <v>2.0699999999999998</v>
      </c>
      <c r="AQ4" s="45">
        <v>5.71</v>
      </c>
      <c r="AR4" s="45">
        <v>0.86</v>
      </c>
      <c r="AS4" s="45">
        <v>4.8899999999999997</v>
      </c>
      <c r="AT4" s="45">
        <v>0.9</v>
      </c>
      <c r="AU4" s="45">
        <v>2.33</v>
      </c>
      <c r="AV4" s="45">
        <v>0.31</v>
      </c>
      <c r="AW4" s="45">
        <v>1.83</v>
      </c>
      <c r="AX4" s="45">
        <v>0.28000000000000003</v>
      </c>
      <c r="AY4" s="45">
        <v>406</v>
      </c>
      <c r="AZ4" s="45">
        <v>3.2</v>
      </c>
      <c r="BA4" s="45">
        <v>37.39</v>
      </c>
      <c r="BB4" s="45">
        <v>22.89</v>
      </c>
      <c r="BC4" s="45">
        <v>4.5</v>
      </c>
      <c r="BD4" s="45">
        <v>2.41</v>
      </c>
      <c r="BE4" s="45">
        <v>0.88</v>
      </c>
      <c r="BF4" s="45">
        <v>2.79</v>
      </c>
      <c r="BG4" s="45">
        <v>26.8</v>
      </c>
      <c r="BH4" s="45">
        <v>0.35</v>
      </c>
      <c r="BI4" s="45">
        <v>722</v>
      </c>
      <c r="BJ4" s="45">
        <v>30.5</v>
      </c>
      <c r="BK4" s="45">
        <v>189</v>
      </c>
    </row>
    <row r="5" spans="1:63" ht="15.95" x14ac:dyDescent="0.2">
      <c r="A5" s="116" t="s">
        <v>768</v>
      </c>
      <c r="B5" s="110">
        <v>47.200355000000002</v>
      </c>
      <c r="C5" s="110">
        <v>100.10644820025701</v>
      </c>
      <c r="D5" s="45">
        <v>2825</v>
      </c>
      <c r="E5" s="45">
        <v>9.9700000000000006</v>
      </c>
      <c r="F5" s="45">
        <v>0.21</v>
      </c>
      <c r="G5" s="117">
        <v>49.453789651582802</v>
      </c>
      <c r="H5" s="118">
        <v>1.953770783952552</v>
      </c>
      <c r="I5" s="117">
        <v>16.581577847087665</v>
      </c>
      <c r="J5" s="117">
        <v>9.6099733790315724</v>
      </c>
      <c r="K5" s="118">
        <v>0.14530590969398721</v>
      </c>
      <c r="L5" s="117">
        <v>7.3410980759545392</v>
      </c>
      <c r="M5" s="117">
        <v>8.1997412870541364</v>
      </c>
      <c r="N5" s="117">
        <v>4.5427920369543919</v>
      </c>
      <c r="O5" s="117">
        <v>1.432682056279877</v>
      </c>
      <c r="P5" s="118">
        <v>0.73928909788073749</v>
      </c>
      <c r="Q5" s="117">
        <v>99.376549999999995</v>
      </c>
      <c r="R5" s="113">
        <v>117</v>
      </c>
      <c r="S5" s="119">
        <v>209.3</v>
      </c>
      <c r="T5" s="119">
        <v>17.2</v>
      </c>
      <c r="U5" s="119">
        <v>180.7</v>
      </c>
      <c r="V5" s="119">
        <v>576.1</v>
      </c>
      <c r="W5" s="119">
        <v>43</v>
      </c>
      <c r="X5" s="119">
        <v>1065</v>
      </c>
      <c r="Y5" s="119">
        <v>236.4</v>
      </c>
      <c r="Z5" s="119">
        <v>20.8</v>
      </c>
      <c r="AA5" s="120">
        <v>45</v>
      </c>
      <c r="AB5" s="119">
        <v>21.9</v>
      </c>
      <c r="AC5" s="119">
        <v>23.4</v>
      </c>
      <c r="AD5" s="119">
        <v>108.5</v>
      </c>
      <c r="AE5" s="119">
        <v>3.4</v>
      </c>
      <c r="AF5" s="119">
        <v>39.5</v>
      </c>
      <c r="AG5" s="119">
        <v>75.900000000000006</v>
      </c>
      <c r="AH5" s="119">
        <v>0.6</v>
      </c>
      <c r="AI5" s="119">
        <v>32.5</v>
      </c>
      <c r="AJ5" s="45">
        <v>0.6</v>
      </c>
      <c r="AK5" s="45">
        <v>40.79</v>
      </c>
      <c r="AL5" s="45">
        <v>80.63</v>
      </c>
      <c r="AM5" s="45">
        <v>9.64</v>
      </c>
      <c r="AN5" s="45">
        <v>38.270000000000003</v>
      </c>
      <c r="AO5" s="45">
        <v>7.68</v>
      </c>
      <c r="AP5" s="45">
        <v>2.54</v>
      </c>
      <c r="AQ5" s="45">
        <v>6.57</v>
      </c>
      <c r="AR5" s="45">
        <v>0.93</v>
      </c>
      <c r="AS5" s="45">
        <v>4.91</v>
      </c>
      <c r="AT5" s="45">
        <v>0.84</v>
      </c>
      <c r="AU5" s="45">
        <v>1.96</v>
      </c>
      <c r="AV5" s="45">
        <v>0.25</v>
      </c>
      <c r="AW5" s="45">
        <v>1.37</v>
      </c>
      <c r="AX5" s="45">
        <v>0.2</v>
      </c>
      <c r="AY5" s="45">
        <v>562</v>
      </c>
      <c r="AZ5" s="45">
        <v>4.1500000000000004</v>
      </c>
      <c r="BA5" s="45">
        <v>46.35</v>
      </c>
      <c r="BB5" s="45">
        <v>21.01</v>
      </c>
      <c r="BC5" s="45">
        <v>5.27</v>
      </c>
      <c r="BD5" s="45">
        <v>2.95</v>
      </c>
      <c r="BE5" s="45">
        <v>1.1000000000000001</v>
      </c>
      <c r="BF5" s="45">
        <v>3.62</v>
      </c>
      <c r="BG5" s="45">
        <v>42.8</v>
      </c>
      <c r="BH5" s="45">
        <v>0.34</v>
      </c>
      <c r="BI5" s="45">
        <v>1062</v>
      </c>
      <c r="BJ5" s="45">
        <v>19.8</v>
      </c>
      <c r="BK5" s="45">
        <v>225</v>
      </c>
    </row>
    <row r="6" spans="1:63" ht="15.95" x14ac:dyDescent="0.2">
      <c r="A6" s="109" t="s">
        <v>769</v>
      </c>
      <c r="B6" s="110">
        <v>47.200390188405798</v>
      </c>
      <c r="C6" s="110">
        <v>100.10825266239694</v>
      </c>
      <c r="D6" s="45">
        <v>2886</v>
      </c>
      <c r="G6" s="111">
        <v>49.754736800680512</v>
      </c>
      <c r="H6" s="112">
        <v>1.9822566111378515</v>
      </c>
      <c r="I6" s="111">
        <v>15.874359370222708</v>
      </c>
      <c r="J6" s="111">
        <v>10.339257550576832</v>
      </c>
      <c r="K6" s="112">
        <v>0.14728304358048352</v>
      </c>
      <c r="L6" s="111">
        <v>8.088085269980235</v>
      </c>
      <c r="M6" s="111">
        <v>8.1531497441517153</v>
      </c>
      <c r="N6" s="111">
        <v>4.1922086099431182</v>
      </c>
      <c r="O6" s="111">
        <v>0.96749097139605089</v>
      </c>
      <c r="P6" s="112">
        <v>0.50118211897475029</v>
      </c>
      <c r="Q6" s="111">
        <v>99.101699999999994</v>
      </c>
      <c r="R6" s="113">
        <v>154.4</v>
      </c>
      <c r="S6" s="114">
        <v>262</v>
      </c>
      <c r="T6" s="114">
        <v>20.9</v>
      </c>
      <c r="U6" s="114">
        <v>176.1</v>
      </c>
      <c r="V6" s="114">
        <v>431.3</v>
      </c>
      <c r="W6" s="114">
        <v>38.799999999999997</v>
      </c>
      <c r="X6" s="114">
        <v>764.7</v>
      </c>
      <c r="Y6" s="114">
        <v>181</v>
      </c>
      <c r="Z6" s="114">
        <v>21.3</v>
      </c>
      <c r="AA6" s="115">
        <v>31</v>
      </c>
      <c r="AB6" s="114">
        <v>21.3</v>
      </c>
      <c r="AC6" s="114">
        <v>42</v>
      </c>
      <c r="AD6" s="114">
        <v>106.8</v>
      </c>
      <c r="AE6" s="114">
        <v>3.1</v>
      </c>
      <c r="AF6" s="114">
        <v>25.5</v>
      </c>
      <c r="AG6" s="114">
        <v>50.8</v>
      </c>
      <c r="AH6" s="114">
        <v>0</v>
      </c>
      <c r="AI6" s="114">
        <v>28.6</v>
      </c>
    </row>
    <row r="7" spans="1:63" ht="15.95" x14ac:dyDescent="0.2">
      <c r="A7" s="109" t="s">
        <v>770</v>
      </c>
      <c r="B7" s="110">
        <v>47.20040114492754</v>
      </c>
      <c r="C7" s="110">
        <v>100.10881451304677</v>
      </c>
      <c r="D7" s="45">
        <v>2905</v>
      </c>
      <c r="G7" s="111">
        <v>50.098381124666332</v>
      </c>
      <c r="H7" s="112">
        <v>1.9291861936171335</v>
      </c>
      <c r="I7" s="111">
        <v>15.718286227112621</v>
      </c>
      <c r="J7" s="111">
        <v>10.184199190247282</v>
      </c>
      <c r="K7" s="112">
        <v>0.14600393004413423</v>
      </c>
      <c r="L7" s="111">
        <v>8.0767937865016073</v>
      </c>
      <c r="M7" s="111">
        <v>7.7744242281309903</v>
      </c>
      <c r="N7" s="111">
        <v>3.6703415689831558</v>
      </c>
      <c r="O7" s="111">
        <v>1.9140237084858205</v>
      </c>
      <c r="P7" s="112">
        <v>0.48836004221091833</v>
      </c>
      <c r="Q7" s="111">
        <v>99.983610000000013</v>
      </c>
      <c r="R7" s="113">
        <v>146.5</v>
      </c>
      <c r="S7" s="114">
        <v>244.4</v>
      </c>
      <c r="T7" s="114">
        <v>19.100000000000001</v>
      </c>
      <c r="U7" s="114">
        <v>169.6</v>
      </c>
      <c r="V7" s="114">
        <v>450</v>
      </c>
      <c r="W7" s="114">
        <v>23.1</v>
      </c>
      <c r="X7" s="114">
        <v>735.8</v>
      </c>
      <c r="Y7" s="114">
        <v>179.3</v>
      </c>
      <c r="Z7" s="114">
        <v>19.5</v>
      </c>
      <c r="AA7" s="115">
        <v>29.9</v>
      </c>
      <c r="AB7" s="114">
        <v>21.8</v>
      </c>
      <c r="AC7" s="114">
        <v>39.6</v>
      </c>
      <c r="AD7" s="114">
        <v>106.2</v>
      </c>
      <c r="AE7" s="114">
        <v>3.5</v>
      </c>
      <c r="AF7" s="114">
        <v>27.6</v>
      </c>
      <c r="AG7" s="114">
        <v>49.8</v>
      </c>
      <c r="AH7" s="114">
        <v>0.4</v>
      </c>
      <c r="AI7" s="114">
        <v>28.6</v>
      </c>
    </row>
    <row r="8" spans="1:63" ht="15.95" x14ac:dyDescent="0.2">
      <c r="A8" s="109" t="s">
        <v>771</v>
      </c>
      <c r="B8" s="110">
        <v>47.200405840579712</v>
      </c>
      <c r="C8" s="110">
        <v>100.10905530618241</v>
      </c>
      <c r="D8" s="45">
        <v>2913</v>
      </c>
      <c r="G8" s="111">
        <v>49.854380397968015</v>
      </c>
      <c r="H8" s="112">
        <v>1.93317187380123</v>
      </c>
      <c r="I8" s="111">
        <v>15.689062819223082</v>
      </c>
      <c r="J8" s="111">
        <v>10.236183055283298</v>
      </c>
      <c r="K8" s="112">
        <v>0.14696653486120775</v>
      </c>
      <c r="L8" s="111">
        <v>7.9742841429153914</v>
      </c>
      <c r="M8" s="111">
        <v>7.8919165065432919</v>
      </c>
      <c r="N8" s="111">
        <v>3.8369913873882266</v>
      </c>
      <c r="O8" s="111">
        <v>1.9372126722888718</v>
      </c>
      <c r="P8" s="112">
        <v>0.49985216065266552</v>
      </c>
      <c r="Q8" s="111">
        <v>92.803439999999995</v>
      </c>
      <c r="R8" s="113">
        <v>133.6</v>
      </c>
      <c r="S8" s="114">
        <v>220.2</v>
      </c>
      <c r="T8" s="114">
        <v>17.5</v>
      </c>
      <c r="U8" s="114">
        <v>159.30000000000001</v>
      </c>
      <c r="V8" s="114">
        <v>438.2</v>
      </c>
      <c r="W8" s="114">
        <v>20.8</v>
      </c>
      <c r="X8" s="114">
        <v>689.4</v>
      </c>
      <c r="Y8" s="114">
        <v>164.6</v>
      </c>
      <c r="Z8" s="114">
        <v>18.3</v>
      </c>
      <c r="AA8" s="115">
        <v>27.7</v>
      </c>
      <c r="AB8" s="114">
        <v>19.399999999999999</v>
      </c>
      <c r="AC8" s="114">
        <v>37.1</v>
      </c>
      <c r="AD8" s="114">
        <v>101</v>
      </c>
      <c r="AE8" s="114">
        <v>1.9</v>
      </c>
      <c r="AF8" s="114">
        <v>25.7</v>
      </c>
      <c r="AG8" s="114">
        <v>54.7</v>
      </c>
      <c r="AH8" s="114">
        <v>0.7</v>
      </c>
      <c r="AI8" s="114">
        <v>29.6</v>
      </c>
    </row>
    <row r="9" spans="1:63" ht="15.95" x14ac:dyDescent="0.2">
      <c r="A9" s="109" t="s">
        <v>772</v>
      </c>
      <c r="B9" s="110">
        <v>47.200411057971017</v>
      </c>
      <c r="C9" s="110">
        <v>100.1093228541109</v>
      </c>
      <c r="D9" s="45">
        <v>2922</v>
      </c>
      <c r="G9" s="111">
        <v>49.797869489789825</v>
      </c>
      <c r="H9" s="112">
        <v>1.9441691136255432</v>
      </c>
      <c r="I9" s="111">
        <v>15.764258651007729</v>
      </c>
      <c r="J9" s="111">
        <v>10.385251687055824</v>
      </c>
      <c r="K9" s="112">
        <v>0.14585695991950401</v>
      </c>
      <c r="L9" s="111">
        <v>7.4265276958122417</v>
      </c>
      <c r="M9" s="111">
        <v>7.9417848921527012</v>
      </c>
      <c r="N9" s="111">
        <v>4.0495143204378437</v>
      </c>
      <c r="O9" s="111">
        <v>2.0554554625467705</v>
      </c>
      <c r="P9" s="112">
        <v>0.48931172765202618</v>
      </c>
      <c r="Q9" s="111">
        <v>99.940380000000005</v>
      </c>
      <c r="R9" s="113">
        <v>134.80000000000001</v>
      </c>
      <c r="S9" s="114">
        <v>236.7</v>
      </c>
      <c r="T9" s="114">
        <v>20.9</v>
      </c>
      <c r="U9" s="114">
        <v>170.5</v>
      </c>
      <c r="V9" s="114">
        <v>489.7</v>
      </c>
      <c r="W9" s="114">
        <v>28</v>
      </c>
      <c r="X9" s="114">
        <v>727.4</v>
      </c>
      <c r="Y9" s="114">
        <v>168.5</v>
      </c>
      <c r="Z9" s="114">
        <v>19.100000000000001</v>
      </c>
      <c r="AA9" s="115">
        <v>26.1</v>
      </c>
      <c r="AB9" s="114">
        <v>21.2</v>
      </c>
      <c r="AC9" s="114">
        <v>36.5</v>
      </c>
      <c r="AD9" s="114">
        <v>106.8</v>
      </c>
      <c r="AE9" s="114">
        <v>1.2</v>
      </c>
      <c r="AF9" s="114">
        <v>23.9</v>
      </c>
      <c r="AG9" s="114">
        <v>52.5</v>
      </c>
      <c r="AH9" s="114">
        <v>0</v>
      </c>
      <c r="AI9" s="114">
        <v>30.4</v>
      </c>
    </row>
    <row r="10" spans="1:63" ht="15.95" x14ac:dyDescent="0.2">
      <c r="A10" s="109" t="s">
        <v>773</v>
      </c>
      <c r="B10" s="110">
        <v>47.200415115942029</v>
      </c>
      <c r="C10" s="110">
        <v>100.10953094694418</v>
      </c>
      <c r="D10" s="45">
        <v>2929</v>
      </c>
      <c r="G10" s="111">
        <v>50.339979353569717</v>
      </c>
      <c r="H10" s="112">
        <v>1.9975000840913566</v>
      </c>
      <c r="I10" s="111">
        <v>15.819496300781168</v>
      </c>
      <c r="J10" s="111">
        <v>9.9829554828365534</v>
      </c>
      <c r="K10" s="112">
        <v>0.14266499124649021</v>
      </c>
      <c r="L10" s="111">
        <v>7.5755901211075711</v>
      </c>
      <c r="M10" s="111">
        <v>7.8279442786643401</v>
      </c>
      <c r="N10" s="111">
        <v>3.7858329288939503</v>
      </c>
      <c r="O10" s="111">
        <v>2.0335192152754753</v>
      </c>
      <c r="P10" s="112">
        <v>0.49451724353337473</v>
      </c>
      <c r="Q10" s="111">
        <v>99.891360000000006</v>
      </c>
      <c r="R10" s="113">
        <v>126.1</v>
      </c>
      <c r="S10" s="114">
        <v>229.1</v>
      </c>
      <c r="T10" s="114">
        <v>18.3</v>
      </c>
      <c r="U10" s="114">
        <v>168.7</v>
      </c>
      <c r="V10" s="114">
        <v>455.7</v>
      </c>
      <c r="W10" s="114">
        <v>25.5</v>
      </c>
      <c r="X10" s="114">
        <v>727.1</v>
      </c>
      <c r="Y10" s="114">
        <v>159.19999999999999</v>
      </c>
      <c r="Z10" s="114">
        <v>20</v>
      </c>
      <c r="AA10" s="115">
        <v>28.4</v>
      </c>
      <c r="AB10" s="114">
        <v>20.5</v>
      </c>
      <c r="AC10" s="114">
        <v>38.9</v>
      </c>
      <c r="AD10" s="114">
        <v>108.5</v>
      </c>
      <c r="AE10" s="114">
        <v>2</v>
      </c>
      <c r="AF10" s="114">
        <v>23.8</v>
      </c>
      <c r="AG10" s="114">
        <v>50.3</v>
      </c>
      <c r="AH10" s="114">
        <v>0</v>
      </c>
      <c r="AI10" s="114">
        <v>28.3</v>
      </c>
      <c r="AJ10" s="45">
        <v>0</v>
      </c>
      <c r="AK10" s="45">
        <v>24.4</v>
      </c>
      <c r="AL10" s="45">
        <v>51.33</v>
      </c>
      <c r="AM10" s="45">
        <v>6.63</v>
      </c>
      <c r="AN10" s="45">
        <v>28.25</v>
      </c>
      <c r="AO10" s="45">
        <v>6.49</v>
      </c>
      <c r="AP10" s="45">
        <v>2.15</v>
      </c>
      <c r="AQ10" s="45">
        <v>5.81</v>
      </c>
      <c r="AR10" s="45">
        <v>0.84</v>
      </c>
      <c r="AS10" s="45">
        <v>4.6399999999999997</v>
      </c>
      <c r="AT10" s="45">
        <v>0.83</v>
      </c>
      <c r="AU10" s="45">
        <v>1.99</v>
      </c>
      <c r="AV10" s="45">
        <v>0.26</v>
      </c>
      <c r="AW10" s="45">
        <v>1.45</v>
      </c>
      <c r="AX10" s="45">
        <v>0.22</v>
      </c>
      <c r="AY10" s="45">
        <v>433</v>
      </c>
      <c r="AZ10" s="45">
        <v>2.4900000000000002</v>
      </c>
      <c r="BA10" s="45">
        <v>30.89</v>
      </c>
      <c r="BB10" s="45">
        <v>20.350000000000001</v>
      </c>
      <c r="BC10" s="45">
        <v>3.99</v>
      </c>
      <c r="BD10" s="45">
        <v>1.87</v>
      </c>
      <c r="BE10" s="45">
        <v>0.34</v>
      </c>
      <c r="BF10" s="45">
        <v>2.66</v>
      </c>
      <c r="BG10" s="45">
        <v>25.9</v>
      </c>
      <c r="BH10" s="45">
        <v>0.22</v>
      </c>
      <c r="BI10" s="45">
        <v>718</v>
      </c>
      <c r="BJ10" s="45">
        <v>21.5</v>
      </c>
      <c r="BK10" s="45">
        <v>156</v>
      </c>
    </row>
    <row r="11" spans="1:63" ht="15.95" x14ac:dyDescent="0.2">
      <c r="A11" s="109" t="s">
        <v>774</v>
      </c>
      <c r="B11" s="110">
        <v>47.200441985507247</v>
      </c>
      <c r="C11" s="110">
        <v>100.1109088187759</v>
      </c>
      <c r="D11" s="45">
        <v>2975</v>
      </c>
      <c r="G11" s="111">
        <v>50.253132731573849</v>
      </c>
      <c r="H11" s="112">
        <v>2.0625476590462357</v>
      </c>
      <c r="I11" s="111">
        <v>16.161463520229358</v>
      </c>
      <c r="J11" s="111">
        <v>10.040175774188976</v>
      </c>
      <c r="K11" s="112">
        <v>0.14230666702896549</v>
      </c>
      <c r="L11" s="111">
        <v>6.8340433346427929</v>
      </c>
      <c r="M11" s="111">
        <v>7.882272142914359</v>
      </c>
      <c r="N11" s="111">
        <v>4.0285777000159699</v>
      </c>
      <c r="O11" s="111">
        <v>2.0519918337306997</v>
      </c>
      <c r="P11" s="112">
        <v>0.54348863662879476</v>
      </c>
      <c r="Q11" s="111">
        <v>98.997470000000007</v>
      </c>
      <c r="R11" s="113">
        <v>125.8</v>
      </c>
      <c r="S11" s="114">
        <v>202</v>
      </c>
      <c r="T11" s="114">
        <v>18.8</v>
      </c>
      <c r="U11" s="114">
        <v>163.9</v>
      </c>
      <c r="V11" s="114">
        <v>407</v>
      </c>
      <c r="W11" s="114">
        <v>22.6</v>
      </c>
      <c r="X11" s="114">
        <v>720.7</v>
      </c>
      <c r="Y11" s="114">
        <v>168.3</v>
      </c>
      <c r="Z11" s="114">
        <v>21</v>
      </c>
      <c r="AA11" s="115">
        <v>28.9</v>
      </c>
      <c r="AB11" s="114">
        <v>21.6</v>
      </c>
      <c r="AC11" s="114">
        <v>38.299999999999997</v>
      </c>
      <c r="AD11" s="114">
        <v>103.6</v>
      </c>
      <c r="AE11" s="114">
        <v>1.7</v>
      </c>
      <c r="AF11" s="114">
        <v>26.7</v>
      </c>
      <c r="AG11" s="114">
        <v>49.2</v>
      </c>
      <c r="AH11" s="114">
        <v>0</v>
      </c>
      <c r="AI11" s="114">
        <v>28.4</v>
      </c>
      <c r="AJ11" s="45">
        <v>0</v>
      </c>
      <c r="AK11" s="45">
        <v>23.98</v>
      </c>
      <c r="AL11" s="45">
        <v>48.85</v>
      </c>
      <c r="AM11" s="45">
        <v>6.47</v>
      </c>
      <c r="AN11" s="45">
        <v>27.8</v>
      </c>
      <c r="AO11" s="45">
        <v>6.41</v>
      </c>
      <c r="AP11" s="45">
        <v>2.21</v>
      </c>
      <c r="AQ11" s="45">
        <v>5.93</v>
      </c>
      <c r="AR11" s="45">
        <v>0.87</v>
      </c>
      <c r="AS11" s="45">
        <v>4.7699999999999996</v>
      </c>
      <c r="AT11" s="45">
        <v>0.84</v>
      </c>
      <c r="AU11" s="45">
        <v>2.02</v>
      </c>
      <c r="AV11" s="45">
        <v>0.27</v>
      </c>
      <c r="AW11" s="45">
        <v>1.53</v>
      </c>
      <c r="AX11" s="45">
        <v>0.23</v>
      </c>
      <c r="AY11" s="45">
        <v>387</v>
      </c>
      <c r="AZ11" s="45">
        <v>2.13</v>
      </c>
      <c r="BA11" s="45">
        <v>30.88</v>
      </c>
      <c r="BB11" s="45">
        <v>21.66</v>
      </c>
      <c r="BC11" s="45">
        <v>3.93</v>
      </c>
      <c r="BD11" s="45">
        <v>1.88</v>
      </c>
      <c r="BE11" s="45">
        <v>0.52</v>
      </c>
      <c r="BF11" s="45">
        <v>2.21</v>
      </c>
      <c r="BG11" s="45">
        <v>23.3</v>
      </c>
      <c r="BH11" s="45">
        <v>0.18</v>
      </c>
      <c r="BI11" s="45">
        <v>718</v>
      </c>
      <c r="BJ11" s="45">
        <v>20.3</v>
      </c>
      <c r="BK11" s="45">
        <v>165</v>
      </c>
    </row>
    <row r="12" spans="1:63" ht="15.95" x14ac:dyDescent="0.2">
      <c r="A12" s="109" t="s">
        <v>775</v>
      </c>
      <c r="B12" s="110">
        <v>47.200447724637684</v>
      </c>
      <c r="C12" s="110">
        <v>100.11120312149724</v>
      </c>
      <c r="D12" s="45">
        <v>2985</v>
      </c>
      <c r="G12" s="111">
        <v>48.544847534010991</v>
      </c>
      <c r="H12" s="112">
        <v>1.8613245647661751</v>
      </c>
      <c r="I12" s="111">
        <v>15.811615021547301</v>
      </c>
      <c r="J12" s="111">
        <v>10.286517024103327</v>
      </c>
      <c r="K12" s="112">
        <v>0.15369866756374373</v>
      </c>
      <c r="L12" s="111">
        <v>8.9554348085556903</v>
      </c>
      <c r="M12" s="111">
        <v>8.7664809323984603</v>
      </c>
      <c r="N12" s="111">
        <v>3.4640173204877995</v>
      </c>
      <c r="O12" s="111">
        <v>1.6938447715673111</v>
      </c>
      <c r="P12" s="112">
        <v>0.46221935499918859</v>
      </c>
      <c r="Q12" s="111">
        <v>99.701580000000007</v>
      </c>
      <c r="R12" s="113">
        <v>179.9</v>
      </c>
      <c r="S12" s="114">
        <v>339</v>
      </c>
      <c r="T12" s="114">
        <v>23.9</v>
      </c>
      <c r="U12" s="114">
        <v>190.4</v>
      </c>
      <c r="V12" s="114">
        <v>378.3</v>
      </c>
      <c r="W12" s="114">
        <v>21.5</v>
      </c>
      <c r="X12" s="114">
        <v>664.2</v>
      </c>
      <c r="Y12" s="114">
        <v>159</v>
      </c>
      <c r="Z12" s="114">
        <v>20.9</v>
      </c>
      <c r="AA12" s="115">
        <v>26.6</v>
      </c>
      <c r="AB12" s="114">
        <v>20</v>
      </c>
      <c r="AC12" s="114">
        <v>46.3</v>
      </c>
      <c r="AD12" s="114">
        <v>94.7</v>
      </c>
      <c r="AE12" s="114">
        <v>1.9</v>
      </c>
      <c r="AF12" s="114">
        <v>20.5</v>
      </c>
      <c r="AG12" s="114">
        <v>41.7</v>
      </c>
      <c r="AH12" s="114">
        <v>0</v>
      </c>
      <c r="AI12" s="114">
        <v>24.3</v>
      </c>
    </row>
    <row r="13" spans="1:63" ht="15.95" x14ac:dyDescent="0.2">
      <c r="A13" s="109" t="s">
        <v>776</v>
      </c>
      <c r="B13" s="110">
        <v>47.200454565217392</v>
      </c>
      <c r="C13" s="110">
        <v>100.11155390655904</v>
      </c>
      <c r="D13" s="45">
        <v>2997</v>
      </c>
      <c r="G13" s="111">
        <v>48.596804168212678</v>
      </c>
      <c r="H13" s="112">
        <v>1.8699007235298288</v>
      </c>
      <c r="I13" s="111">
        <v>15.670952953549504</v>
      </c>
      <c r="J13" s="111">
        <v>10.296602969692959</v>
      </c>
      <c r="K13" s="112">
        <v>0.15645651338933142</v>
      </c>
      <c r="L13" s="111">
        <v>8.9642185389075291</v>
      </c>
      <c r="M13" s="111">
        <v>8.6285029463183225</v>
      </c>
      <c r="N13" s="111">
        <v>3.6830961227508685</v>
      </c>
      <c r="O13" s="111">
        <v>1.6688126035562167</v>
      </c>
      <c r="P13" s="112">
        <v>0.46465246009274985</v>
      </c>
      <c r="Q13" s="111">
        <v>99.637910000000005</v>
      </c>
      <c r="R13" s="113">
        <v>178.5</v>
      </c>
      <c r="S13" s="114">
        <v>322.5</v>
      </c>
      <c r="T13" s="114">
        <v>22.5</v>
      </c>
      <c r="U13" s="114">
        <v>190.1</v>
      </c>
      <c r="V13" s="114">
        <v>370.6</v>
      </c>
      <c r="W13" s="114">
        <v>21.7</v>
      </c>
      <c r="X13" s="114">
        <v>661.1</v>
      </c>
      <c r="Y13" s="114">
        <v>161.69999999999999</v>
      </c>
      <c r="Z13" s="114">
        <v>21.9</v>
      </c>
      <c r="AA13" s="115">
        <v>26.7</v>
      </c>
      <c r="AB13" s="114">
        <v>18.7</v>
      </c>
      <c r="AC13" s="114">
        <v>47.4</v>
      </c>
      <c r="AD13" s="114">
        <v>98.2</v>
      </c>
      <c r="AE13" s="114">
        <v>1.7</v>
      </c>
      <c r="AF13" s="114">
        <v>23.5</v>
      </c>
      <c r="AG13" s="114">
        <v>47.2</v>
      </c>
      <c r="AH13" s="114">
        <v>0</v>
      </c>
      <c r="AI13" s="114">
        <v>25.8</v>
      </c>
    </row>
    <row r="14" spans="1:63" ht="15.95" x14ac:dyDescent="0.2">
      <c r="A14" s="109" t="s">
        <v>777</v>
      </c>
      <c r="B14" s="110">
        <v>47.200457</v>
      </c>
      <c r="C14" s="110">
        <v>100.111678762259</v>
      </c>
      <c r="D14" s="45">
        <v>3001</v>
      </c>
      <c r="E14" s="45">
        <v>8.86</v>
      </c>
      <c r="F14" s="45">
        <v>0.18</v>
      </c>
      <c r="G14" s="111">
        <v>48.936698438310749</v>
      </c>
      <c r="H14" s="112">
        <v>1.870530137420038</v>
      </c>
      <c r="I14" s="111">
        <v>15.846743321366342</v>
      </c>
      <c r="J14" s="111">
        <v>10.008548238489485</v>
      </c>
      <c r="K14" s="112">
        <v>0.15345974101254306</v>
      </c>
      <c r="L14" s="111">
        <v>8.6532383241407516</v>
      </c>
      <c r="M14" s="111">
        <v>8.5933511026398417</v>
      </c>
      <c r="N14" s="111">
        <v>3.7830379608330302</v>
      </c>
      <c r="O14" s="111">
        <v>1.6872279123397513</v>
      </c>
      <c r="P14" s="112">
        <v>0.46715471077920445</v>
      </c>
      <c r="Q14" s="111">
        <v>98.885869999999983</v>
      </c>
      <c r="R14" s="113">
        <v>164.2</v>
      </c>
      <c r="S14" s="114">
        <v>302.8</v>
      </c>
      <c r="T14" s="114">
        <v>24.2</v>
      </c>
      <c r="U14" s="114">
        <v>186.2</v>
      </c>
      <c r="V14" s="114">
        <v>376.1</v>
      </c>
      <c r="W14" s="114">
        <v>22.7</v>
      </c>
      <c r="X14" s="114">
        <v>663.7</v>
      </c>
      <c r="Y14" s="114">
        <v>163.30000000000001</v>
      </c>
      <c r="Z14" s="114">
        <v>21</v>
      </c>
      <c r="AA14" s="115">
        <v>28.2</v>
      </c>
      <c r="AB14" s="114">
        <v>21.1</v>
      </c>
      <c r="AC14" s="114">
        <v>47</v>
      </c>
      <c r="AD14" s="114">
        <v>99.1</v>
      </c>
      <c r="AE14" s="114">
        <v>1.8</v>
      </c>
      <c r="AF14" s="114">
        <v>19.5</v>
      </c>
      <c r="AG14" s="114">
        <v>48.4</v>
      </c>
      <c r="AH14" s="114">
        <v>0</v>
      </c>
      <c r="AI14" s="114">
        <v>26.7</v>
      </c>
    </row>
    <row r="15" spans="1:63" ht="15.95" x14ac:dyDescent="0.2">
      <c r="A15" s="109" t="s">
        <v>778</v>
      </c>
      <c r="B15" s="110">
        <v>47.200441896918171</v>
      </c>
      <c r="C15" s="110">
        <v>100.11184906186921</v>
      </c>
      <c r="D15" s="45">
        <v>3009</v>
      </c>
      <c r="G15" s="111">
        <v>49.018461647936242</v>
      </c>
      <c r="H15" s="112">
        <v>1.8468743803608778</v>
      </c>
      <c r="I15" s="111">
        <v>15.715897061551352</v>
      </c>
      <c r="J15" s="111">
        <v>10.299581523720587</v>
      </c>
      <c r="K15" s="112">
        <v>0.15324075258569408</v>
      </c>
      <c r="L15" s="111">
        <v>8.4621116661656259</v>
      </c>
      <c r="M15" s="111">
        <v>8.5139914513787165</v>
      </c>
      <c r="N15" s="111">
        <v>3.8856270108288933</v>
      </c>
      <c r="O15" s="111">
        <v>1.6452717937073451</v>
      </c>
      <c r="P15" s="112">
        <v>0.45893271758527837</v>
      </c>
      <c r="Q15" s="111">
        <v>100.05824</v>
      </c>
      <c r="R15" s="113">
        <v>161.1</v>
      </c>
      <c r="S15" s="114">
        <v>300.8</v>
      </c>
      <c r="T15" s="114">
        <v>23.2</v>
      </c>
      <c r="U15" s="114">
        <v>184.4</v>
      </c>
      <c r="V15" s="114">
        <v>359</v>
      </c>
      <c r="W15" s="114">
        <v>20.9</v>
      </c>
      <c r="X15" s="114">
        <v>662.8</v>
      </c>
      <c r="Y15" s="114">
        <v>159.69999999999999</v>
      </c>
      <c r="Z15" s="114">
        <v>21.2</v>
      </c>
      <c r="AA15" s="115">
        <v>25.3</v>
      </c>
      <c r="AB15" s="114">
        <v>20.8</v>
      </c>
      <c r="AC15" s="114">
        <v>45</v>
      </c>
      <c r="AD15" s="114">
        <v>100.3</v>
      </c>
      <c r="AE15" s="114">
        <v>1.2</v>
      </c>
      <c r="AF15" s="114">
        <v>23.5</v>
      </c>
      <c r="AG15" s="114">
        <v>42.6</v>
      </c>
      <c r="AH15" s="114">
        <v>0</v>
      </c>
      <c r="AI15" s="114">
        <v>25.2</v>
      </c>
    </row>
    <row r="16" spans="1:63" ht="15.95" x14ac:dyDescent="0.2">
      <c r="A16" s="109" t="s">
        <v>779</v>
      </c>
      <c r="B16" s="110">
        <v>47.200430172157283</v>
      </c>
      <c r="C16" s="110">
        <v>100.11198126814556</v>
      </c>
      <c r="D16" s="45">
        <v>3015</v>
      </c>
      <c r="G16" s="111">
        <v>49.238417811124641</v>
      </c>
      <c r="H16" s="112">
        <v>1.8708904402758864</v>
      </c>
      <c r="I16" s="111">
        <v>15.959462679241113</v>
      </c>
      <c r="J16" s="111">
        <v>10.222859877972212</v>
      </c>
      <c r="K16" s="112">
        <v>0.15385814498843825</v>
      </c>
      <c r="L16" s="111">
        <v>8.318140610352712</v>
      </c>
      <c r="M16" s="111">
        <v>8.4739851276173628</v>
      </c>
      <c r="N16" s="111">
        <v>3.6847205723736765</v>
      </c>
      <c r="O16" s="111">
        <v>1.6188127402489545</v>
      </c>
      <c r="P16" s="112">
        <v>0.45885199580502395</v>
      </c>
      <c r="Q16" s="111">
        <v>99.175769999999972</v>
      </c>
      <c r="R16" s="113">
        <v>160.6</v>
      </c>
      <c r="S16" s="114">
        <v>289.7</v>
      </c>
      <c r="T16" s="114">
        <v>23</v>
      </c>
      <c r="U16" s="114">
        <v>185</v>
      </c>
      <c r="V16" s="114">
        <v>361.8</v>
      </c>
      <c r="W16" s="114">
        <v>20.7</v>
      </c>
      <c r="X16" s="114">
        <v>662.9</v>
      </c>
      <c r="Y16" s="114">
        <v>164.4</v>
      </c>
      <c r="Z16" s="114">
        <v>21.8</v>
      </c>
      <c r="AA16" s="115">
        <v>26.1</v>
      </c>
      <c r="AB16" s="114">
        <v>20.3</v>
      </c>
      <c r="AC16" s="114">
        <v>46</v>
      </c>
      <c r="AD16" s="114">
        <v>103.3</v>
      </c>
      <c r="AE16" s="114">
        <v>2.7</v>
      </c>
      <c r="AF16" s="114">
        <v>21.6</v>
      </c>
      <c r="AG16" s="114">
        <v>45.7</v>
      </c>
      <c r="AH16" s="114">
        <v>0</v>
      </c>
      <c r="AI16" s="114">
        <v>23.1</v>
      </c>
    </row>
    <row r="17" spans="1:63" ht="15.95" x14ac:dyDescent="0.2">
      <c r="A17" s="109" t="s">
        <v>780</v>
      </c>
      <c r="B17" s="110">
        <v>47.200420931455895</v>
      </c>
      <c r="C17" s="110">
        <v>100.11208546461759</v>
      </c>
      <c r="D17" s="45">
        <v>3020</v>
      </c>
      <c r="G17" s="111">
        <v>49.293815269871637</v>
      </c>
      <c r="H17" s="112">
        <v>1.8590807704124068</v>
      </c>
      <c r="I17" s="111">
        <v>15.856088441066348</v>
      </c>
      <c r="J17" s="111">
        <v>10.398049740606508</v>
      </c>
      <c r="K17" s="112">
        <v>0.15387266864323593</v>
      </c>
      <c r="L17" s="111">
        <v>8.1710373491658679</v>
      </c>
      <c r="M17" s="111">
        <v>8.37942136643046</v>
      </c>
      <c r="N17" s="111">
        <v>3.8193312468621747</v>
      </c>
      <c r="O17" s="111">
        <v>1.6251395629400758</v>
      </c>
      <c r="P17" s="112">
        <v>0.44414360183536189</v>
      </c>
      <c r="Q17" s="111">
        <v>100.08925000000001</v>
      </c>
      <c r="R17" s="113">
        <v>158.30000000000001</v>
      </c>
      <c r="S17" s="114">
        <v>286.5</v>
      </c>
      <c r="T17" s="114">
        <v>21.6</v>
      </c>
      <c r="U17" s="114">
        <v>180.6</v>
      </c>
      <c r="V17" s="114">
        <v>355.3</v>
      </c>
      <c r="W17" s="114">
        <v>21.4</v>
      </c>
      <c r="X17" s="114">
        <v>661.6</v>
      </c>
      <c r="Y17" s="114">
        <v>163.30000000000001</v>
      </c>
      <c r="Z17" s="114">
        <v>21.1</v>
      </c>
      <c r="AA17" s="115">
        <v>25.9</v>
      </c>
      <c r="AB17" s="114">
        <v>20.8</v>
      </c>
      <c r="AC17" s="114">
        <v>44.7</v>
      </c>
      <c r="AD17" s="114">
        <v>102.7</v>
      </c>
      <c r="AE17" s="114">
        <v>2.1</v>
      </c>
      <c r="AF17" s="114">
        <v>24.1</v>
      </c>
      <c r="AG17" s="114">
        <v>42.6</v>
      </c>
      <c r="AH17" s="114">
        <v>0</v>
      </c>
      <c r="AI17" s="114">
        <v>24.5</v>
      </c>
    </row>
    <row r="18" spans="1:63" ht="15.95" x14ac:dyDescent="0.2">
      <c r="A18" s="109" t="s">
        <v>781</v>
      </c>
      <c r="B18" s="110">
        <v>47.200407517534536</v>
      </c>
      <c r="C18" s="110">
        <v>100.11223671756088</v>
      </c>
      <c r="D18" s="45">
        <v>3026</v>
      </c>
      <c r="G18" s="111">
        <v>49.49794311719468</v>
      </c>
      <c r="H18" s="112">
        <v>1.8808767629973868</v>
      </c>
      <c r="I18" s="111">
        <v>16.044482517126404</v>
      </c>
      <c r="J18" s="111">
        <v>10.368232190026827</v>
      </c>
      <c r="K18" s="112">
        <v>0.15667502461755187</v>
      </c>
      <c r="L18" s="111">
        <v>7.8796636584429995</v>
      </c>
      <c r="M18" s="111">
        <v>8.4827067055034906</v>
      </c>
      <c r="N18" s="111">
        <v>3.6598245082413969</v>
      </c>
      <c r="O18" s="111">
        <v>1.5786896958213439</v>
      </c>
      <c r="P18" s="112">
        <v>0.45089573603328925</v>
      </c>
      <c r="Q18" s="111">
        <v>99.167050000000003</v>
      </c>
      <c r="R18" s="113">
        <v>158</v>
      </c>
      <c r="S18" s="114">
        <v>285</v>
      </c>
      <c r="T18" s="114">
        <v>22.8</v>
      </c>
      <c r="U18" s="114">
        <v>180.4</v>
      </c>
      <c r="V18" s="114">
        <v>353.8</v>
      </c>
      <c r="W18" s="114">
        <v>19.8</v>
      </c>
      <c r="X18" s="114">
        <v>657.8</v>
      </c>
      <c r="Y18" s="114">
        <v>160.80000000000001</v>
      </c>
      <c r="Z18" s="114">
        <v>21</v>
      </c>
      <c r="AA18" s="115">
        <v>26.4</v>
      </c>
      <c r="AB18" s="114">
        <v>20.399999999999999</v>
      </c>
      <c r="AC18" s="114">
        <v>43.5</v>
      </c>
      <c r="AD18" s="114">
        <v>106</v>
      </c>
      <c r="AE18" s="114">
        <v>2.9</v>
      </c>
      <c r="AF18" s="114">
        <v>23.5</v>
      </c>
      <c r="AG18" s="114">
        <v>40.9</v>
      </c>
      <c r="AH18" s="114">
        <v>0</v>
      </c>
      <c r="AI18" s="114">
        <v>24.8</v>
      </c>
    </row>
    <row r="19" spans="1:63" ht="15.95" x14ac:dyDescent="0.2">
      <c r="A19" s="109" t="s">
        <v>782</v>
      </c>
      <c r="B19" s="110">
        <v>47.200400363443144</v>
      </c>
      <c r="C19" s="110">
        <v>100.11231738579728</v>
      </c>
      <c r="D19" s="45">
        <v>3030</v>
      </c>
      <c r="G19" s="111">
        <v>49.483473645402356</v>
      </c>
      <c r="H19" s="112">
        <v>1.8936461620913476</v>
      </c>
      <c r="I19" s="111">
        <v>15.830482103019515</v>
      </c>
      <c r="J19" s="111">
        <v>10.490522448973834</v>
      </c>
      <c r="K19" s="112">
        <v>0.15555188120745256</v>
      </c>
      <c r="L19" s="111">
        <v>7.6982362020755764</v>
      </c>
      <c r="M19" s="111">
        <v>8.5008528753066965</v>
      </c>
      <c r="N19" s="111">
        <v>3.9697368061766922</v>
      </c>
      <c r="O19" s="111">
        <v>1.5425309655350514</v>
      </c>
      <c r="P19" s="112">
        <v>0.43497698612033475</v>
      </c>
      <c r="Q19" s="111">
        <v>99.24663000000001</v>
      </c>
      <c r="R19" s="113">
        <v>140.30000000000001</v>
      </c>
      <c r="S19" s="114">
        <v>272.8</v>
      </c>
      <c r="T19" s="114">
        <v>22.5</v>
      </c>
      <c r="U19" s="114">
        <v>185.5</v>
      </c>
      <c r="V19" s="114">
        <v>332.7</v>
      </c>
      <c r="W19" s="114">
        <v>19.5</v>
      </c>
      <c r="X19" s="114">
        <v>641</v>
      </c>
      <c r="Y19" s="114">
        <v>155.1</v>
      </c>
      <c r="Z19" s="114">
        <v>20</v>
      </c>
      <c r="AA19" s="115">
        <v>25.2</v>
      </c>
      <c r="AB19" s="114">
        <v>20.6</v>
      </c>
      <c r="AC19" s="114">
        <v>43.5</v>
      </c>
      <c r="AD19" s="114">
        <v>105.3</v>
      </c>
      <c r="AE19" s="114">
        <v>2.5</v>
      </c>
      <c r="AF19" s="114">
        <v>19.5</v>
      </c>
      <c r="AG19" s="114">
        <v>39</v>
      </c>
      <c r="AH19" s="114">
        <v>0</v>
      </c>
      <c r="AI19" s="114">
        <v>22.8</v>
      </c>
      <c r="AJ19" s="45">
        <v>0</v>
      </c>
      <c r="AK19" s="45">
        <v>19.850000000000001</v>
      </c>
      <c r="AL19" s="45">
        <v>42.2</v>
      </c>
      <c r="AM19" s="45">
        <v>5.52</v>
      </c>
      <c r="AN19" s="45">
        <v>23.84</v>
      </c>
      <c r="AO19" s="45">
        <v>5.71</v>
      </c>
      <c r="AP19" s="45">
        <v>2.02</v>
      </c>
      <c r="AQ19" s="45">
        <v>5.5</v>
      </c>
      <c r="AR19" s="45">
        <v>0.83</v>
      </c>
      <c r="AS19" s="45">
        <v>4.6500000000000004</v>
      </c>
      <c r="AT19" s="45">
        <v>0.86</v>
      </c>
      <c r="AU19" s="45">
        <v>2.11</v>
      </c>
      <c r="AV19" s="45">
        <v>0.28999999999999998</v>
      </c>
      <c r="AW19" s="45">
        <v>1.69</v>
      </c>
      <c r="AX19" s="45">
        <v>0.25</v>
      </c>
      <c r="AY19" s="45">
        <v>316</v>
      </c>
      <c r="AZ19" s="45">
        <v>1.87</v>
      </c>
      <c r="BA19" s="45">
        <v>26.64</v>
      </c>
      <c r="BB19" s="45">
        <v>21.48</v>
      </c>
      <c r="BC19" s="45">
        <v>3.7</v>
      </c>
      <c r="BD19" s="45">
        <v>1.61</v>
      </c>
      <c r="BE19" s="45">
        <v>0.49</v>
      </c>
      <c r="BF19" s="45">
        <v>2.12</v>
      </c>
      <c r="BG19" s="45">
        <v>19.899999999999999</v>
      </c>
      <c r="BH19" s="45">
        <v>0.14000000000000001</v>
      </c>
      <c r="BI19" s="45">
        <v>651</v>
      </c>
      <c r="BJ19" s="45">
        <v>24.8</v>
      </c>
      <c r="BK19" s="45">
        <v>154</v>
      </c>
    </row>
    <row r="20" spans="1:63" ht="15.95" x14ac:dyDescent="0.2">
      <c r="A20" s="109" t="s">
        <v>783</v>
      </c>
      <c r="B20" s="110">
        <v>47.200337963868222</v>
      </c>
      <c r="C20" s="110">
        <v>100.11302099208157</v>
      </c>
      <c r="D20" s="45">
        <v>3061</v>
      </c>
      <c r="G20" s="111">
        <v>50.577041709416577</v>
      </c>
      <c r="H20" s="112">
        <v>2.1409142155352985</v>
      </c>
      <c r="I20" s="111">
        <v>16.387097372581277</v>
      </c>
      <c r="J20" s="111">
        <v>9.628427985648333</v>
      </c>
      <c r="K20" s="112">
        <v>0.14171610062054857</v>
      </c>
      <c r="L20" s="111">
        <v>6.1291381791966169</v>
      </c>
      <c r="M20" s="111">
        <v>7.9282985286910819</v>
      </c>
      <c r="N20" s="111">
        <v>4.2304731051432247</v>
      </c>
      <c r="O20" s="111">
        <v>2.2732040833835478</v>
      </c>
      <c r="P20" s="112">
        <v>0.56368871978350521</v>
      </c>
      <c r="Q20" s="111">
        <v>99.191270000000003</v>
      </c>
      <c r="R20" s="113">
        <v>73.5</v>
      </c>
      <c r="S20" s="114">
        <v>187.6</v>
      </c>
      <c r="T20" s="114">
        <v>18.5</v>
      </c>
      <c r="U20" s="114">
        <v>172.5</v>
      </c>
      <c r="V20" s="114">
        <v>482.3</v>
      </c>
      <c r="W20" s="114">
        <v>29.2</v>
      </c>
      <c r="X20" s="114">
        <v>773.4</v>
      </c>
      <c r="Y20" s="114">
        <v>208.8</v>
      </c>
      <c r="Z20" s="114">
        <v>21.4</v>
      </c>
      <c r="AA20" s="115">
        <v>32.200000000000003</v>
      </c>
      <c r="AB20" s="114">
        <v>22.7</v>
      </c>
      <c r="AC20" s="114">
        <v>37</v>
      </c>
      <c r="AD20" s="114">
        <v>103.8</v>
      </c>
      <c r="AE20" s="114">
        <v>1.4</v>
      </c>
      <c r="AF20" s="114">
        <v>31.6</v>
      </c>
      <c r="AG20" s="114">
        <v>58.6</v>
      </c>
      <c r="AH20" s="114">
        <v>0</v>
      </c>
      <c r="AI20" s="114">
        <v>29.7</v>
      </c>
    </row>
    <row r="21" spans="1:63" ht="15.95" x14ac:dyDescent="0.2">
      <c r="A21" s="109" t="s">
        <v>784</v>
      </c>
      <c r="B21" s="110">
        <v>47.200293250797024</v>
      </c>
      <c r="C21" s="110">
        <v>100.11352516855916</v>
      </c>
      <c r="D21" s="45">
        <v>3084</v>
      </c>
      <c r="G21" s="111">
        <v>48.910311403039543</v>
      </c>
      <c r="H21" s="112">
        <v>1.9301356673253893</v>
      </c>
      <c r="I21" s="111">
        <v>15.989325861974997</v>
      </c>
      <c r="J21" s="111">
        <v>10.110172929917661</v>
      </c>
      <c r="K21" s="112">
        <v>0.15599421077385481</v>
      </c>
      <c r="L21" s="111">
        <v>8.1356996223276798</v>
      </c>
      <c r="M21" s="111">
        <v>8.7456474829583204</v>
      </c>
      <c r="N21" s="111">
        <v>3.8822938092825434</v>
      </c>
      <c r="O21" s="111">
        <v>1.6904923870061344</v>
      </c>
      <c r="P21" s="112">
        <v>0.44993671818701142</v>
      </c>
      <c r="Q21" s="111">
        <v>99.080600000000004</v>
      </c>
      <c r="R21" s="113">
        <v>139.80000000000001</v>
      </c>
      <c r="S21" s="114">
        <v>290.39999999999998</v>
      </c>
      <c r="T21" s="114">
        <v>23.7</v>
      </c>
      <c r="U21" s="114">
        <v>182.3</v>
      </c>
      <c r="V21" s="114">
        <v>381</v>
      </c>
      <c r="W21" s="114">
        <v>22</v>
      </c>
      <c r="X21" s="114">
        <v>639.4</v>
      </c>
      <c r="Y21" s="114">
        <v>156.4</v>
      </c>
      <c r="Z21" s="114">
        <v>21</v>
      </c>
      <c r="AA21" s="115">
        <v>26.4</v>
      </c>
      <c r="AB21" s="114">
        <v>20.2</v>
      </c>
      <c r="AC21" s="114">
        <v>46.1</v>
      </c>
      <c r="AD21" s="114">
        <v>93.9</v>
      </c>
      <c r="AE21" s="114">
        <v>2.2999999999999998</v>
      </c>
      <c r="AF21" s="114">
        <v>22.3</v>
      </c>
      <c r="AG21" s="114">
        <v>44.2</v>
      </c>
      <c r="AH21" s="114">
        <v>0</v>
      </c>
      <c r="AI21" s="114">
        <v>23.3</v>
      </c>
    </row>
    <row r="22" spans="1:63" ht="15.95" x14ac:dyDescent="0.2">
      <c r="A22" s="109" t="s">
        <v>785</v>
      </c>
      <c r="B22" s="110">
        <v>47.200264236981937</v>
      </c>
      <c r="C22" s="110">
        <v>100.1138523230735</v>
      </c>
      <c r="D22" s="45">
        <v>3098</v>
      </c>
      <c r="G22" s="111">
        <v>49.786275900234536</v>
      </c>
      <c r="H22" s="112">
        <v>1.9428020765705443</v>
      </c>
      <c r="I22" s="111">
        <v>16.019075956453026</v>
      </c>
      <c r="J22" s="111">
        <v>10.121155242094874</v>
      </c>
      <c r="K22" s="112">
        <v>0.15154636787815917</v>
      </c>
      <c r="L22" s="111">
        <v>7.5142622480848571</v>
      </c>
      <c r="M22" s="111">
        <v>8.3589271211899785</v>
      </c>
      <c r="N22" s="111">
        <v>3.8914835373250058</v>
      </c>
      <c r="O22" s="111">
        <v>1.7815831734220691</v>
      </c>
      <c r="P22" s="112">
        <v>0.43287839477040263</v>
      </c>
      <c r="Q22" s="111">
        <v>100.18056</v>
      </c>
      <c r="R22" s="113">
        <v>108.5</v>
      </c>
      <c r="S22" s="114">
        <v>242.7</v>
      </c>
      <c r="T22" s="114">
        <v>21.5</v>
      </c>
      <c r="U22" s="114">
        <v>176.7</v>
      </c>
      <c r="V22" s="114">
        <v>414.6</v>
      </c>
      <c r="W22" s="114">
        <v>24.5</v>
      </c>
      <c r="X22" s="114">
        <v>669</v>
      </c>
      <c r="Y22" s="114">
        <v>165.4</v>
      </c>
      <c r="Z22" s="114">
        <v>22</v>
      </c>
      <c r="AA22" s="115">
        <v>27.5</v>
      </c>
      <c r="AB22" s="114">
        <v>21.4</v>
      </c>
      <c r="AC22" s="114">
        <v>38.799999999999997</v>
      </c>
      <c r="AD22" s="114">
        <v>101.2</v>
      </c>
      <c r="AE22" s="114">
        <v>2.8</v>
      </c>
      <c r="AF22" s="114">
        <v>22.5</v>
      </c>
      <c r="AG22" s="114">
        <v>42.7</v>
      </c>
      <c r="AH22" s="114">
        <v>0</v>
      </c>
      <c r="AI22" s="114">
        <v>22.1</v>
      </c>
    </row>
    <row r="23" spans="1:63" ht="15.95" x14ac:dyDescent="0.2">
      <c r="A23" s="109" t="s">
        <v>786</v>
      </c>
      <c r="B23" s="110">
        <v>47.200257877789582</v>
      </c>
      <c r="C23" s="110">
        <v>100.11392402817255</v>
      </c>
      <c r="D23" s="45">
        <v>3102</v>
      </c>
      <c r="G23" s="111">
        <v>49.821853549170953</v>
      </c>
      <c r="H23" s="112">
        <v>1.9251609314138156</v>
      </c>
      <c r="I23" s="111">
        <v>15.895779537381921</v>
      </c>
      <c r="J23" s="111">
        <v>10.079202140151853</v>
      </c>
      <c r="K23" s="112">
        <v>0.15228648216031304</v>
      </c>
      <c r="L23" s="111">
        <v>7.7622108038399658</v>
      </c>
      <c r="M23" s="111">
        <v>8.2966900636861585</v>
      </c>
      <c r="N23" s="111">
        <v>3.8810006451024588</v>
      </c>
      <c r="O23" s="111">
        <v>1.7553551186276177</v>
      </c>
      <c r="P23" s="112">
        <v>0.43046072846494154</v>
      </c>
      <c r="Q23" s="111">
        <v>100.23214</v>
      </c>
      <c r="R23" s="113">
        <v>115.6</v>
      </c>
      <c r="S23" s="114">
        <v>239.3</v>
      </c>
      <c r="T23" s="114">
        <v>21</v>
      </c>
      <c r="U23" s="114">
        <v>173.9</v>
      </c>
      <c r="V23" s="114">
        <v>405.4</v>
      </c>
      <c r="W23" s="114">
        <v>21.4</v>
      </c>
      <c r="X23" s="114">
        <v>650.5</v>
      </c>
      <c r="Y23" s="114">
        <v>162</v>
      </c>
      <c r="Z23" s="114">
        <v>21.9</v>
      </c>
      <c r="AA23" s="115">
        <v>26.3</v>
      </c>
      <c r="AB23" s="114">
        <v>21.1</v>
      </c>
      <c r="AC23" s="114">
        <v>38.200000000000003</v>
      </c>
      <c r="AD23" s="114">
        <v>100.2</v>
      </c>
      <c r="AE23" s="114">
        <v>3.2</v>
      </c>
      <c r="AF23" s="114">
        <v>20.7</v>
      </c>
      <c r="AG23" s="114">
        <v>46.9</v>
      </c>
      <c r="AH23" s="114">
        <v>0</v>
      </c>
      <c r="AI23" s="114">
        <v>24.7</v>
      </c>
    </row>
    <row r="24" spans="1:63" ht="15.95" x14ac:dyDescent="0.2">
      <c r="A24" s="109" t="s">
        <v>787</v>
      </c>
      <c r="B24" s="110">
        <v>47.200249928799153</v>
      </c>
      <c r="C24" s="110">
        <v>100.11401365954633</v>
      </c>
      <c r="D24" s="45">
        <v>3106</v>
      </c>
      <c r="G24" s="111">
        <v>50.116875118329766</v>
      </c>
      <c r="H24" s="112">
        <v>1.9515315326284728</v>
      </c>
      <c r="I24" s="111">
        <v>16.117149179279281</v>
      </c>
      <c r="J24" s="111">
        <v>10.059094766503765</v>
      </c>
      <c r="K24" s="112">
        <v>0.15048401299484046</v>
      </c>
      <c r="L24" s="111">
        <v>7.3155310819149815</v>
      </c>
      <c r="M24" s="111">
        <v>8.2604624963159967</v>
      </c>
      <c r="N24" s="111">
        <v>3.8877531782736536</v>
      </c>
      <c r="O24" s="111">
        <v>1.7168231804863017</v>
      </c>
      <c r="P24" s="112">
        <v>0.42429545327295748</v>
      </c>
      <c r="Q24" s="111">
        <v>99.19472309999999</v>
      </c>
      <c r="R24" s="113">
        <v>105</v>
      </c>
      <c r="S24" s="114">
        <v>225.7</v>
      </c>
      <c r="T24" s="114">
        <v>22.7</v>
      </c>
      <c r="U24" s="114">
        <v>170.6</v>
      </c>
      <c r="V24" s="114">
        <v>392.4</v>
      </c>
      <c r="W24" s="114">
        <v>22.4</v>
      </c>
      <c r="X24" s="114">
        <v>635.9</v>
      </c>
      <c r="Y24" s="114">
        <v>165.2</v>
      </c>
      <c r="Z24" s="114">
        <v>22.6</v>
      </c>
      <c r="AA24" s="115">
        <v>29</v>
      </c>
      <c r="AB24" s="114">
        <v>19.399999999999999</v>
      </c>
      <c r="AC24" s="114">
        <v>39</v>
      </c>
      <c r="AD24" s="114">
        <v>100.6</v>
      </c>
      <c r="AE24" s="114">
        <v>3</v>
      </c>
      <c r="AF24" s="114">
        <v>21.7</v>
      </c>
      <c r="AG24" s="114">
        <v>44</v>
      </c>
      <c r="AH24" s="114">
        <v>2.9</v>
      </c>
      <c r="AI24" s="114">
        <v>23.5</v>
      </c>
      <c r="AJ24" s="45">
        <v>0</v>
      </c>
      <c r="AK24" s="45">
        <v>20.85</v>
      </c>
      <c r="AL24" s="45">
        <v>42.92</v>
      </c>
      <c r="AM24" s="45">
        <v>5.49</v>
      </c>
      <c r="AN24" s="45">
        <v>23.74</v>
      </c>
      <c r="AO24" s="45">
        <v>5.54</v>
      </c>
      <c r="AP24" s="45">
        <v>1.91</v>
      </c>
      <c r="AQ24" s="45">
        <v>5.37</v>
      </c>
      <c r="AR24" s="45">
        <v>0.81</v>
      </c>
      <c r="AS24" s="45">
        <v>4.47</v>
      </c>
      <c r="AT24" s="45">
        <v>0.83</v>
      </c>
      <c r="AU24" s="45">
        <v>2.08</v>
      </c>
      <c r="AV24" s="45">
        <v>0.28000000000000003</v>
      </c>
      <c r="AW24" s="45">
        <v>1.65</v>
      </c>
      <c r="AX24" s="45">
        <v>0.24</v>
      </c>
      <c r="AY24" s="45">
        <v>368</v>
      </c>
      <c r="AZ24" s="45">
        <v>2.09</v>
      </c>
      <c r="BA24" s="45">
        <v>26.4</v>
      </c>
      <c r="BB24" s="45">
        <v>20.69</v>
      </c>
      <c r="BC24" s="45">
        <v>3.78</v>
      </c>
      <c r="BD24" s="45">
        <v>1.64</v>
      </c>
      <c r="BE24" s="45">
        <v>0.5</v>
      </c>
      <c r="BF24" s="45">
        <v>2.93</v>
      </c>
      <c r="BG24" s="45">
        <v>20</v>
      </c>
      <c r="BH24" s="45">
        <v>0.21</v>
      </c>
      <c r="BI24" s="45">
        <v>610</v>
      </c>
      <c r="BJ24" s="45">
        <v>23</v>
      </c>
      <c r="BK24" s="45">
        <v>153</v>
      </c>
    </row>
    <row r="25" spans="1:63" ht="15.95" x14ac:dyDescent="0.2">
      <c r="A25" s="109" t="s">
        <v>788</v>
      </c>
      <c r="B25" s="110">
        <v>47.200243967056323</v>
      </c>
      <c r="C25" s="110">
        <v>100.11408088307668</v>
      </c>
      <c r="D25" s="45">
        <v>3109</v>
      </c>
      <c r="G25" s="111">
        <v>50.285566237724325</v>
      </c>
      <c r="H25" s="112">
        <v>1.9676310691994801</v>
      </c>
      <c r="I25" s="111">
        <v>16.374007888488496</v>
      </c>
      <c r="J25" s="111">
        <v>10.058067347264455</v>
      </c>
      <c r="K25" s="112">
        <v>0.15202720741099951</v>
      </c>
      <c r="L25" s="111">
        <v>7.128841486411515</v>
      </c>
      <c r="M25" s="111">
        <v>8.4910184385758889</v>
      </c>
      <c r="N25" s="111">
        <v>3.983675713082254</v>
      </c>
      <c r="O25" s="111">
        <v>1.1184124579075856</v>
      </c>
      <c r="P25" s="112">
        <v>0.44075215393500772</v>
      </c>
      <c r="Q25" s="111">
        <v>99.19717829999999</v>
      </c>
      <c r="R25" s="113">
        <v>101</v>
      </c>
      <c r="S25" s="114">
        <v>227.6</v>
      </c>
      <c r="T25" s="114">
        <v>22.1</v>
      </c>
      <c r="U25" s="114">
        <v>177.7</v>
      </c>
      <c r="V25" s="114">
        <v>391.3</v>
      </c>
      <c r="W25" s="114">
        <v>20.9</v>
      </c>
      <c r="X25" s="114">
        <v>657.3</v>
      </c>
      <c r="Y25" s="114">
        <v>168.6</v>
      </c>
      <c r="Z25" s="114">
        <v>22.7</v>
      </c>
      <c r="AA25" s="115">
        <v>29</v>
      </c>
      <c r="AB25" s="114">
        <v>19.600000000000001</v>
      </c>
      <c r="AC25" s="114">
        <v>36.700000000000003</v>
      </c>
      <c r="AD25" s="114">
        <v>102.2</v>
      </c>
      <c r="AE25" s="114">
        <v>3</v>
      </c>
      <c r="AF25" s="114">
        <v>19.7</v>
      </c>
      <c r="AG25" s="114">
        <v>39.4</v>
      </c>
      <c r="AH25" s="114">
        <v>3.1</v>
      </c>
      <c r="AI25" s="114">
        <v>22.2</v>
      </c>
    </row>
    <row r="26" spans="1:63" ht="15.95" x14ac:dyDescent="0.2">
      <c r="A26" s="109" t="s">
        <v>789</v>
      </c>
      <c r="B26" s="110">
        <v>47.200229658873539</v>
      </c>
      <c r="C26" s="110">
        <v>100.11424221954951</v>
      </c>
      <c r="D26" s="45">
        <v>3116</v>
      </c>
      <c r="G26" s="111">
        <v>49.791870537943083</v>
      </c>
      <c r="H26" s="112">
        <v>1.984619564948092</v>
      </c>
      <c r="I26" s="111">
        <v>16.280028804312593</v>
      </c>
      <c r="J26" s="111">
        <v>9.6503042786700917</v>
      </c>
      <c r="K26" s="112">
        <v>0.14948228788597842</v>
      </c>
      <c r="L26" s="111">
        <v>6.8240454324221638</v>
      </c>
      <c r="M26" s="111">
        <v>8.3967038660010918</v>
      </c>
      <c r="N26" s="111">
        <v>4.0035203473182825</v>
      </c>
      <c r="O26" s="111">
        <v>2.390857047626723</v>
      </c>
      <c r="P26" s="112">
        <v>0.52856783287188525</v>
      </c>
      <c r="Q26" s="111">
        <v>97.899090300000012</v>
      </c>
      <c r="R26" s="113">
        <v>90</v>
      </c>
      <c r="S26" s="114">
        <v>211.9</v>
      </c>
      <c r="T26" s="114">
        <v>20.5</v>
      </c>
      <c r="U26" s="114">
        <v>192.1</v>
      </c>
      <c r="V26" s="114">
        <v>628.4</v>
      </c>
      <c r="W26" s="114">
        <v>36.4</v>
      </c>
      <c r="X26" s="114">
        <v>778.8</v>
      </c>
      <c r="Y26" s="114">
        <v>171.3</v>
      </c>
      <c r="Z26" s="114">
        <v>21.9</v>
      </c>
      <c r="AA26" s="115">
        <v>33.5</v>
      </c>
      <c r="AB26" s="114">
        <v>19.8</v>
      </c>
      <c r="AC26" s="114">
        <v>35.9</v>
      </c>
      <c r="AD26" s="114">
        <v>98.5</v>
      </c>
      <c r="AE26" s="114">
        <v>2.6</v>
      </c>
      <c r="AF26" s="114">
        <v>30.5</v>
      </c>
      <c r="AG26" s="114">
        <v>60.5</v>
      </c>
      <c r="AH26" s="114">
        <v>3.1</v>
      </c>
      <c r="AI26" s="114">
        <v>30.4</v>
      </c>
    </row>
    <row r="27" spans="1:63" ht="15.95" x14ac:dyDescent="0.2">
      <c r="A27" s="109" t="s">
        <v>790</v>
      </c>
      <c r="B27" s="110">
        <v>47.200221312433584</v>
      </c>
      <c r="C27" s="110">
        <v>100.11433633249199</v>
      </c>
      <c r="D27" s="45">
        <v>3120</v>
      </c>
      <c r="G27" s="111">
        <v>49.828898998721499</v>
      </c>
      <c r="H27" s="112">
        <v>1.9642549358294785</v>
      </c>
      <c r="I27" s="111">
        <v>16.171649061914909</v>
      </c>
      <c r="J27" s="111">
        <v>9.8117693464853151</v>
      </c>
      <c r="K27" s="112">
        <v>0.14998973764981052</v>
      </c>
      <c r="L27" s="111">
        <v>6.9913626806802789</v>
      </c>
      <c r="M27" s="111">
        <v>8.3644721547395964</v>
      </c>
      <c r="N27" s="111">
        <v>3.990314587406897</v>
      </c>
      <c r="O27" s="111">
        <v>2.2188033327621435</v>
      </c>
      <c r="P27" s="112">
        <v>0.50848516381007014</v>
      </c>
      <c r="Q27" s="111">
        <v>98.736155100000019</v>
      </c>
      <c r="R27" s="113">
        <v>97</v>
      </c>
      <c r="S27" s="114">
        <v>216</v>
      </c>
      <c r="T27" s="114">
        <v>20.8</v>
      </c>
      <c r="U27" s="114">
        <v>185.2</v>
      </c>
      <c r="V27" s="114">
        <v>578.79999999999995</v>
      </c>
      <c r="W27" s="114">
        <v>33</v>
      </c>
      <c r="X27" s="114">
        <v>746</v>
      </c>
      <c r="Y27" s="114">
        <v>173.3</v>
      </c>
      <c r="Z27" s="114">
        <v>21.4</v>
      </c>
      <c r="AA27" s="115">
        <v>33</v>
      </c>
      <c r="AB27" s="114">
        <v>19.399999999999999</v>
      </c>
      <c r="AC27" s="114">
        <v>38.1</v>
      </c>
      <c r="AD27" s="114">
        <v>98.8</v>
      </c>
      <c r="AE27" s="114">
        <v>3.4</v>
      </c>
      <c r="AF27" s="114">
        <v>31.1</v>
      </c>
      <c r="AG27" s="114">
        <v>57.6</v>
      </c>
      <c r="AH27" s="114">
        <v>2.7</v>
      </c>
      <c r="AI27" s="114">
        <v>28.2</v>
      </c>
    </row>
    <row r="28" spans="1:63" ht="15.95" x14ac:dyDescent="0.2">
      <c r="A28" s="109" t="s">
        <v>791</v>
      </c>
      <c r="B28" s="110">
        <v>47.200207202975555</v>
      </c>
      <c r="C28" s="110">
        <v>100.11449542818048</v>
      </c>
      <c r="D28" s="45">
        <v>3127</v>
      </c>
      <c r="E28" s="45">
        <v>7.97</v>
      </c>
      <c r="F28" s="45">
        <v>0.17</v>
      </c>
      <c r="G28" s="111">
        <v>48.534184102175665</v>
      </c>
      <c r="H28" s="112">
        <v>1.8632361881369932</v>
      </c>
      <c r="I28" s="111">
        <v>16.084036755580989</v>
      </c>
      <c r="J28" s="111">
        <v>9.9075828416898588</v>
      </c>
      <c r="K28" s="112">
        <v>0.15302083603269354</v>
      </c>
      <c r="L28" s="111">
        <v>8.3041305994908008</v>
      </c>
      <c r="M28" s="111">
        <v>8.3283267957931386</v>
      </c>
      <c r="N28" s="111">
        <v>4.3515126494874661</v>
      </c>
      <c r="O28" s="111">
        <v>1.942030202849909</v>
      </c>
      <c r="P28" s="112">
        <v>0.53193902876249621</v>
      </c>
      <c r="Q28" s="111">
        <v>99.711126899999996</v>
      </c>
      <c r="R28" s="113">
        <v>152</v>
      </c>
      <c r="S28" s="114">
        <v>261.10000000000002</v>
      </c>
      <c r="T28" s="114">
        <v>21.1</v>
      </c>
      <c r="U28" s="114">
        <v>193.2</v>
      </c>
      <c r="V28" s="114">
        <v>470.5</v>
      </c>
      <c r="W28" s="114">
        <v>40.9</v>
      </c>
      <c r="X28" s="114">
        <v>761.7</v>
      </c>
      <c r="Y28" s="114">
        <v>184.6</v>
      </c>
      <c r="Z28" s="114">
        <v>21.7</v>
      </c>
      <c r="AA28" s="115">
        <v>41.7</v>
      </c>
      <c r="AB28" s="114">
        <v>21.7</v>
      </c>
      <c r="AC28" s="114">
        <v>43.8</v>
      </c>
      <c r="AD28" s="114">
        <v>100.3</v>
      </c>
      <c r="AE28" s="114">
        <v>1.9</v>
      </c>
      <c r="AF28" s="114">
        <v>31</v>
      </c>
      <c r="AG28" s="114">
        <v>64.2</v>
      </c>
      <c r="AH28" s="114">
        <v>3.1</v>
      </c>
      <c r="AI28" s="114">
        <v>29.7</v>
      </c>
    </row>
    <row r="29" spans="1:63" ht="15.95" x14ac:dyDescent="0.2">
      <c r="A29" s="109" t="s">
        <v>792</v>
      </c>
      <c r="B29" s="110">
        <v>47.200149572794899</v>
      </c>
      <c r="C29" s="110">
        <v>100.11514525564048</v>
      </c>
      <c r="D29" s="45">
        <v>3156</v>
      </c>
      <c r="G29" s="111">
        <v>48.437809894786042</v>
      </c>
      <c r="H29" s="112">
        <v>1.9720877797990752</v>
      </c>
      <c r="I29" s="111">
        <v>16.544412378968758</v>
      </c>
      <c r="J29" s="111">
        <v>9.832316344462539</v>
      </c>
      <c r="K29" s="112">
        <v>0.15797450886221531</v>
      </c>
      <c r="L29" s="111">
        <v>8.2818939772574467</v>
      </c>
      <c r="M29" s="111">
        <v>8.4071486821659072</v>
      </c>
      <c r="N29" s="111">
        <v>4.0059129577950117</v>
      </c>
      <c r="O29" s="111">
        <v>1.866859588407852</v>
      </c>
      <c r="P29" s="112">
        <v>0.49356354568353872</v>
      </c>
      <c r="Q29" s="111">
        <v>98.319660000000013</v>
      </c>
      <c r="R29" s="113">
        <v>132</v>
      </c>
      <c r="S29" s="114">
        <v>215.8</v>
      </c>
      <c r="T29" s="114">
        <v>20.100000000000001</v>
      </c>
      <c r="U29" s="114">
        <v>173.7</v>
      </c>
      <c r="V29" s="114">
        <v>487.4</v>
      </c>
      <c r="W29" s="114">
        <v>28.9</v>
      </c>
      <c r="X29" s="114">
        <v>834.4</v>
      </c>
      <c r="Y29" s="114">
        <v>245.1</v>
      </c>
      <c r="Z29" s="114">
        <v>20.5</v>
      </c>
      <c r="AA29" s="115">
        <v>41.4</v>
      </c>
      <c r="AB29" s="114">
        <v>18.600000000000001</v>
      </c>
      <c r="AC29" s="114">
        <v>36.9</v>
      </c>
      <c r="AD29" s="114">
        <v>106.1</v>
      </c>
      <c r="AE29" s="114">
        <v>2.5</v>
      </c>
      <c r="AF29" s="114">
        <v>28.1</v>
      </c>
      <c r="AG29" s="114">
        <v>67.900000000000006</v>
      </c>
      <c r="AH29" s="114">
        <v>3.8</v>
      </c>
      <c r="AI29" s="114">
        <v>33.1</v>
      </c>
      <c r="AJ29" s="45">
        <v>0</v>
      </c>
      <c r="AK29" s="45">
        <v>31.92</v>
      </c>
      <c r="AL29" s="45">
        <v>64.12</v>
      </c>
      <c r="AM29" s="45">
        <v>7.77</v>
      </c>
      <c r="AN29" s="45">
        <v>31.09</v>
      </c>
      <c r="AO29" s="45">
        <v>6.61</v>
      </c>
      <c r="AP29" s="45">
        <v>2.2200000000000002</v>
      </c>
      <c r="AQ29" s="45">
        <v>5.98</v>
      </c>
      <c r="AR29" s="45">
        <v>0.88</v>
      </c>
      <c r="AS29" s="45">
        <v>4.75</v>
      </c>
      <c r="AT29" s="45">
        <v>0.86</v>
      </c>
      <c r="AU29" s="45">
        <v>2.04</v>
      </c>
      <c r="AV29" s="45">
        <v>0.26</v>
      </c>
      <c r="AW29" s="45">
        <v>1.46</v>
      </c>
      <c r="AX29" s="45">
        <v>0.22</v>
      </c>
      <c r="AY29" s="45">
        <v>457</v>
      </c>
      <c r="AZ29" s="45">
        <v>3.44</v>
      </c>
      <c r="BA29" s="45">
        <v>41.02</v>
      </c>
      <c r="BB29" s="45">
        <v>21.19</v>
      </c>
      <c r="BC29" s="45">
        <v>4.8600000000000003</v>
      </c>
      <c r="BD29" s="45">
        <v>2.68</v>
      </c>
      <c r="BE29" s="45">
        <v>0.89</v>
      </c>
      <c r="BF29" s="45">
        <v>3.01</v>
      </c>
      <c r="BG29" s="45">
        <v>28.4</v>
      </c>
      <c r="BH29" s="45">
        <v>0.3</v>
      </c>
      <c r="BI29" s="45">
        <v>824</v>
      </c>
      <c r="BJ29" s="45">
        <v>21</v>
      </c>
      <c r="BK29" s="45">
        <v>212</v>
      </c>
    </row>
    <row r="30" spans="1:63" ht="15.95" x14ac:dyDescent="0.2">
      <c r="A30" s="109" t="s">
        <v>793</v>
      </c>
      <c r="B30" s="110">
        <v>47.200111417640805</v>
      </c>
      <c r="C30" s="110">
        <v>100.11557548623469</v>
      </c>
      <c r="D30" s="45">
        <v>3175</v>
      </c>
      <c r="G30" s="111">
        <v>50.638338186343937</v>
      </c>
      <c r="H30" s="112">
        <v>2.2199075253310645</v>
      </c>
      <c r="I30" s="111">
        <v>16.658387586978158</v>
      </c>
      <c r="J30" s="111">
        <v>9.3908624331070847</v>
      </c>
      <c r="K30" s="112">
        <v>0.13689174688849903</v>
      </c>
      <c r="L30" s="111">
        <v>5.528908351493949</v>
      </c>
      <c r="M30" s="111">
        <v>7.8062928925627828</v>
      </c>
      <c r="N30" s="111">
        <v>4.4252268222851745</v>
      </c>
      <c r="O30" s="111">
        <v>2.5375966533053664</v>
      </c>
      <c r="P30" s="112">
        <v>0.65758780170399367</v>
      </c>
      <c r="Q30" s="111">
        <v>99.326660000000004</v>
      </c>
      <c r="R30" s="113">
        <v>52</v>
      </c>
      <c r="S30" s="114">
        <v>143.6</v>
      </c>
      <c r="T30" s="114">
        <v>17.3</v>
      </c>
      <c r="U30" s="114">
        <v>162.80000000000001</v>
      </c>
      <c r="V30" s="114">
        <v>538.70000000000005</v>
      </c>
      <c r="W30" s="114">
        <v>32.6</v>
      </c>
      <c r="X30" s="114">
        <v>812.8</v>
      </c>
      <c r="Y30" s="114">
        <v>195.6</v>
      </c>
      <c r="Z30" s="114">
        <v>20.2</v>
      </c>
      <c r="AA30" s="115">
        <v>36.4</v>
      </c>
      <c r="AB30" s="114">
        <v>20.9</v>
      </c>
      <c r="AC30" s="114">
        <v>32</v>
      </c>
      <c r="AD30" s="114">
        <v>107.9</v>
      </c>
      <c r="AE30" s="114">
        <v>3.4</v>
      </c>
      <c r="AF30" s="114">
        <v>32.700000000000003</v>
      </c>
      <c r="AG30" s="114">
        <v>57.4</v>
      </c>
      <c r="AH30" s="114">
        <v>3.8</v>
      </c>
      <c r="AI30" s="114">
        <v>32.1</v>
      </c>
    </row>
    <row r="31" spans="1:63" ht="15.95" x14ac:dyDescent="0.2">
      <c r="A31" s="109" t="s">
        <v>794</v>
      </c>
      <c r="B31" s="110">
        <v>47.200089955366629</v>
      </c>
      <c r="C31" s="110">
        <v>100.11581749094394</v>
      </c>
      <c r="D31" s="45">
        <v>3186</v>
      </c>
      <c r="G31" s="111">
        <v>50.189838245341768</v>
      </c>
      <c r="H31" s="112">
        <v>2.0521091088240495</v>
      </c>
      <c r="I31" s="111">
        <v>16.668256485091497</v>
      </c>
      <c r="J31" s="111">
        <v>9.9692258234123852</v>
      </c>
      <c r="K31" s="112">
        <v>0.14891243986333599</v>
      </c>
      <c r="L31" s="111">
        <v>6.35272543782754</v>
      </c>
      <c r="M31" s="111">
        <v>8.6281385527254564</v>
      </c>
      <c r="N31" s="111">
        <v>3.8877575592882088</v>
      </c>
      <c r="O31" s="111">
        <v>1.6350727140508152</v>
      </c>
      <c r="P31" s="112">
        <v>0.46796363357493603</v>
      </c>
      <c r="Q31" s="111">
        <v>99.530234100000001</v>
      </c>
      <c r="R31" s="113">
        <v>71</v>
      </c>
      <c r="S31" s="114">
        <v>187.6</v>
      </c>
      <c r="T31" s="114">
        <v>21.1</v>
      </c>
      <c r="U31" s="114">
        <v>172.5</v>
      </c>
      <c r="V31" s="114">
        <v>361.7</v>
      </c>
      <c r="W31" s="114">
        <v>22.1</v>
      </c>
      <c r="X31" s="114">
        <v>630.29999999999995</v>
      </c>
      <c r="Y31" s="114">
        <v>162.4</v>
      </c>
      <c r="Z31" s="114">
        <v>23.6</v>
      </c>
      <c r="AA31" s="115">
        <v>30.2</v>
      </c>
      <c r="AB31" s="114">
        <v>19.600000000000001</v>
      </c>
      <c r="AC31" s="114">
        <v>39.299999999999997</v>
      </c>
      <c r="AD31" s="114">
        <v>99.4</v>
      </c>
      <c r="AE31" s="114">
        <v>1.6</v>
      </c>
      <c r="AF31" s="114">
        <v>22.5</v>
      </c>
      <c r="AG31" s="114">
        <v>46.7</v>
      </c>
      <c r="AH31" s="114">
        <v>1.9</v>
      </c>
      <c r="AI31" s="114">
        <v>25.4</v>
      </c>
    </row>
    <row r="32" spans="1:63" ht="15.95" x14ac:dyDescent="0.2">
      <c r="A32" s="109" t="s">
        <v>795</v>
      </c>
      <c r="B32" s="110">
        <v>47.200082999999999</v>
      </c>
      <c r="C32" s="110">
        <v>100.11589591839601</v>
      </c>
      <c r="D32" s="45">
        <v>3190</v>
      </c>
      <c r="G32" s="111">
        <v>50.344770809762416</v>
      </c>
      <c r="H32" s="112">
        <v>2.053483320793934</v>
      </c>
      <c r="I32" s="111">
        <v>16.552759184270208</v>
      </c>
      <c r="J32" s="111">
        <v>9.944982069310738</v>
      </c>
      <c r="K32" s="112">
        <v>0.15326043936330533</v>
      </c>
      <c r="L32" s="111">
        <v>6.3478340130479936</v>
      </c>
      <c r="M32" s="111">
        <v>8.8262229774941598</v>
      </c>
      <c r="N32" s="111">
        <v>3.7356279481501602</v>
      </c>
      <c r="O32" s="111">
        <v>1.584115704612463</v>
      </c>
      <c r="P32" s="112">
        <v>0.45694353319461273</v>
      </c>
      <c r="Q32" s="111">
        <v>98.728413300000014</v>
      </c>
      <c r="R32" s="113">
        <v>72</v>
      </c>
      <c r="S32" s="114">
        <v>183.9</v>
      </c>
      <c r="T32" s="114">
        <v>21.7</v>
      </c>
      <c r="U32" s="114">
        <v>171.5</v>
      </c>
      <c r="V32" s="114">
        <v>363.5</v>
      </c>
      <c r="W32" s="114">
        <v>19.100000000000001</v>
      </c>
      <c r="X32" s="114">
        <v>652</v>
      </c>
      <c r="Y32" s="114">
        <v>140.80000000000001</v>
      </c>
      <c r="Z32" s="114">
        <v>23.7</v>
      </c>
      <c r="AA32" s="115">
        <v>29.1</v>
      </c>
      <c r="AB32" s="114">
        <v>20.5</v>
      </c>
      <c r="AC32" s="114">
        <v>39.700000000000003</v>
      </c>
      <c r="AD32" s="114">
        <v>98.3</v>
      </c>
      <c r="AE32" s="114">
        <v>1.9</v>
      </c>
      <c r="AF32" s="114">
        <v>25.6</v>
      </c>
      <c r="AG32" s="114">
        <v>48.8</v>
      </c>
      <c r="AH32" s="114">
        <v>2.1</v>
      </c>
      <c r="AI32" s="114">
        <v>25.9</v>
      </c>
      <c r="AJ32" s="45">
        <v>0</v>
      </c>
      <c r="AK32" s="45">
        <v>21.26</v>
      </c>
      <c r="AL32" s="45">
        <v>44</v>
      </c>
      <c r="AM32" s="45">
        <v>5.6</v>
      </c>
      <c r="AN32" s="45">
        <v>24.14</v>
      </c>
      <c r="AO32" s="45">
        <v>5.75</v>
      </c>
      <c r="AP32" s="45">
        <v>2</v>
      </c>
      <c r="AQ32" s="45">
        <v>5.55</v>
      </c>
      <c r="AR32" s="45">
        <v>0.84</v>
      </c>
      <c r="AS32" s="45">
        <v>4.8</v>
      </c>
      <c r="AT32" s="45">
        <v>0.87</v>
      </c>
      <c r="AU32" s="45">
        <v>2.1800000000000002</v>
      </c>
      <c r="AV32" s="45">
        <v>0.28999999999999998</v>
      </c>
      <c r="AW32" s="45">
        <v>1.64</v>
      </c>
      <c r="AX32" s="45">
        <v>0.25</v>
      </c>
      <c r="AY32" s="45">
        <v>347</v>
      </c>
      <c r="AZ32" s="45">
        <v>1.95</v>
      </c>
      <c r="BA32" s="45">
        <v>26.9</v>
      </c>
      <c r="BB32" s="45">
        <v>21.56</v>
      </c>
      <c r="BC32" s="45">
        <v>3.71</v>
      </c>
      <c r="BD32" s="45">
        <v>1.65</v>
      </c>
      <c r="BE32" s="45">
        <v>0.34</v>
      </c>
      <c r="BF32" s="45">
        <v>2.52</v>
      </c>
      <c r="BG32" s="45">
        <v>17.100000000000001</v>
      </c>
      <c r="BH32" s="45">
        <v>0.16</v>
      </c>
      <c r="BI32" s="45">
        <v>641</v>
      </c>
      <c r="BJ32" s="45">
        <v>23.4</v>
      </c>
      <c r="BK32" s="45">
        <v>132</v>
      </c>
    </row>
    <row r="33" spans="1:63" x14ac:dyDescent="0.2">
      <c r="A33" s="109" t="s">
        <v>796</v>
      </c>
      <c r="B33" s="110">
        <v>47.200073695534506</v>
      </c>
      <c r="C33" s="110">
        <v>100.11603979498878</v>
      </c>
      <c r="D33" s="45">
        <v>3191</v>
      </c>
      <c r="E33" s="45">
        <v>7.96</v>
      </c>
      <c r="F33" s="45">
        <v>0.17</v>
      </c>
      <c r="G33" s="111">
        <v>50.240481335931165</v>
      </c>
      <c r="H33" s="112">
        <v>2.0448288435523772</v>
      </c>
      <c r="I33" s="111">
        <v>16.482829771081676</v>
      </c>
      <c r="J33" s="111">
        <v>9.7201939904851002</v>
      </c>
      <c r="K33" s="112">
        <v>0.14748759364343428</v>
      </c>
      <c r="L33" s="111">
        <v>6.5134751625032541</v>
      </c>
      <c r="M33" s="111">
        <v>8.7953537645307769</v>
      </c>
      <c r="N33" s="111">
        <v>3.9552442028917159</v>
      </c>
      <c r="O33" s="111">
        <v>1.6378858994475565</v>
      </c>
      <c r="P33" s="112">
        <v>0.46221943593295062</v>
      </c>
      <c r="Q33" s="111">
        <v>98.665993799999995</v>
      </c>
      <c r="R33" s="113">
        <v>71</v>
      </c>
      <c r="S33" s="114">
        <v>187.9</v>
      </c>
      <c r="T33" s="114">
        <v>21.8</v>
      </c>
      <c r="U33" s="114">
        <v>166.7</v>
      </c>
      <c r="V33" s="114">
        <v>352.6</v>
      </c>
      <c r="W33" s="114">
        <v>23.4</v>
      </c>
      <c r="X33" s="114">
        <v>637.5</v>
      </c>
      <c r="Y33" s="114">
        <v>173.5</v>
      </c>
      <c r="Z33" s="114">
        <v>22.9</v>
      </c>
      <c r="AA33" s="115">
        <v>29.6</v>
      </c>
      <c r="AB33" s="114">
        <v>19.399999999999999</v>
      </c>
      <c r="AC33" s="114">
        <v>39.299999999999997</v>
      </c>
      <c r="AD33" s="114">
        <v>97.9</v>
      </c>
      <c r="AE33" s="114">
        <v>1</v>
      </c>
      <c r="AF33" s="114">
        <v>21.3</v>
      </c>
      <c r="AG33" s="114">
        <v>43.2</v>
      </c>
      <c r="AH33" s="114">
        <v>2.2999999999999998</v>
      </c>
      <c r="AI33" s="114">
        <v>22.5</v>
      </c>
    </row>
    <row r="34" spans="1:63" x14ac:dyDescent="0.2">
      <c r="A34" s="109" t="s">
        <v>797</v>
      </c>
      <c r="B34" s="110">
        <v>47.200017351826794</v>
      </c>
      <c r="C34" s="110">
        <v>100.1169110476895</v>
      </c>
      <c r="D34" s="45">
        <v>3202</v>
      </c>
      <c r="G34" s="111">
        <v>50.316648031865462</v>
      </c>
      <c r="H34" s="112">
        <v>2.1208510853147979</v>
      </c>
      <c r="I34" s="111">
        <v>16.578107533004427</v>
      </c>
      <c r="J34" s="111">
        <v>9.817536561760468</v>
      </c>
      <c r="K34" s="112">
        <v>0.14271375933547442</v>
      </c>
      <c r="L34" s="111">
        <v>6.1594721574431492</v>
      </c>
      <c r="M34" s="111">
        <v>8.6906027607689236</v>
      </c>
      <c r="N34" s="111">
        <v>3.9843445630675904</v>
      </c>
      <c r="O34" s="111">
        <v>1.695614972983462</v>
      </c>
      <c r="P34" s="112">
        <v>0.49410857445624068</v>
      </c>
      <c r="Q34" s="111">
        <v>98.823968100000002</v>
      </c>
      <c r="R34" s="113">
        <v>61</v>
      </c>
      <c r="S34" s="114">
        <v>130.5</v>
      </c>
      <c r="T34" s="114">
        <v>21.1</v>
      </c>
      <c r="U34" s="114">
        <v>173.5</v>
      </c>
      <c r="V34" s="114">
        <v>360.9</v>
      </c>
      <c r="W34" s="114">
        <v>25.3</v>
      </c>
      <c r="X34" s="114">
        <v>610.29999999999995</v>
      </c>
      <c r="Y34" s="114">
        <v>177.1</v>
      </c>
      <c r="Z34" s="114">
        <v>24</v>
      </c>
      <c r="AA34" s="115">
        <v>29.5</v>
      </c>
      <c r="AB34" s="114">
        <v>19.5</v>
      </c>
      <c r="AC34" s="114">
        <v>35.799999999999997</v>
      </c>
      <c r="AD34" s="114">
        <v>98.5</v>
      </c>
      <c r="AE34" s="114">
        <v>2.1</v>
      </c>
      <c r="AF34" s="114">
        <v>22.4</v>
      </c>
      <c r="AG34" s="114">
        <v>50</v>
      </c>
      <c r="AH34" s="114">
        <v>2.1</v>
      </c>
      <c r="AI34" s="114">
        <v>27.7</v>
      </c>
    </row>
    <row r="35" spans="1:63" x14ac:dyDescent="0.2">
      <c r="A35" s="109" t="s">
        <v>798</v>
      </c>
      <c r="B35" s="110">
        <v>47.199963851150201</v>
      </c>
      <c r="C35" s="110">
        <v>100.11773833809798</v>
      </c>
      <c r="D35" s="45">
        <v>3213</v>
      </c>
      <c r="G35" s="111">
        <v>50.289305044491684</v>
      </c>
      <c r="H35" s="112">
        <v>2.1035675768759985</v>
      </c>
      <c r="I35" s="111">
        <v>16.65794534210179</v>
      </c>
      <c r="J35" s="111">
        <v>9.7756619465459522</v>
      </c>
      <c r="K35" s="112">
        <v>0.15938001076386774</v>
      </c>
      <c r="L35" s="111">
        <v>6.1326206736852864</v>
      </c>
      <c r="M35" s="111">
        <v>8.5860984638371924</v>
      </c>
      <c r="N35" s="111">
        <v>4.1480362901225254</v>
      </c>
      <c r="O35" s="111">
        <v>1.6623146213114044</v>
      </c>
      <c r="P35" s="112">
        <v>0.4850700302643054</v>
      </c>
      <c r="Q35" s="111">
        <v>99.571457699999996</v>
      </c>
      <c r="R35" s="113">
        <v>64</v>
      </c>
      <c r="S35" s="114">
        <v>157.30000000000001</v>
      </c>
      <c r="T35" s="114">
        <v>21.4</v>
      </c>
      <c r="U35" s="114">
        <v>173.2</v>
      </c>
      <c r="V35" s="114">
        <v>367.7</v>
      </c>
      <c r="W35" s="114">
        <v>22.4</v>
      </c>
      <c r="X35" s="114">
        <v>623.29999999999995</v>
      </c>
      <c r="Y35" s="114">
        <v>175.1</v>
      </c>
      <c r="Z35" s="114">
        <v>24.2</v>
      </c>
      <c r="AA35" s="115">
        <v>30.1</v>
      </c>
      <c r="AB35" s="114">
        <v>22.4</v>
      </c>
      <c r="AC35" s="114">
        <v>37.700000000000003</v>
      </c>
      <c r="AD35" s="114">
        <v>97.2</v>
      </c>
      <c r="AE35" s="114">
        <v>2.7</v>
      </c>
      <c r="AF35" s="114">
        <v>24</v>
      </c>
      <c r="AG35" s="114">
        <v>45.1</v>
      </c>
      <c r="AH35" s="114">
        <v>1.5</v>
      </c>
      <c r="AI35" s="114">
        <v>25.1</v>
      </c>
    </row>
    <row r="36" spans="1:63" x14ac:dyDescent="0.2">
      <c r="A36" s="109" t="s">
        <v>799</v>
      </c>
      <c r="B36" s="110">
        <v>47.199944725304462</v>
      </c>
      <c r="C36" s="110">
        <v>100.11803408442759</v>
      </c>
      <c r="D36" s="45">
        <v>3216</v>
      </c>
      <c r="G36" s="111">
        <v>50.308022503737</v>
      </c>
      <c r="H36" s="112">
        <v>2.1239543997321215</v>
      </c>
      <c r="I36" s="111">
        <v>16.692084038944955</v>
      </c>
      <c r="J36" s="111">
        <v>9.8888932057811836</v>
      </c>
      <c r="K36" s="112">
        <v>0.15689010723160454</v>
      </c>
      <c r="L36" s="111">
        <v>6.031096844894682</v>
      </c>
      <c r="M36" s="111">
        <v>8.6378377923715419</v>
      </c>
      <c r="N36" s="111">
        <v>3.9531540639224043</v>
      </c>
      <c r="O36" s="111">
        <v>1.7155474611599855</v>
      </c>
      <c r="P36" s="112">
        <v>0.49251958222451514</v>
      </c>
      <c r="Q36" s="111">
        <v>98.867419200000001</v>
      </c>
      <c r="R36" s="113">
        <v>60</v>
      </c>
      <c r="S36" s="114">
        <v>147.30000000000001</v>
      </c>
      <c r="T36" s="114">
        <v>21.6</v>
      </c>
      <c r="U36" s="114">
        <v>174.8</v>
      </c>
      <c r="V36" s="114">
        <v>365.9</v>
      </c>
      <c r="W36" s="114">
        <v>23.6</v>
      </c>
      <c r="X36" s="114">
        <v>744.6</v>
      </c>
      <c r="Y36" s="114">
        <v>177.8</v>
      </c>
      <c r="Z36" s="114">
        <v>24</v>
      </c>
      <c r="AA36" s="115">
        <v>30.4</v>
      </c>
      <c r="AB36" s="114">
        <v>20.9</v>
      </c>
      <c r="AC36" s="114">
        <v>37.299999999999997</v>
      </c>
      <c r="AD36" s="114">
        <v>98.2</v>
      </c>
      <c r="AE36" s="114">
        <v>2.1</v>
      </c>
      <c r="AF36" s="114">
        <v>22.1</v>
      </c>
      <c r="AG36" s="114">
        <v>47.5</v>
      </c>
      <c r="AH36" s="114">
        <v>2.1</v>
      </c>
      <c r="AI36" s="114">
        <v>24.1</v>
      </c>
      <c r="AJ36" s="45">
        <v>0</v>
      </c>
      <c r="AK36" s="45">
        <v>21.14</v>
      </c>
      <c r="AL36" s="45">
        <v>44.08</v>
      </c>
      <c r="AM36" s="45">
        <v>5.67</v>
      </c>
      <c r="AN36" s="45">
        <v>24.21</v>
      </c>
      <c r="AO36" s="45">
        <v>5.8</v>
      </c>
      <c r="AP36" s="45">
        <v>2.04</v>
      </c>
      <c r="AQ36" s="45">
        <v>5.67</v>
      </c>
      <c r="AR36" s="45">
        <v>0.86</v>
      </c>
      <c r="AS36" s="45">
        <v>4.8</v>
      </c>
      <c r="AT36" s="45">
        <v>0.9</v>
      </c>
      <c r="AU36" s="45">
        <v>2.2200000000000002</v>
      </c>
      <c r="AV36" s="45">
        <v>0.3</v>
      </c>
      <c r="AW36" s="45">
        <v>1.73</v>
      </c>
      <c r="AX36" s="45">
        <v>0.26</v>
      </c>
      <c r="AY36" s="45">
        <v>343</v>
      </c>
      <c r="AZ36" s="45">
        <v>1.91</v>
      </c>
      <c r="BA36" s="45">
        <v>27.12</v>
      </c>
      <c r="BB36" s="45">
        <v>22.32</v>
      </c>
      <c r="BC36" s="45">
        <v>3.94</v>
      </c>
      <c r="BD36" s="45">
        <v>1.64</v>
      </c>
      <c r="BE36" s="45">
        <v>0.44</v>
      </c>
      <c r="BF36" s="45">
        <v>2.48</v>
      </c>
      <c r="BG36" s="45">
        <v>21</v>
      </c>
      <c r="BH36" s="45">
        <v>0.14000000000000001</v>
      </c>
      <c r="BI36" s="45">
        <v>731</v>
      </c>
      <c r="BJ36" s="45">
        <v>23.5</v>
      </c>
      <c r="BK36" s="45">
        <v>163</v>
      </c>
    </row>
    <row r="37" spans="1:63" x14ac:dyDescent="0.2">
      <c r="A37" s="116" t="s">
        <v>800</v>
      </c>
      <c r="B37" s="110">
        <v>47.19989355074425</v>
      </c>
      <c r="C37" s="110">
        <v>100.11882540568787</v>
      </c>
      <c r="D37" s="45">
        <v>3226</v>
      </c>
      <c r="G37" s="117">
        <v>50.554966617399728</v>
      </c>
      <c r="H37" s="118">
        <v>1.7414097140818512</v>
      </c>
      <c r="I37" s="117">
        <v>17.675775954334643</v>
      </c>
      <c r="J37" s="117">
        <v>8.5896233627236107</v>
      </c>
      <c r="K37" s="118">
        <v>0.13067631619183528</v>
      </c>
      <c r="L37" s="117">
        <v>5.8658783955965541</v>
      </c>
      <c r="M37" s="117">
        <v>6.9575149074970692</v>
      </c>
      <c r="N37" s="117">
        <v>5.375036950206411</v>
      </c>
      <c r="O37" s="117">
        <v>2.3908261556495591</v>
      </c>
      <c r="P37" s="118">
        <v>0.71829162631874011</v>
      </c>
      <c r="Q37" s="117">
        <v>98.105000000000004</v>
      </c>
      <c r="R37" s="121">
        <v>88</v>
      </c>
      <c r="S37" s="119">
        <v>116.6</v>
      </c>
      <c r="T37" s="119">
        <v>14.4</v>
      </c>
      <c r="U37" s="119">
        <v>132.30000000000001</v>
      </c>
      <c r="V37" s="119">
        <v>624.79999999999995</v>
      </c>
      <c r="W37" s="119">
        <v>37.6</v>
      </c>
      <c r="X37" s="119">
        <v>1081.0999999999999</v>
      </c>
      <c r="Y37" s="119">
        <v>235.8</v>
      </c>
      <c r="Z37" s="119">
        <v>16.2</v>
      </c>
      <c r="AA37" s="120">
        <v>47.2</v>
      </c>
      <c r="AB37" s="119">
        <v>20.9</v>
      </c>
      <c r="AC37" s="119">
        <v>32.5</v>
      </c>
      <c r="AD37" s="119">
        <v>119.6</v>
      </c>
      <c r="AE37" s="119">
        <v>3.5</v>
      </c>
      <c r="AF37" s="119">
        <v>38.4</v>
      </c>
      <c r="AG37" s="119">
        <v>71.099999999999994</v>
      </c>
      <c r="AH37" s="119">
        <v>1.6994491143124455</v>
      </c>
      <c r="AI37" s="119">
        <v>35.5</v>
      </c>
    </row>
    <row r="38" spans="1:63" x14ac:dyDescent="0.2">
      <c r="A38" s="116" t="s">
        <v>801</v>
      </c>
      <c r="B38" s="110">
        <v>47.199891999999998</v>
      </c>
      <c r="C38" s="110">
        <v>100.11884938512</v>
      </c>
      <c r="D38" s="45">
        <v>3227</v>
      </c>
      <c r="G38" s="117">
        <v>48.832664134940494</v>
      </c>
      <c r="H38" s="118">
        <v>1.914654555174458</v>
      </c>
      <c r="I38" s="117">
        <v>16.287401979801949</v>
      </c>
      <c r="J38" s="117">
        <v>9.9982698257820868</v>
      </c>
      <c r="K38" s="118">
        <v>0.15354784903146029</v>
      </c>
      <c r="L38" s="117">
        <v>8.2151984965890392</v>
      </c>
      <c r="M38" s="117">
        <v>8.7273586968147789</v>
      </c>
      <c r="N38" s="117">
        <v>3.6913041975539911</v>
      </c>
      <c r="O38" s="117">
        <v>1.6953457700001284</v>
      </c>
      <c r="P38" s="118">
        <v>0.48425449431159207</v>
      </c>
      <c r="Q38" s="117">
        <v>97.793620000000018</v>
      </c>
      <c r="R38" s="121">
        <v>140</v>
      </c>
      <c r="S38" s="119">
        <v>260.3</v>
      </c>
      <c r="T38" s="119">
        <v>23.2</v>
      </c>
      <c r="U38" s="119">
        <v>184.4</v>
      </c>
      <c r="V38" s="119">
        <v>385.4</v>
      </c>
      <c r="W38" s="119">
        <v>23</v>
      </c>
      <c r="X38" s="119">
        <v>659.9</v>
      </c>
      <c r="Y38" s="119">
        <v>172.3</v>
      </c>
      <c r="Z38" s="119">
        <v>20.8</v>
      </c>
      <c r="AA38" s="120">
        <v>29.3</v>
      </c>
      <c r="AB38" s="119">
        <v>17.7</v>
      </c>
      <c r="AC38" s="119">
        <v>30.5</v>
      </c>
      <c r="AD38" s="119">
        <v>101.4</v>
      </c>
      <c r="AE38" s="119">
        <v>0.9</v>
      </c>
      <c r="AF38" s="119">
        <v>26</v>
      </c>
      <c r="AG38" s="119">
        <v>45.5</v>
      </c>
      <c r="AH38" s="119">
        <v>2.9</v>
      </c>
      <c r="AI38" s="119">
        <v>25.7</v>
      </c>
      <c r="AJ38" s="45">
        <v>0</v>
      </c>
      <c r="AK38" s="45">
        <v>23.07</v>
      </c>
      <c r="AL38" s="45">
        <v>46.78</v>
      </c>
      <c r="AM38" s="45">
        <v>5.85</v>
      </c>
      <c r="AN38" s="45">
        <v>24.59</v>
      </c>
      <c r="AO38" s="45">
        <v>5.62</v>
      </c>
      <c r="AP38" s="45">
        <v>1.95</v>
      </c>
      <c r="AQ38" s="45">
        <v>5.39</v>
      </c>
      <c r="AR38" s="45">
        <v>0.8</v>
      </c>
      <c r="AS38" s="45">
        <v>4.49</v>
      </c>
      <c r="AT38" s="45">
        <v>0.84</v>
      </c>
      <c r="AU38" s="45">
        <v>2.14</v>
      </c>
      <c r="AV38" s="45">
        <v>0.28999999999999998</v>
      </c>
      <c r="AW38" s="45">
        <v>1.65</v>
      </c>
      <c r="AX38" s="45">
        <v>0.25</v>
      </c>
      <c r="AY38" s="45">
        <v>368</v>
      </c>
      <c r="AZ38" s="45">
        <v>2.29</v>
      </c>
      <c r="BA38" s="45">
        <v>29.94</v>
      </c>
      <c r="BB38" s="45">
        <v>20.9</v>
      </c>
      <c r="BC38" s="45">
        <v>3.75</v>
      </c>
      <c r="BD38" s="45">
        <v>1.82</v>
      </c>
      <c r="BE38" s="45">
        <v>0.64</v>
      </c>
      <c r="BF38" s="45">
        <v>2.37</v>
      </c>
      <c r="BG38" s="45">
        <v>19.5</v>
      </c>
      <c r="BH38" s="45">
        <v>0.19</v>
      </c>
      <c r="BI38" s="45">
        <v>649</v>
      </c>
      <c r="BJ38" s="45">
        <v>24.5</v>
      </c>
      <c r="BK38" s="45">
        <v>157</v>
      </c>
    </row>
    <row r="39" spans="1:63" x14ac:dyDescent="0.2">
      <c r="A39" s="109" t="s">
        <v>802</v>
      </c>
      <c r="B39" s="110">
        <v>47.200560000000003</v>
      </c>
      <c r="C39" s="110">
        <v>100.11985</v>
      </c>
      <c r="D39" s="45">
        <v>3365</v>
      </c>
      <c r="E39" s="45">
        <v>6.27</v>
      </c>
      <c r="F39" s="45">
        <v>0.16</v>
      </c>
      <c r="G39" s="111">
        <v>48.60777832616823</v>
      </c>
      <c r="H39" s="112">
        <v>1.8878266280526064</v>
      </c>
      <c r="I39" s="111">
        <v>15.972708476003399</v>
      </c>
      <c r="J39" s="111">
        <v>10.221140808247132</v>
      </c>
      <c r="K39" s="112">
        <v>0.14931453914100473</v>
      </c>
      <c r="L39" s="111">
        <v>8.2901046990510583</v>
      </c>
      <c r="M39" s="111">
        <v>8.5696672440255455</v>
      </c>
      <c r="N39" s="111">
        <v>4.172183187015011</v>
      </c>
      <c r="O39" s="111">
        <v>1.6610767814692484</v>
      </c>
      <c r="P39" s="112">
        <v>0.46819931082676303</v>
      </c>
      <c r="Q39" s="111">
        <v>99.069923700000004</v>
      </c>
      <c r="R39" s="113">
        <v>144</v>
      </c>
      <c r="S39" s="114">
        <v>253.2</v>
      </c>
      <c r="T39" s="114">
        <v>24.1</v>
      </c>
      <c r="U39" s="114">
        <v>190.7</v>
      </c>
      <c r="V39" s="114">
        <v>375.6</v>
      </c>
      <c r="W39" s="114">
        <v>29.3</v>
      </c>
      <c r="X39" s="114">
        <v>659.1</v>
      </c>
      <c r="Y39" s="114">
        <v>171.7</v>
      </c>
      <c r="Z39" s="114">
        <v>21.9</v>
      </c>
      <c r="AA39" s="115">
        <v>32.700000000000003</v>
      </c>
      <c r="AB39" s="114">
        <v>17.5</v>
      </c>
      <c r="AC39" s="114">
        <v>43.9</v>
      </c>
      <c r="AD39" s="114">
        <v>93.7</v>
      </c>
      <c r="AE39" s="114">
        <v>2.1</v>
      </c>
      <c r="AF39" s="114">
        <v>22.9</v>
      </c>
      <c r="AG39" s="114">
        <v>50.6</v>
      </c>
      <c r="AH39" s="114">
        <v>2.9</v>
      </c>
      <c r="AI39" s="114">
        <v>26.3</v>
      </c>
    </row>
    <row r="40" spans="1:63" x14ac:dyDescent="0.2">
      <c r="A40" s="109" t="s">
        <v>803</v>
      </c>
      <c r="B40" s="110">
        <v>47.176685999999997</v>
      </c>
      <c r="C40" s="110">
        <v>100.111354047999</v>
      </c>
      <c r="D40" s="45">
        <v>3188</v>
      </c>
      <c r="G40" s="111">
        <v>48.327499008030415</v>
      </c>
      <c r="H40" s="112">
        <v>1.8723249551347767</v>
      </c>
      <c r="I40" s="111">
        <v>16.71573475237015</v>
      </c>
      <c r="J40" s="111">
        <v>9.4767738128087942</v>
      </c>
      <c r="K40" s="112">
        <v>0.16099112363465709</v>
      </c>
      <c r="L40" s="111">
        <v>8.2645064221218263</v>
      </c>
      <c r="M40" s="111">
        <v>8.522760918211354</v>
      </c>
      <c r="N40" s="111">
        <v>4.3499024143633163</v>
      </c>
      <c r="O40" s="111">
        <v>1.841357376930312</v>
      </c>
      <c r="P40" s="112">
        <v>0.46814921639438695</v>
      </c>
      <c r="Q40" s="111">
        <v>99.29740000000001</v>
      </c>
      <c r="R40" s="113">
        <v>133</v>
      </c>
      <c r="S40" s="114">
        <v>200</v>
      </c>
      <c r="T40" s="114">
        <v>21.9</v>
      </c>
      <c r="U40" s="114">
        <v>200.2</v>
      </c>
      <c r="V40" s="114">
        <v>492.3</v>
      </c>
      <c r="W40" s="114">
        <v>38.1</v>
      </c>
      <c r="X40" s="114">
        <v>842.6</v>
      </c>
      <c r="Y40" s="114">
        <v>224.2</v>
      </c>
      <c r="Z40" s="114">
        <v>23.5</v>
      </c>
      <c r="AA40" s="115">
        <v>42.2</v>
      </c>
      <c r="AB40" s="114">
        <v>18.7</v>
      </c>
      <c r="AC40" s="114">
        <v>24.1</v>
      </c>
      <c r="AD40" s="114">
        <v>101.5</v>
      </c>
      <c r="AE40" s="114">
        <v>0.4</v>
      </c>
      <c r="AF40" s="114">
        <v>29.6</v>
      </c>
      <c r="AG40" s="114">
        <v>63</v>
      </c>
      <c r="AH40" s="114">
        <v>3.9</v>
      </c>
      <c r="AI40" s="114">
        <v>31.2</v>
      </c>
    </row>
    <row r="41" spans="1:63" x14ac:dyDescent="0.2">
      <c r="A41" s="109" t="s">
        <v>804</v>
      </c>
      <c r="B41" s="110">
        <v>47.200457</v>
      </c>
      <c r="C41" s="110">
        <v>100.111678762259</v>
      </c>
      <c r="D41" s="45">
        <v>3026</v>
      </c>
      <c r="G41" s="111">
        <v>50.738076370547546</v>
      </c>
      <c r="H41" s="112">
        <v>1.6493991418955547</v>
      </c>
      <c r="I41" s="111">
        <v>17.816488815659991</v>
      </c>
      <c r="J41" s="111">
        <v>8.9637069109220544</v>
      </c>
      <c r="K41" s="112">
        <v>0.15714291635215338</v>
      </c>
      <c r="L41" s="111">
        <v>5.0896311048557203</v>
      </c>
      <c r="M41" s="111">
        <v>6.4548082952455097</v>
      </c>
      <c r="N41" s="111">
        <v>5.7264314183126226</v>
      </c>
      <c r="O41" s="111">
        <v>2.801844551538176</v>
      </c>
      <c r="P41" s="112">
        <v>0.60246036576643847</v>
      </c>
      <c r="Q41" s="111">
        <v>98.922690000000003</v>
      </c>
      <c r="R41" s="113">
        <v>69</v>
      </c>
      <c r="S41" s="114">
        <v>93.3</v>
      </c>
      <c r="T41" s="114">
        <v>11.1</v>
      </c>
      <c r="U41" s="114">
        <v>118.7</v>
      </c>
      <c r="V41" s="114">
        <v>642.9</v>
      </c>
      <c r="W41" s="114">
        <v>46.9</v>
      </c>
      <c r="X41" s="114">
        <v>1113.5</v>
      </c>
      <c r="Y41" s="114">
        <v>332.1</v>
      </c>
      <c r="Z41" s="114">
        <v>19.899999999999999</v>
      </c>
      <c r="AA41" s="115">
        <v>63.3</v>
      </c>
      <c r="AB41" s="114">
        <v>23.2</v>
      </c>
      <c r="AC41" s="114">
        <v>24.7</v>
      </c>
      <c r="AD41" s="114">
        <v>131</v>
      </c>
      <c r="AE41" s="114">
        <v>3.8</v>
      </c>
      <c r="AF41" s="114">
        <v>47.1</v>
      </c>
      <c r="AG41" s="114">
        <v>93.3</v>
      </c>
      <c r="AH41" s="114">
        <v>5.3</v>
      </c>
      <c r="AI41" s="114">
        <v>40.200000000000003</v>
      </c>
    </row>
    <row r="42" spans="1:63" x14ac:dyDescent="0.2">
      <c r="A42" s="109" t="s">
        <v>805</v>
      </c>
      <c r="B42" s="110">
        <v>47.200111417640805</v>
      </c>
      <c r="C42" s="110">
        <v>100.11557548623469</v>
      </c>
      <c r="D42" s="45">
        <v>3175</v>
      </c>
      <c r="G42" s="111">
        <v>51.40305135875429</v>
      </c>
      <c r="H42" s="112">
        <v>1.6651621179171412</v>
      </c>
      <c r="I42" s="111">
        <v>17.404609635257213</v>
      </c>
      <c r="J42" s="111">
        <v>9.0086714534146886</v>
      </c>
      <c r="K42" s="112">
        <v>0.14861817539519509</v>
      </c>
      <c r="L42" s="111">
        <v>5.7330465335557275</v>
      </c>
      <c r="M42" s="111">
        <v>7.8015787720101395</v>
      </c>
      <c r="N42" s="111">
        <v>3.6982752361231763</v>
      </c>
      <c r="O42" s="111">
        <v>2.5115441716802556</v>
      </c>
      <c r="P42" s="112">
        <v>0.62544254589216974</v>
      </c>
      <c r="Q42" s="111">
        <v>96.123505500000007</v>
      </c>
      <c r="R42" s="113">
        <v>89</v>
      </c>
      <c r="S42" s="114">
        <v>91.9</v>
      </c>
      <c r="T42" s="114">
        <v>14.6</v>
      </c>
      <c r="U42" s="114">
        <v>136.9</v>
      </c>
      <c r="V42" s="114">
        <v>592.79999999999995</v>
      </c>
      <c r="W42" s="114">
        <v>43.6</v>
      </c>
      <c r="X42" s="114">
        <v>1053.0999999999999</v>
      </c>
      <c r="Y42" s="114">
        <v>274.5</v>
      </c>
      <c r="Z42" s="114">
        <v>21.4</v>
      </c>
      <c r="AA42" s="115">
        <v>56.1</v>
      </c>
      <c r="AB42" s="114">
        <v>20.9</v>
      </c>
      <c r="AC42" s="114">
        <v>31.5</v>
      </c>
      <c r="AD42" s="114">
        <v>107.6</v>
      </c>
      <c r="AE42" s="114">
        <v>4.0999999999999996</v>
      </c>
      <c r="AF42" s="114">
        <v>38.6</v>
      </c>
      <c r="AG42" s="114">
        <v>83.3</v>
      </c>
      <c r="AH42" s="114">
        <v>4.9000000000000004</v>
      </c>
      <c r="AI42" s="114">
        <v>33.799999999999997</v>
      </c>
    </row>
    <row r="43" spans="1:63" x14ac:dyDescent="0.2">
      <c r="A43" s="109" t="s">
        <v>806</v>
      </c>
      <c r="B43" s="110">
        <v>47.175659000000003</v>
      </c>
      <c r="C43" s="110">
        <v>100.111490978039</v>
      </c>
      <c r="D43" s="45">
        <v>3247</v>
      </c>
      <c r="G43" s="111">
        <v>49.211241302655949</v>
      </c>
      <c r="H43" s="112">
        <v>1.9200933189556251</v>
      </c>
      <c r="I43" s="111">
        <v>16.919024696403017</v>
      </c>
      <c r="J43" s="111">
        <v>9.643484465746349</v>
      </c>
      <c r="K43" s="112">
        <v>0.15786699298914855</v>
      </c>
      <c r="L43" s="111">
        <v>7.036732914524956</v>
      </c>
      <c r="M43" s="111">
        <v>7.961086367550755</v>
      </c>
      <c r="N43" s="111">
        <v>4.4928450816773386</v>
      </c>
      <c r="O43" s="111">
        <v>2.1253861245680263</v>
      </c>
      <c r="P43" s="112">
        <v>0.53224884488675728</v>
      </c>
      <c r="Q43" s="111">
        <v>98.912379999999999</v>
      </c>
      <c r="R43" s="113">
        <v>108</v>
      </c>
      <c r="S43" s="114">
        <v>166.8</v>
      </c>
      <c r="T43" s="114">
        <v>18.100000000000001</v>
      </c>
      <c r="U43" s="114">
        <v>161.5</v>
      </c>
      <c r="V43" s="114">
        <v>524</v>
      </c>
      <c r="W43" s="114">
        <v>34.9</v>
      </c>
      <c r="X43" s="114">
        <v>905.3</v>
      </c>
      <c r="Y43" s="114">
        <v>255.6</v>
      </c>
      <c r="Z43" s="114">
        <v>20.8</v>
      </c>
      <c r="AA43" s="115">
        <v>47.4</v>
      </c>
      <c r="AB43" s="114">
        <v>21.8</v>
      </c>
      <c r="AC43" s="114">
        <v>38.1</v>
      </c>
      <c r="AD43" s="114">
        <v>113.9</v>
      </c>
      <c r="AE43" s="114">
        <v>2.4</v>
      </c>
      <c r="AF43" s="114">
        <v>32.6</v>
      </c>
      <c r="AG43" s="114">
        <v>73.5</v>
      </c>
      <c r="AH43" s="114">
        <v>4.4000000000000004</v>
      </c>
      <c r="AI43" s="114">
        <v>34.6</v>
      </c>
    </row>
    <row r="44" spans="1:63" x14ac:dyDescent="0.2">
      <c r="A44" s="116" t="s">
        <v>807</v>
      </c>
      <c r="B44" s="110">
        <v>47.040916666666668</v>
      </c>
      <c r="C44" s="110">
        <v>99.769616666666664</v>
      </c>
      <c r="D44" s="45">
        <v>2410</v>
      </c>
      <c r="G44" s="117">
        <v>48.279641582576659</v>
      </c>
      <c r="H44" s="118">
        <v>1.7579579789204482</v>
      </c>
      <c r="I44" s="117">
        <v>16.650438304592932</v>
      </c>
      <c r="J44" s="117">
        <v>9.3124753599920052</v>
      </c>
      <c r="K44" s="118">
        <v>0.15253007766609844</v>
      </c>
      <c r="L44" s="117">
        <v>9.0931148381037463</v>
      </c>
      <c r="M44" s="117">
        <v>8.8652170740084699</v>
      </c>
      <c r="N44" s="117">
        <v>3.912654790810794</v>
      </c>
      <c r="O44" s="117">
        <v>1.4883159759267617</v>
      </c>
      <c r="P44" s="118">
        <v>0.48765401740209252</v>
      </c>
      <c r="Q44" s="117">
        <v>100.85223999999999</v>
      </c>
      <c r="R44" s="113">
        <v>159.9</v>
      </c>
      <c r="S44" s="119">
        <v>261</v>
      </c>
      <c r="T44" s="119">
        <v>24</v>
      </c>
      <c r="U44" s="119">
        <v>211.3</v>
      </c>
      <c r="V44" s="119">
        <v>452.8</v>
      </c>
      <c r="W44" s="119">
        <v>19.2</v>
      </c>
      <c r="X44" s="119">
        <v>905.8</v>
      </c>
      <c r="Y44" s="119">
        <v>163.80000000000001</v>
      </c>
      <c r="Z44" s="119">
        <v>19.3</v>
      </c>
      <c r="AA44" s="120">
        <v>24</v>
      </c>
      <c r="AB44" s="119">
        <v>19.899999999999999</v>
      </c>
      <c r="AC44" s="119">
        <v>44.1</v>
      </c>
      <c r="AD44" s="119">
        <v>94.6</v>
      </c>
      <c r="AE44" s="119">
        <v>2.6</v>
      </c>
      <c r="AF44" s="119">
        <v>22.1</v>
      </c>
      <c r="AG44" s="119">
        <v>54.5</v>
      </c>
      <c r="AH44" s="119">
        <v>0</v>
      </c>
      <c r="AI44" s="119">
        <v>28.3</v>
      </c>
      <c r="AJ44" s="45">
        <v>0</v>
      </c>
      <c r="AK44" s="45">
        <v>25.57</v>
      </c>
      <c r="AL44" s="45">
        <v>53.41</v>
      </c>
      <c r="AM44" s="45">
        <v>6.76</v>
      </c>
      <c r="AN44" s="45">
        <v>27.81</v>
      </c>
      <c r="AO44" s="45">
        <v>5.95</v>
      </c>
      <c r="AP44" s="45">
        <v>2.02</v>
      </c>
      <c r="AQ44" s="45">
        <v>5.31</v>
      </c>
      <c r="AR44" s="45">
        <v>0.79</v>
      </c>
      <c r="AS44" s="45">
        <v>4.29</v>
      </c>
      <c r="AT44" s="45">
        <v>0.8</v>
      </c>
      <c r="AU44" s="45">
        <v>2.02</v>
      </c>
      <c r="AV44" s="45">
        <v>0.28000000000000003</v>
      </c>
      <c r="AW44" s="45">
        <v>1.64</v>
      </c>
      <c r="AX44" s="45">
        <v>0.25</v>
      </c>
      <c r="AY44" s="45">
        <v>434</v>
      </c>
      <c r="AZ44" s="45">
        <v>2.2799999999999998</v>
      </c>
      <c r="BA44" s="45">
        <v>25.61</v>
      </c>
      <c r="BB44" s="45">
        <v>19.600000000000001</v>
      </c>
      <c r="BC44" s="45">
        <v>3.85</v>
      </c>
      <c r="BD44" s="45">
        <v>1.67</v>
      </c>
      <c r="BE44" s="45">
        <v>0.6</v>
      </c>
      <c r="BF44" s="45">
        <v>2.68</v>
      </c>
      <c r="BG44" s="45">
        <v>19.100000000000001</v>
      </c>
      <c r="BH44" s="45">
        <v>0.19</v>
      </c>
      <c r="BI44" s="45">
        <v>878</v>
      </c>
      <c r="BJ44" s="45">
        <v>24.8</v>
      </c>
      <c r="BK44" s="45">
        <v>158</v>
      </c>
    </row>
    <row r="45" spans="1:63" x14ac:dyDescent="0.2">
      <c r="A45" s="109" t="s">
        <v>808</v>
      </c>
      <c r="B45" s="110">
        <v>47.043566666666663</v>
      </c>
      <c r="C45" s="110">
        <v>99.766750000000002</v>
      </c>
      <c r="D45" s="45">
        <v>2462</v>
      </c>
      <c r="G45" s="111">
        <v>48.285550919312278</v>
      </c>
      <c r="H45" s="112">
        <v>2.0082318098315892</v>
      </c>
      <c r="I45" s="111">
        <v>16.241789079500965</v>
      </c>
      <c r="J45" s="111">
        <v>9.9161762551057766</v>
      </c>
      <c r="K45" s="112">
        <v>0.15836536027942863</v>
      </c>
      <c r="L45" s="111">
        <v>8.8888550264174366</v>
      </c>
      <c r="M45" s="111">
        <v>9.107385701039945</v>
      </c>
      <c r="N45" s="111">
        <v>4.0443362459992382</v>
      </c>
      <c r="O45" s="111">
        <v>0.81299869497174593</v>
      </c>
      <c r="P45" s="112">
        <v>0.53631090754159394</v>
      </c>
      <c r="Q45" s="111">
        <v>99.093640000000008</v>
      </c>
      <c r="R45" s="113">
        <v>151.4</v>
      </c>
      <c r="S45" s="114">
        <v>324.2</v>
      </c>
      <c r="T45" s="114">
        <v>24.4</v>
      </c>
      <c r="U45" s="114">
        <v>203</v>
      </c>
      <c r="V45" s="114">
        <v>450.5</v>
      </c>
      <c r="W45" s="114">
        <v>15.1</v>
      </c>
      <c r="X45" s="114">
        <v>818.4</v>
      </c>
      <c r="Y45" s="114">
        <v>168.7</v>
      </c>
      <c r="Z45" s="114">
        <v>21.5</v>
      </c>
      <c r="AA45" s="115">
        <v>27.4</v>
      </c>
      <c r="AB45" s="114">
        <v>21</v>
      </c>
      <c r="AC45" s="114">
        <v>38.299999999999997</v>
      </c>
      <c r="AD45" s="114">
        <v>91.5</v>
      </c>
      <c r="AE45" s="114">
        <v>1.9</v>
      </c>
      <c r="AF45" s="114">
        <v>28.2</v>
      </c>
      <c r="AG45" s="114">
        <v>58.5</v>
      </c>
      <c r="AH45" s="114">
        <v>0</v>
      </c>
      <c r="AI45" s="114">
        <v>28.6</v>
      </c>
      <c r="AJ45" s="45">
        <v>0</v>
      </c>
      <c r="AK45" s="45">
        <v>26.06</v>
      </c>
      <c r="AL45" s="45">
        <v>54.4</v>
      </c>
      <c r="AM45" s="45">
        <v>6.87</v>
      </c>
      <c r="AN45" s="45">
        <v>28.39</v>
      </c>
      <c r="AO45" s="45">
        <v>6.24</v>
      </c>
      <c r="AP45" s="45">
        <v>2.17</v>
      </c>
      <c r="AQ45" s="45">
        <v>5.77</v>
      </c>
      <c r="AR45" s="45">
        <v>0.87</v>
      </c>
      <c r="AS45" s="45">
        <v>4.84</v>
      </c>
      <c r="AT45" s="45">
        <v>0.9</v>
      </c>
      <c r="AU45" s="45">
        <v>2.23</v>
      </c>
      <c r="AV45" s="45">
        <v>0.31</v>
      </c>
      <c r="AW45" s="45">
        <v>1.84</v>
      </c>
      <c r="AX45" s="45">
        <v>0.28000000000000003</v>
      </c>
      <c r="AY45" s="45">
        <v>434</v>
      </c>
      <c r="AZ45" s="45">
        <v>2.39</v>
      </c>
      <c r="BA45" s="45">
        <v>30.54</v>
      </c>
      <c r="BB45" s="45">
        <v>22.24</v>
      </c>
      <c r="BC45" s="45">
        <v>4.0199999999999996</v>
      </c>
      <c r="BD45" s="45">
        <v>1.92</v>
      </c>
      <c r="BE45" s="45">
        <v>0.73</v>
      </c>
      <c r="BF45" s="45">
        <v>2.2599999999999998</v>
      </c>
      <c r="BG45" s="45">
        <v>14.4</v>
      </c>
      <c r="BH45" s="45">
        <v>0.18</v>
      </c>
      <c r="BI45" s="45">
        <v>800</v>
      </c>
      <c r="BJ45" s="45">
        <v>26.1</v>
      </c>
      <c r="BK45" s="45">
        <v>165</v>
      </c>
    </row>
    <row r="46" spans="1:63" x14ac:dyDescent="0.2">
      <c r="A46" s="109" t="s">
        <v>809</v>
      </c>
      <c r="B46" s="110">
        <v>47.044574166666663</v>
      </c>
      <c r="C46" s="110">
        <v>99.767537500000003</v>
      </c>
      <c r="D46" s="45">
        <v>2507</v>
      </c>
      <c r="G46" s="111">
        <v>49.424635634304629</v>
      </c>
      <c r="H46" s="112">
        <v>2.1049021538232164</v>
      </c>
      <c r="I46" s="111">
        <v>17.214775011728896</v>
      </c>
      <c r="J46" s="111">
        <v>9.8188117793005745</v>
      </c>
      <c r="K46" s="112">
        <v>0.15350882523816353</v>
      </c>
      <c r="L46" s="111">
        <v>6.2062799654169609</v>
      </c>
      <c r="M46" s="111">
        <v>8.6373630514102633</v>
      </c>
      <c r="N46" s="111">
        <v>4.2946717163737071</v>
      </c>
      <c r="O46" s="111">
        <v>1.6266911697380588</v>
      </c>
      <c r="P46" s="112">
        <v>0.51835056408112279</v>
      </c>
      <c r="Q46" s="111">
        <v>98.73048</v>
      </c>
      <c r="R46" s="113">
        <v>48</v>
      </c>
      <c r="S46" s="114">
        <v>68.400000000000006</v>
      </c>
      <c r="T46" s="114">
        <v>20.2</v>
      </c>
      <c r="U46" s="114">
        <v>184.8</v>
      </c>
      <c r="V46" s="114">
        <v>396.8</v>
      </c>
      <c r="W46" s="114">
        <v>21.2</v>
      </c>
      <c r="X46" s="114">
        <v>749</v>
      </c>
      <c r="Y46" s="114">
        <v>176</v>
      </c>
      <c r="Z46" s="114">
        <v>21.9</v>
      </c>
      <c r="AA46" s="115">
        <v>27.3</v>
      </c>
      <c r="AB46" s="114">
        <v>21.1</v>
      </c>
      <c r="AC46" s="114">
        <v>33</v>
      </c>
      <c r="AD46" s="114">
        <v>100.1</v>
      </c>
      <c r="AE46" s="114">
        <v>1.8</v>
      </c>
      <c r="AF46" s="114">
        <v>22.2</v>
      </c>
      <c r="AG46" s="114">
        <v>46.7</v>
      </c>
      <c r="AH46" s="114">
        <v>0</v>
      </c>
      <c r="AI46" s="114">
        <v>28.1</v>
      </c>
    </row>
    <row r="47" spans="1:63" x14ac:dyDescent="0.2">
      <c r="A47" s="109" t="s">
        <v>810</v>
      </c>
      <c r="B47" s="110">
        <v>47.044910000000002</v>
      </c>
      <c r="C47" s="110">
        <v>99.767799999999994</v>
      </c>
      <c r="D47" s="45">
        <v>2522</v>
      </c>
      <c r="G47" s="111">
        <v>49.468762679064682</v>
      </c>
      <c r="H47" s="112">
        <v>2.0543738986188695</v>
      </c>
      <c r="I47" s="111">
        <v>17.099463952790053</v>
      </c>
      <c r="J47" s="111">
        <v>9.9360775360177769</v>
      </c>
      <c r="K47" s="112">
        <v>0.15215636276496497</v>
      </c>
      <c r="L47" s="111">
        <v>6.215549991841903</v>
      </c>
      <c r="M47" s="111">
        <v>8.5624420195950144</v>
      </c>
      <c r="N47" s="111">
        <v>4.319007214631208</v>
      </c>
      <c r="O47" s="111">
        <v>1.679111516897378</v>
      </c>
      <c r="P47" s="112">
        <v>0.51303459690955278</v>
      </c>
      <c r="Q47" s="111">
        <v>98.858829999999983</v>
      </c>
      <c r="R47" s="113">
        <v>49</v>
      </c>
      <c r="S47" s="114">
        <v>91.9</v>
      </c>
      <c r="T47" s="114">
        <v>21.4</v>
      </c>
      <c r="U47" s="114">
        <v>179.5</v>
      </c>
      <c r="V47" s="114">
        <v>403.2</v>
      </c>
      <c r="W47" s="114">
        <v>21.8</v>
      </c>
      <c r="X47" s="114">
        <v>730.5</v>
      </c>
      <c r="Y47" s="114">
        <v>182.6</v>
      </c>
      <c r="Z47" s="114">
        <v>21.4</v>
      </c>
      <c r="AA47" s="115">
        <v>26.2</v>
      </c>
      <c r="AB47" s="114">
        <v>21.8</v>
      </c>
      <c r="AC47" s="114">
        <v>30.9</v>
      </c>
      <c r="AD47" s="114">
        <v>101.9</v>
      </c>
      <c r="AE47" s="114">
        <v>2.2000000000000002</v>
      </c>
      <c r="AF47" s="114">
        <v>27.1</v>
      </c>
      <c r="AG47" s="114">
        <v>52.3</v>
      </c>
      <c r="AH47" s="114">
        <v>0</v>
      </c>
      <c r="AI47" s="114">
        <v>27.1</v>
      </c>
      <c r="AJ47" s="45">
        <v>0</v>
      </c>
      <c r="AK47" s="45">
        <v>24.61</v>
      </c>
      <c r="AL47" s="45">
        <v>51.64</v>
      </c>
      <c r="AM47" s="45">
        <v>6.59</v>
      </c>
      <c r="AN47" s="45">
        <v>27.58</v>
      </c>
      <c r="AO47" s="45">
        <v>6.26</v>
      </c>
      <c r="AP47" s="45">
        <v>2.17</v>
      </c>
      <c r="AQ47" s="45">
        <v>5.91</v>
      </c>
      <c r="AR47" s="45">
        <v>0.9</v>
      </c>
      <c r="AS47" s="45">
        <v>5</v>
      </c>
      <c r="AT47" s="45">
        <v>0.94</v>
      </c>
      <c r="AU47" s="45">
        <v>2.2999999999999998</v>
      </c>
      <c r="AV47" s="45">
        <v>0.31</v>
      </c>
      <c r="AW47" s="45">
        <v>1.87</v>
      </c>
      <c r="AX47" s="45">
        <v>0.28000000000000003</v>
      </c>
      <c r="AY47" s="45">
        <v>397</v>
      </c>
      <c r="AZ47" s="45">
        <v>2.19</v>
      </c>
      <c r="BA47" s="45">
        <v>28.93</v>
      </c>
      <c r="BB47" s="45">
        <v>23.09</v>
      </c>
      <c r="BC47" s="45">
        <v>4.4000000000000004</v>
      </c>
      <c r="BD47" s="45">
        <v>1.76</v>
      </c>
      <c r="BE47" s="45">
        <v>0.56000000000000005</v>
      </c>
      <c r="BF47" s="45">
        <v>2.77</v>
      </c>
      <c r="BG47" s="45">
        <v>22.2</v>
      </c>
      <c r="BH47" s="45">
        <v>0.14000000000000001</v>
      </c>
      <c r="BI47" s="45">
        <v>738</v>
      </c>
      <c r="BJ47" s="45">
        <v>22.4</v>
      </c>
      <c r="BK47" s="45">
        <v>179</v>
      </c>
    </row>
    <row r="48" spans="1:63" x14ac:dyDescent="0.2">
      <c r="A48" s="109" t="s">
        <v>811</v>
      </c>
      <c r="B48" s="110">
        <v>47.072933333333332</v>
      </c>
      <c r="C48" s="110">
        <v>99.698933333333329</v>
      </c>
      <c r="D48" s="45">
        <v>2300</v>
      </c>
      <c r="G48" s="111">
        <v>47.875438104299327</v>
      </c>
      <c r="H48" s="112">
        <v>1.7027924829027512</v>
      </c>
      <c r="I48" s="111">
        <v>16.254035438673533</v>
      </c>
      <c r="J48" s="111">
        <v>9.5094045034275858</v>
      </c>
      <c r="K48" s="112">
        <v>0.16039089881518712</v>
      </c>
      <c r="L48" s="111">
        <v>9.8391211892041355</v>
      </c>
      <c r="M48" s="111">
        <v>9.6593256243240422</v>
      </c>
      <c r="N48" s="111">
        <v>3.357312174217105</v>
      </c>
      <c r="O48" s="111">
        <v>1.2565359875745084</v>
      </c>
      <c r="P48" s="112">
        <v>0.38564359656184699</v>
      </c>
      <c r="Q48" s="111">
        <v>98.378399999999985</v>
      </c>
      <c r="R48" s="113">
        <v>172.1</v>
      </c>
      <c r="S48" s="114">
        <v>326.89999999999998</v>
      </c>
      <c r="T48" s="114">
        <v>29.8</v>
      </c>
      <c r="U48" s="114">
        <v>222.2</v>
      </c>
      <c r="V48" s="114">
        <v>353.8</v>
      </c>
      <c r="W48" s="114">
        <v>18.899999999999999</v>
      </c>
      <c r="X48" s="114">
        <v>697.2</v>
      </c>
      <c r="Y48" s="114">
        <v>157.5</v>
      </c>
      <c r="Z48" s="114">
        <v>21.8</v>
      </c>
      <c r="AA48" s="115">
        <v>23.4</v>
      </c>
      <c r="AB48" s="114">
        <v>18.100000000000001</v>
      </c>
      <c r="AC48" s="114">
        <v>46.4</v>
      </c>
      <c r="AD48" s="114">
        <v>81.400000000000006</v>
      </c>
      <c r="AE48" s="114">
        <v>2.7</v>
      </c>
      <c r="AF48" s="114">
        <v>20.7</v>
      </c>
      <c r="AG48" s="114">
        <v>46.7</v>
      </c>
      <c r="AH48" s="114">
        <v>0</v>
      </c>
      <c r="AI48" s="114">
        <v>23.7</v>
      </c>
      <c r="AJ48" s="45">
        <v>0</v>
      </c>
      <c r="AK48" s="45">
        <v>21.73</v>
      </c>
      <c r="AL48" s="45">
        <v>45.74</v>
      </c>
      <c r="AM48" s="45">
        <v>5.8</v>
      </c>
      <c r="AN48" s="45">
        <v>23.94</v>
      </c>
      <c r="AO48" s="45">
        <v>5.39</v>
      </c>
      <c r="AP48" s="45">
        <v>1.83</v>
      </c>
      <c r="AQ48" s="45">
        <v>5.08</v>
      </c>
      <c r="AR48" s="45">
        <v>0.8</v>
      </c>
      <c r="AS48" s="45">
        <v>4.71</v>
      </c>
      <c r="AT48" s="45">
        <v>0.91</v>
      </c>
      <c r="AU48" s="45">
        <v>2.38</v>
      </c>
      <c r="AV48" s="45">
        <v>0.34</v>
      </c>
      <c r="AW48" s="45">
        <v>2.02</v>
      </c>
      <c r="AX48" s="45">
        <v>0.31</v>
      </c>
      <c r="AY48" s="45">
        <v>339</v>
      </c>
      <c r="AZ48" s="45">
        <v>2.33</v>
      </c>
      <c r="BA48" s="45">
        <v>24.34</v>
      </c>
      <c r="BB48" s="45">
        <v>22.7</v>
      </c>
      <c r="BC48" s="45">
        <v>3.77</v>
      </c>
      <c r="BD48" s="45">
        <v>1.6</v>
      </c>
      <c r="BE48" s="45">
        <v>0.59</v>
      </c>
      <c r="BF48" s="45">
        <v>2.48</v>
      </c>
      <c r="BG48" s="45">
        <v>18.5</v>
      </c>
      <c r="BH48" s="45">
        <v>0.16</v>
      </c>
      <c r="BI48" s="45">
        <v>697</v>
      </c>
      <c r="BJ48" s="45">
        <v>30.9</v>
      </c>
      <c r="BK48" s="45">
        <v>153</v>
      </c>
    </row>
    <row r="49" spans="1:63" x14ac:dyDescent="0.2">
      <c r="A49" s="109" t="s">
        <v>812</v>
      </c>
      <c r="B49" s="110">
        <v>47.300449999999998</v>
      </c>
      <c r="C49" s="110">
        <v>99.737666666666669</v>
      </c>
      <c r="D49" s="45">
        <v>2321</v>
      </c>
      <c r="G49" s="111">
        <v>49.543734718477538</v>
      </c>
      <c r="H49" s="112">
        <v>1.8876441487277023</v>
      </c>
      <c r="I49" s="111">
        <v>17.270611192808378</v>
      </c>
      <c r="J49" s="111">
        <v>9.6257595325959411</v>
      </c>
      <c r="K49" s="112">
        <v>0.14847696954780215</v>
      </c>
      <c r="L49" s="111">
        <v>6.3102211393634793</v>
      </c>
      <c r="M49" s="111">
        <v>7.5824288501125601</v>
      </c>
      <c r="N49" s="111">
        <v>4.8303078864421538</v>
      </c>
      <c r="O49" s="111">
        <v>2.075543415895527</v>
      </c>
      <c r="P49" s="112">
        <v>0.72528215931254403</v>
      </c>
      <c r="Q49" s="111">
        <v>99.867339999999999</v>
      </c>
      <c r="R49" s="113">
        <v>84.5</v>
      </c>
      <c r="S49" s="114">
        <v>129.6</v>
      </c>
      <c r="T49" s="114">
        <v>15.2</v>
      </c>
      <c r="U49" s="114">
        <v>146.9</v>
      </c>
      <c r="V49" s="114">
        <v>619.5</v>
      </c>
      <c r="W49" s="114">
        <v>31.4</v>
      </c>
      <c r="X49" s="114">
        <v>1208.9000000000001</v>
      </c>
      <c r="Y49" s="114">
        <v>196.7</v>
      </c>
      <c r="Z49" s="114">
        <v>20.100000000000001</v>
      </c>
      <c r="AA49" s="115">
        <v>37.6</v>
      </c>
      <c r="AB49" s="114">
        <v>22.2</v>
      </c>
      <c r="AC49" s="114">
        <v>26.5</v>
      </c>
      <c r="AD49" s="114">
        <v>104</v>
      </c>
      <c r="AE49" s="114">
        <v>5.0999999999999996</v>
      </c>
      <c r="AF49" s="114">
        <v>36.299999999999997</v>
      </c>
      <c r="AG49" s="114">
        <v>69.7</v>
      </c>
      <c r="AH49" s="114">
        <v>0</v>
      </c>
      <c r="AI49" s="114">
        <v>33.700000000000003</v>
      </c>
    </row>
    <row r="50" spans="1:63" x14ac:dyDescent="0.2">
      <c r="A50" s="109" t="s">
        <v>813</v>
      </c>
      <c r="B50" s="110">
        <v>47.037516666666669</v>
      </c>
      <c r="C50" s="110">
        <v>99.827133333333336</v>
      </c>
      <c r="D50" s="45">
        <v>3126</v>
      </c>
      <c r="G50" s="111">
        <v>47.756758680731792</v>
      </c>
      <c r="H50" s="112">
        <v>2.2394108722244197</v>
      </c>
      <c r="I50" s="111">
        <v>16.489507235829929</v>
      </c>
      <c r="J50" s="111">
        <v>10.037327530733188</v>
      </c>
      <c r="K50" s="112">
        <v>0.14393042823795521</v>
      </c>
      <c r="L50" s="111">
        <v>8.5186933346104841</v>
      </c>
      <c r="M50" s="111">
        <v>8.7101052414070228</v>
      </c>
      <c r="N50" s="111">
        <v>4.1470337429752959</v>
      </c>
      <c r="O50" s="111">
        <v>1.4187112368046619</v>
      </c>
      <c r="P50" s="112">
        <v>0.53851165595496964</v>
      </c>
      <c r="Q50" s="111">
        <v>99.596729999999994</v>
      </c>
      <c r="R50" s="113">
        <v>141.4</v>
      </c>
      <c r="S50" s="114">
        <v>282.2</v>
      </c>
      <c r="T50" s="114">
        <v>21.3</v>
      </c>
      <c r="U50" s="114">
        <v>210</v>
      </c>
      <c r="V50" s="114">
        <v>493</v>
      </c>
      <c r="W50" s="114">
        <v>19.100000000000001</v>
      </c>
      <c r="X50" s="114">
        <v>1012.8</v>
      </c>
      <c r="Y50" s="114">
        <v>152.6</v>
      </c>
      <c r="Z50" s="114">
        <v>19.100000000000001</v>
      </c>
      <c r="AA50" s="115">
        <v>27</v>
      </c>
      <c r="AB50" s="114">
        <v>20.3</v>
      </c>
      <c r="AC50" s="114">
        <v>39.299999999999997</v>
      </c>
      <c r="AD50" s="114">
        <v>96</v>
      </c>
      <c r="AE50" s="114">
        <v>2.2000000000000002</v>
      </c>
      <c r="AF50" s="114">
        <v>23.8</v>
      </c>
      <c r="AG50" s="114">
        <v>50</v>
      </c>
      <c r="AH50" s="114">
        <v>0</v>
      </c>
      <c r="AI50" s="114">
        <v>29.5</v>
      </c>
      <c r="AJ50" s="45">
        <v>0</v>
      </c>
      <c r="AK50" s="45">
        <v>24.98</v>
      </c>
      <c r="AL50" s="45">
        <v>52.82</v>
      </c>
      <c r="AM50" s="45">
        <v>6.78</v>
      </c>
      <c r="AN50" s="45">
        <v>28.33</v>
      </c>
      <c r="AO50" s="45">
        <v>6.17</v>
      </c>
      <c r="AP50" s="45">
        <v>2.11</v>
      </c>
      <c r="AQ50" s="45">
        <v>5.6</v>
      </c>
      <c r="AR50" s="45">
        <v>0.79</v>
      </c>
      <c r="AS50" s="45">
        <v>4.21</v>
      </c>
      <c r="AT50" s="45">
        <v>0.77</v>
      </c>
      <c r="AU50" s="45">
        <v>1.8</v>
      </c>
      <c r="AV50" s="45">
        <v>0.25</v>
      </c>
      <c r="AW50" s="45">
        <v>1.42</v>
      </c>
      <c r="AX50" s="45">
        <v>0.21</v>
      </c>
      <c r="AY50" s="45">
        <v>479</v>
      </c>
      <c r="AZ50" s="45">
        <v>2.1</v>
      </c>
      <c r="BA50" s="45">
        <v>29.51</v>
      </c>
      <c r="BB50" s="45">
        <v>18.760000000000002</v>
      </c>
      <c r="BC50" s="45">
        <v>3.61</v>
      </c>
      <c r="BD50" s="45">
        <v>1.84</v>
      </c>
      <c r="BE50" s="45">
        <v>0.53</v>
      </c>
      <c r="BF50" s="45">
        <v>2.04</v>
      </c>
      <c r="BG50" s="45">
        <v>19.5</v>
      </c>
      <c r="BH50" s="45">
        <v>0.17</v>
      </c>
      <c r="BI50" s="45">
        <v>1004</v>
      </c>
      <c r="BJ50" s="45">
        <v>23</v>
      </c>
      <c r="BK50" s="45">
        <v>149</v>
      </c>
    </row>
    <row r="51" spans="1:63" x14ac:dyDescent="0.2">
      <c r="A51" s="109" t="s">
        <v>814</v>
      </c>
      <c r="B51" s="110">
        <v>47.107833333333332</v>
      </c>
      <c r="C51" s="110">
        <v>99.684749999999994</v>
      </c>
      <c r="D51" s="45">
        <v>2201</v>
      </c>
      <c r="G51" s="111">
        <v>48.45690034117991</v>
      </c>
      <c r="H51" s="112">
        <v>2.0422448808795437</v>
      </c>
      <c r="I51" s="111">
        <v>16.527602746014761</v>
      </c>
      <c r="J51" s="111">
        <v>10.244030164235994</v>
      </c>
      <c r="K51" s="112">
        <v>0.15807704214331506</v>
      </c>
      <c r="L51" s="111">
        <v>7.27702849286886</v>
      </c>
      <c r="M51" s="111">
        <v>8.8157811345958361</v>
      </c>
      <c r="N51" s="111">
        <v>4.0869273414374723</v>
      </c>
      <c r="O51" s="111">
        <v>1.8391233975960588</v>
      </c>
      <c r="P51" s="112">
        <v>0.55227430246626186</v>
      </c>
      <c r="Q51" s="111">
        <v>98.458320000000001</v>
      </c>
      <c r="R51" s="113">
        <v>105.4</v>
      </c>
      <c r="S51" s="114">
        <v>174.5</v>
      </c>
      <c r="T51" s="114">
        <v>19.8</v>
      </c>
      <c r="U51" s="114">
        <v>170.5</v>
      </c>
      <c r="V51" s="114">
        <v>464.7</v>
      </c>
      <c r="W51" s="114">
        <v>26.2</v>
      </c>
      <c r="X51" s="114">
        <v>749.7</v>
      </c>
      <c r="Y51" s="114">
        <v>195.3</v>
      </c>
      <c r="Z51" s="114">
        <v>21</v>
      </c>
      <c r="AA51" s="115">
        <v>31.6</v>
      </c>
      <c r="AB51" s="114">
        <v>21.1</v>
      </c>
      <c r="AC51" s="114">
        <v>33.799999999999997</v>
      </c>
      <c r="AD51" s="114">
        <v>98.6</v>
      </c>
      <c r="AE51" s="114">
        <v>2.1</v>
      </c>
      <c r="AF51" s="114">
        <v>28.2</v>
      </c>
      <c r="AG51" s="114">
        <v>60.9</v>
      </c>
      <c r="AH51" s="114">
        <v>0</v>
      </c>
      <c r="AI51" s="114">
        <v>31.6</v>
      </c>
      <c r="AJ51" s="45">
        <v>0</v>
      </c>
      <c r="AK51" s="45">
        <v>27.06</v>
      </c>
      <c r="AL51" s="45">
        <v>55.81</v>
      </c>
      <c r="AM51" s="45">
        <v>6.94</v>
      </c>
      <c r="AN51" s="45">
        <v>28.45</v>
      </c>
      <c r="AO51" s="45">
        <v>6.29</v>
      </c>
      <c r="AP51" s="45">
        <v>2.14</v>
      </c>
      <c r="AQ51" s="45">
        <v>5.81</v>
      </c>
      <c r="AR51" s="45">
        <v>0.87</v>
      </c>
      <c r="AS51" s="45">
        <v>4.8</v>
      </c>
      <c r="AT51" s="45">
        <v>0.87</v>
      </c>
      <c r="AU51" s="45">
        <v>2.08</v>
      </c>
      <c r="AV51" s="45">
        <v>0.28000000000000003</v>
      </c>
      <c r="AW51" s="45">
        <v>1.66</v>
      </c>
      <c r="AX51" s="45">
        <v>0.25</v>
      </c>
      <c r="AY51" s="45">
        <v>447</v>
      </c>
      <c r="AZ51" s="45">
        <v>2.69</v>
      </c>
      <c r="BA51" s="45">
        <v>34.659999999999997</v>
      </c>
      <c r="BB51" s="45">
        <v>21.55</v>
      </c>
      <c r="BC51" s="45">
        <v>4.46</v>
      </c>
      <c r="BD51" s="45">
        <v>2.19</v>
      </c>
      <c r="BE51" s="45">
        <v>0.72</v>
      </c>
      <c r="BF51" s="45">
        <v>2.58</v>
      </c>
      <c r="BG51" s="45">
        <v>26.6</v>
      </c>
      <c r="BH51" s="45">
        <v>0.26</v>
      </c>
      <c r="BI51" s="45">
        <v>752</v>
      </c>
      <c r="BJ51" s="45">
        <v>22.3</v>
      </c>
      <c r="BK51" s="45">
        <v>187</v>
      </c>
    </row>
    <row r="52" spans="1:63" x14ac:dyDescent="0.2">
      <c r="A52" s="109" t="s">
        <v>815</v>
      </c>
      <c r="B52" s="110">
        <v>47.109216666666669</v>
      </c>
      <c r="C52" s="110">
        <v>99.68546666666667</v>
      </c>
      <c r="D52" s="45">
        <v>2207</v>
      </c>
      <c r="G52" s="111">
        <v>49.300208112865526</v>
      </c>
      <c r="H52" s="112">
        <v>1.7961884166064326</v>
      </c>
      <c r="I52" s="111">
        <v>16.146549527487409</v>
      </c>
      <c r="J52" s="111">
        <v>9.8282154488490736</v>
      </c>
      <c r="K52" s="112">
        <v>0.15644332506122244</v>
      </c>
      <c r="L52" s="111">
        <v>8.4159113086377051</v>
      </c>
      <c r="M52" s="111">
        <v>8.3810742778439113</v>
      </c>
      <c r="N52" s="111">
        <v>3.949547330774172</v>
      </c>
      <c r="O52" s="111">
        <v>1.561866949619874</v>
      </c>
      <c r="P52" s="112">
        <v>0.46400540580190136</v>
      </c>
      <c r="Q52" s="111">
        <v>98.975139999999996</v>
      </c>
      <c r="R52" s="113">
        <v>142</v>
      </c>
      <c r="S52" s="114">
        <v>233.7</v>
      </c>
      <c r="T52" s="114">
        <v>23.2</v>
      </c>
      <c r="U52" s="114">
        <v>167.8</v>
      </c>
      <c r="V52" s="114">
        <v>406.6</v>
      </c>
      <c r="W52" s="114">
        <v>21</v>
      </c>
      <c r="X52" s="114">
        <v>676.4</v>
      </c>
      <c r="Y52" s="114">
        <v>173.8</v>
      </c>
      <c r="Z52" s="114">
        <v>21.3</v>
      </c>
      <c r="AA52" s="115">
        <v>27.3</v>
      </c>
      <c r="AB52" s="114">
        <v>21</v>
      </c>
      <c r="AC52" s="114">
        <v>38.5</v>
      </c>
      <c r="AD52" s="114">
        <v>95.1</v>
      </c>
      <c r="AE52" s="114">
        <v>3.6</v>
      </c>
      <c r="AF52" s="114">
        <v>23.9</v>
      </c>
      <c r="AG52" s="114">
        <v>41.9</v>
      </c>
      <c r="AH52" s="114">
        <v>0</v>
      </c>
      <c r="AI52" s="114">
        <v>23.8</v>
      </c>
      <c r="AJ52" s="45">
        <v>0</v>
      </c>
      <c r="AK52" s="45">
        <v>22.71</v>
      </c>
      <c r="AL52" s="45">
        <v>46.75</v>
      </c>
      <c r="AM52" s="45">
        <v>5.9</v>
      </c>
      <c r="AN52" s="45">
        <v>24.66</v>
      </c>
      <c r="AO52" s="45">
        <v>5.57</v>
      </c>
      <c r="AP52" s="45">
        <v>1.95</v>
      </c>
      <c r="AQ52" s="45">
        <v>5.13</v>
      </c>
      <c r="AR52" s="45">
        <v>0.8</v>
      </c>
      <c r="AS52" s="45">
        <v>4.5199999999999996</v>
      </c>
      <c r="AT52" s="45">
        <v>0.83</v>
      </c>
      <c r="AU52" s="45">
        <v>2.09</v>
      </c>
      <c r="AV52" s="45">
        <v>0.28000000000000003</v>
      </c>
      <c r="AW52" s="45">
        <v>1.67</v>
      </c>
      <c r="AX52" s="45">
        <v>0.25</v>
      </c>
      <c r="AY52" s="45">
        <v>388</v>
      </c>
      <c r="AZ52" s="45">
        <v>2.2200000000000002</v>
      </c>
      <c r="BA52" s="45">
        <v>28.61</v>
      </c>
      <c r="BB52" s="45">
        <v>20.74</v>
      </c>
      <c r="BC52" s="45">
        <v>3.98</v>
      </c>
      <c r="BD52" s="45">
        <v>1.8</v>
      </c>
      <c r="BE52" s="45">
        <v>0.63</v>
      </c>
      <c r="BF52" s="45">
        <v>2.29</v>
      </c>
      <c r="BG52" s="45">
        <v>20.399999999999999</v>
      </c>
      <c r="BH52" s="45">
        <v>0.21</v>
      </c>
      <c r="BI52" s="45">
        <v>673</v>
      </c>
      <c r="BJ52" s="45">
        <v>24.9</v>
      </c>
      <c r="BK52" s="45">
        <v>165</v>
      </c>
    </row>
    <row r="53" spans="1:63" x14ac:dyDescent="0.2">
      <c r="A53" s="109" t="s">
        <v>816</v>
      </c>
      <c r="B53" s="110">
        <v>47.103099999999998</v>
      </c>
      <c r="C53" s="110">
        <v>99.696799999999996</v>
      </c>
      <c r="D53" s="45">
        <v>2274</v>
      </c>
      <c r="G53" s="111">
        <v>47.197218860582659</v>
      </c>
      <c r="H53" s="112">
        <v>1.829445567481278</v>
      </c>
      <c r="I53" s="111">
        <v>16.171328978361196</v>
      </c>
      <c r="J53" s="111">
        <v>9.7061191630449102</v>
      </c>
      <c r="K53" s="112">
        <v>0.1617735032463587</v>
      </c>
      <c r="L53" s="111">
        <v>10.243534353637077</v>
      </c>
      <c r="M53" s="111">
        <v>9.7214234181597181</v>
      </c>
      <c r="N53" s="111">
        <v>3.3382745169901815</v>
      </c>
      <c r="O53" s="111">
        <v>1.2022521039336551</v>
      </c>
      <c r="P53" s="112">
        <v>0.42862953456297931</v>
      </c>
      <c r="Q53" s="111">
        <v>99.645489999999995</v>
      </c>
      <c r="R53" s="113">
        <v>192.3</v>
      </c>
      <c r="S53" s="114">
        <v>348.1</v>
      </c>
      <c r="T53" s="114">
        <v>28.7</v>
      </c>
      <c r="U53" s="114">
        <v>224.9</v>
      </c>
      <c r="V53" s="114">
        <v>337</v>
      </c>
      <c r="W53" s="114">
        <v>16.399999999999999</v>
      </c>
      <c r="X53" s="114">
        <v>801.7</v>
      </c>
      <c r="Y53" s="114">
        <v>150.1</v>
      </c>
      <c r="Z53" s="114">
        <v>22.9</v>
      </c>
      <c r="AA53" s="115">
        <v>23</v>
      </c>
      <c r="AB53" s="114">
        <v>17.2</v>
      </c>
      <c r="AC53" s="114">
        <v>40.5</v>
      </c>
      <c r="AD53" s="114">
        <v>83.5</v>
      </c>
      <c r="AE53" s="114">
        <v>2</v>
      </c>
      <c r="AF53" s="114">
        <v>22.5</v>
      </c>
      <c r="AG53" s="114">
        <v>42.5</v>
      </c>
      <c r="AH53" s="114">
        <v>0</v>
      </c>
      <c r="AI53" s="114">
        <v>23.5</v>
      </c>
      <c r="AJ53" s="45">
        <v>0</v>
      </c>
      <c r="AK53" s="45">
        <v>21.83</v>
      </c>
      <c r="AL53" s="45">
        <v>46.35</v>
      </c>
      <c r="AM53" s="45">
        <v>5.91</v>
      </c>
      <c r="AN53" s="45">
        <v>24.72</v>
      </c>
      <c r="AO53" s="45">
        <v>5.55</v>
      </c>
      <c r="AP53" s="45">
        <v>1.92</v>
      </c>
      <c r="AQ53" s="45">
        <v>5.32</v>
      </c>
      <c r="AR53" s="45">
        <v>0.82</v>
      </c>
      <c r="AS53" s="45">
        <v>4.68</v>
      </c>
      <c r="AT53" s="45">
        <v>0.9</v>
      </c>
      <c r="AU53" s="45">
        <v>2.3199999999999998</v>
      </c>
      <c r="AV53" s="45">
        <v>0.33</v>
      </c>
      <c r="AW53" s="45">
        <v>1.93</v>
      </c>
      <c r="AX53" s="45">
        <v>0.3</v>
      </c>
      <c r="AY53" s="45">
        <v>319</v>
      </c>
      <c r="AZ53" s="45">
        <v>2.2599999999999998</v>
      </c>
      <c r="BA53" s="45">
        <v>24.15</v>
      </c>
      <c r="BB53" s="45">
        <v>22.6</v>
      </c>
      <c r="BC53" s="45">
        <v>3.56</v>
      </c>
      <c r="BD53" s="45">
        <v>1.56</v>
      </c>
      <c r="BE53" s="45">
        <v>0.62</v>
      </c>
      <c r="BF53" s="45">
        <v>2.16</v>
      </c>
      <c r="BG53" s="45">
        <v>16.899999999999999</v>
      </c>
      <c r="BH53" s="45">
        <v>0.17</v>
      </c>
      <c r="BI53" s="45">
        <v>785</v>
      </c>
      <c r="BJ53" s="45">
        <v>31.1</v>
      </c>
      <c r="BK53" s="45">
        <v>145</v>
      </c>
    </row>
    <row r="54" spans="1:63" x14ac:dyDescent="0.2">
      <c r="A54" s="109" t="s">
        <v>817</v>
      </c>
      <c r="B54" s="110">
        <v>47.106733333333331</v>
      </c>
      <c r="C54" s="110">
        <v>99.689033333333327</v>
      </c>
      <c r="D54" s="45">
        <v>2258</v>
      </c>
      <c r="G54" s="111">
        <v>49.311195257089658</v>
      </c>
      <c r="H54" s="112">
        <v>1.9475528194992056</v>
      </c>
      <c r="I54" s="111">
        <v>16.317843704463122</v>
      </c>
      <c r="J54" s="111">
        <v>10.128491837752614</v>
      </c>
      <c r="K54" s="112">
        <v>0.16034229502134498</v>
      </c>
      <c r="L54" s="111">
        <v>7.8177239044353071</v>
      </c>
      <c r="M54" s="111">
        <v>8.2448660086647614</v>
      </c>
      <c r="N54" s="111">
        <v>4.0251194518305997</v>
      </c>
      <c r="O54" s="111">
        <v>1.5195225600508993</v>
      </c>
      <c r="P54" s="112">
        <v>0.52735225386544315</v>
      </c>
      <c r="Q54" s="111">
        <v>99.081779999999995</v>
      </c>
      <c r="R54" s="113">
        <v>125.1</v>
      </c>
      <c r="S54" s="114">
        <v>204.3</v>
      </c>
      <c r="T54" s="114">
        <v>22.9</v>
      </c>
      <c r="U54" s="114">
        <v>187.5</v>
      </c>
      <c r="V54" s="114">
        <v>447.4</v>
      </c>
      <c r="W54" s="114">
        <v>20.5</v>
      </c>
      <c r="X54" s="114">
        <v>724.1</v>
      </c>
      <c r="Y54" s="114">
        <v>190.2</v>
      </c>
      <c r="Z54" s="114">
        <v>21.7</v>
      </c>
      <c r="AA54" s="115">
        <v>31.6</v>
      </c>
      <c r="AB54" s="114">
        <v>18.899999999999999</v>
      </c>
      <c r="AC54" s="114">
        <v>38</v>
      </c>
      <c r="AD54" s="114">
        <v>100.2</v>
      </c>
      <c r="AE54" s="114">
        <v>2</v>
      </c>
      <c r="AF54" s="114">
        <v>27.6</v>
      </c>
      <c r="AG54" s="114">
        <v>53.8</v>
      </c>
      <c r="AH54" s="114">
        <v>0.9</v>
      </c>
      <c r="AI54" s="114">
        <v>26</v>
      </c>
      <c r="AJ54" s="45">
        <v>0.9</v>
      </c>
      <c r="AK54" s="45">
        <v>25.73</v>
      </c>
      <c r="AL54" s="45">
        <v>52.95</v>
      </c>
      <c r="AM54" s="45">
        <v>6.66</v>
      </c>
      <c r="AN54" s="45">
        <v>27.71</v>
      </c>
      <c r="AO54" s="45">
        <v>6.18</v>
      </c>
      <c r="AP54" s="45">
        <v>2.11</v>
      </c>
      <c r="AQ54" s="45">
        <v>5.74</v>
      </c>
      <c r="AR54" s="45">
        <v>0.87</v>
      </c>
      <c r="AS54" s="45">
        <v>4.83</v>
      </c>
      <c r="AT54" s="45">
        <v>0.88</v>
      </c>
      <c r="AU54" s="45">
        <v>2.16</v>
      </c>
      <c r="AV54" s="45">
        <v>0.28999999999999998</v>
      </c>
      <c r="AW54" s="45">
        <v>1.69</v>
      </c>
      <c r="AX54" s="45">
        <v>0.25</v>
      </c>
      <c r="AY54" s="45">
        <v>426</v>
      </c>
      <c r="AZ54" s="45">
        <v>2.4700000000000002</v>
      </c>
      <c r="BA54" s="45">
        <v>32.57</v>
      </c>
      <c r="BB54" s="45">
        <v>21.86</v>
      </c>
      <c r="BC54" s="45">
        <v>4.3</v>
      </c>
      <c r="BD54" s="45">
        <v>2.0299999999999998</v>
      </c>
      <c r="BE54" s="45">
        <v>0.69</v>
      </c>
      <c r="BF54" s="45">
        <v>1.62</v>
      </c>
      <c r="BG54" s="45">
        <v>19.8</v>
      </c>
      <c r="BH54" s="45">
        <v>0.26</v>
      </c>
      <c r="BI54" s="45">
        <v>716</v>
      </c>
      <c r="BJ54" s="45">
        <v>22.8</v>
      </c>
      <c r="BK54" s="45">
        <v>181</v>
      </c>
    </row>
    <row r="55" spans="1:63" x14ac:dyDescent="0.2">
      <c r="A55" s="109" t="s">
        <v>818</v>
      </c>
      <c r="B55" s="110">
        <v>47.192383333333332</v>
      </c>
      <c r="C55" s="110">
        <v>99.647549999999995</v>
      </c>
      <c r="D55" s="45">
        <v>2185</v>
      </c>
      <c r="G55" s="111">
        <v>49.558431973749251</v>
      </c>
      <c r="H55" s="112">
        <v>1.9976164883115171</v>
      </c>
      <c r="I55" s="111">
        <v>16.236227851831988</v>
      </c>
      <c r="J55" s="111">
        <v>9.8433692318997075</v>
      </c>
      <c r="K55" s="112">
        <v>0.15379793876029285</v>
      </c>
      <c r="L55" s="111">
        <v>7.3777135232567046</v>
      </c>
      <c r="M55" s="111">
        <v>8.7551792994258424</v>
      </c>
      <c r="N55" s="111">
        <v>3.8668120491013038</v>
      </c>
      <c r="O55" s="111">
        <v>1.7609316896632445</v>
      </c>
      <c r="P55" s="112">
        <v>0.44991995400015178</v>
      </c>
      <c r="Q55" s="111">
        <v>99.617720000000006</v>
      </c>
      <c r="R55" s="113">
        <v>89</v>
      </c>
      <c r="S55" s="114">
        <v>229.6</v>
      </c>
      <c r="T55" s="114">
        <v>22.7</v>
      </c>
      <c r="U55" s="114">
        <v>180.3</v>
      </c>
      <c r="V55" s="114">
        <v>402.3</v>
      </c>
      <c r="W55" s="114">
        <v>22.9</v>
      </c>
      <c r="X55" s="114">
        <v>658.5</v>
      </c>
      <c r="Y55" s="114">
        <v>163.30000000000001</v>
      </c>
      <c r="Z55" s="114">
        <v>21.2</v>
      </c>
      <c r="AA55" s="115">
        <v>27.1</v>
      </c>
      <c r="AB55" s="114">
        <v>20.2</v>
      </c>
      <c r="AC55" s="114">
        <v>39.1</v>
      </c>
      <c r="AD55" s="114">
        <v>98.2</v>
      </c>
      <c r="AE55" s="114">
        <v>3.2</v>
      </c>
      <c r="AF55" s="114">
        <v>20.2</v>
      </c>
      <c r="AG55" s="114">
        <v>44</v>
      </c>
      <c r="AH55" s="114">
        <v>1.2</v>
      </c>
      <c r="AI55" s="114">
        <v>25.1</v>
      </c>
      <c r="AJ55" s="45">
        <v>1.2</v>
      </c>
      <c r="AK55" s="45">
        <v>21.7</v>
      </c>
      <c r="AL55" s="45">
        <v>45</v>
      </c>
      <c r="AM55" s="45">
        <v>5.72</v>
      </c>
      <c r="AN55" s="45">
        <v>24.43</v>
      </c>
      <c r="AO55" s="45">
        <v>5.67</v>
      </c>
      <c r="AP55" s="45">
        <v>2.0299999999999998</v>
      </c>
      <c r="AQ55" s="45">
        <v>5.49</v>
      </c>
      <c r="AR55" s="45">
        <v>0.84</v>
      </c>
      <c r="AS55" s="45">
        <v>4.74</v>
      </c>
      <c r="AT55" s="45">
        <v>0.87</v>
      </c>
      <c r="AU55" s="45">
        <v>2.11</v>
      </c>
      <c r="AV55" s="45">
        <v>0.28000000000000003</v>
      </c>
      <c r="AW55" s="45">
        <v>1.66</v>
      </c>
      <c r="AX55" s="45">
        <v>0.25</v>
      </c>
      <c r="AY55" s="45">
        <v>380</v>
      </c>
      <c r="AZ55" s="45">
        <v>2.1800000000000002</v>
      </c>
      <c r="BA55" s="45">
        <v>27.23</v>
      </c>
      <c r="BB55" s="45">
        <v>21.46</v>
      </c>
      <c r="BC55" s="45">
        <v>3.81</v>
      </c>
      <c r="BD55" s="45">
        <v>1.63</v>
      </c>
      <c r="BE55" s="45">
        <v>0.55000000000000004</v>
      </c>
      <c r="BF55" s="45">
        <v>2.5299999999999998</v>
      </c>
      <c r="BG55" s="45">
        <v>22.4</v>
      </c>
      <c r="BH55" s="45">
        <v>0.17</v>
      </c>
      <c r="BI55" s="45">
        <v>647</v>
      </c>
      <c r="BJ55" s="45">
        <v>24.1</v>
      </c>
      <c r="BK55" s="45">
        <v>155</v>
      </c>
    </row>
    <row r="56" spans="1:63" x14ac:dyDescent="0.2">
      <c r="A56" s="109" t="s">
        <v>819</v>
      </c>
      <c r="B56" s="110">
        <v>47.192383333333332</v>
      </c>
      <c r="C56" s="110">
        <v>99.647549999999995</v>
      </c>
      <c r="D56" s="45">
        <v>2190</v>
      </c>
      <c r="G56" s="111">
        <v>49.638699611903093</v>
      </c>
      <c r="H56" s="112">
        <v>1.9809903009654939</v>
      </c>
      <c r="I56" s="111">
        <v>16.170127896099704</v>
      </c>
      <c r="J56" s="111">
        <v>10.021260222145607</v>
      </c>
      <c r="K56" s="112">
        <v>0.15294090637259508</v>
      </c>
      <c r="L56" s="111">
        <v>7.5389388943329241</v>
      </c>
      <c r="M56" s="111">
        <v>8.8968381121214026</v>
      </c>
      <c r="N56" s="111">
        <v>3.2447502543368238</v>
      </c>
      <c r="O56" s="111">
        <v>1.9085754821830725</v>
      </c>
      <c r="P56" s="112">
        <v>0.44686820573778213</v>
      </c>
      <c r="Q56" s="111">
        <v>98.87478999999999</v>
      </c>
      <c r="R56" s="113">
        <v>95.1</v>
      </c>
      <c r="S56" s="114">
        <v>234.7</v>
      </c>
      <c r="T56" s="114">
        <v>21.4</v>
      </c>
      <c r="U56" s="114">
        <v>173.2</v>
      </c>
      <c r="V56" s="114">
        <v>400.5</v>
      </c>
      <c r="W56" s="114">
        <v>23</v>
      </c>
      <c r="X56" s="114">
        <v>669.1</v>
      </c>
      <c r="Y56" s="114">
        <v>160.80000000000001</v>
      </c>
      <c r="Z56" s="114">
        <v>21.9</v>
      </c>
      <c r="AA56" s="115">
        <v>27</v>
      </c>
      <c r="AB56" s="114">
        <v>20.9</v>
      </c>
      <c r="AC56" s="114">
        <v>40.700000000000003</v>
      </c>
      <c r="AD56" s="114">
        <v>97.8</v>
      </c>
      <c r="AE56" s="114">
        <v>3.2</v>
      </c>
      <c r="AF56" s="114">
        <v>22.6</v>
      </c>
      <c r="AG56" s="114">
        <v>49.9</v>
      </c>
      <c r="AH56" s="114">
        <v>0</v>
      </c>
      <c r="AI56" s="114">
        <v>23.2</v>
      </c>
      <c r="AJ56" s="45">
        <v>0</v>
      </c>
      <c r="AK56" s="45">
        <v>21.59</v>
      </c>
      <c r="AL56" s="45">
        <v>44.33</v>
      </c>
      <c r="AM56" s="45">
        <v>5.68</v>
      </c>
      <c r="AN56" s="45">
        <v>24.02</v>
      </c>
      <c r="AO56" s="45">
        <v>5.62</v>
      </c>
      <c r="AP56" s="45">
        <v>1.98</v>
      </c>
      <c r="AQ56" s="45">
        <v>5.42</v>
      </c>
      <c r="AR56" s="45">
        <v>0.83</v>
      </c>
      <c r="AS56" s="45">
        <v>4.6100000000000003</v>
      </c>
      <c r="AT56" s="45">
        <v>0.86</v>
      </c>
      <c r="AU56" s="45">
        <v>2.0699999999999998</v>
      </c>
      <c r="AV56" s="45">
        <v>0.28000000000000003</v>
      </c>
      <c r="AW56" s="45">
        <v>1.63</v>
      </c>
      <c r="AX56" s="45">
        <v>0.24</v>
      </c>
      <c r="AY56" s="45">
        <v>385</v>
      </c>
      <c r="AZ56" s="45">
        <v>2.14</v>
      </c>
      <c r="BA56" s="45">
        <v>26.81</v>
      </c>
      <c r="BB56" s="45">
        <v>21.02</v>
      </c>
      <c r="BC56" s="45">
        <v>3.77</v>
      </c>
      <c r="BD56" s="45">
        <v>1.62</v>
      </c>
      <c r="BE56" s="45">
        <v>0.38</v>
      </c>
      <c r="BF56" s="45">
        <v>2.52</v>
      </c>
      <c r="BG56" s="45">
        <v>23.1</v>
      </c>
      <c r="BH56" s="45">
        <v>0.15</v>
      </c>
      <c r="BI56" s="45">
        <v>656</v>
      </c>
      <c r="BJ56" s="45">
        <v>23.3</v>
      </c>
      <c r="BK56" s="45">
        <v>153</v>
      </c>
    </row>
    <row r="57" spans="1:63" x14ac:dyDescent="0.2">
      <c r="A57" s="109" t="s">
        <v>820</v>
      </c>
      <c r="B57" s="110">
        <v>47.192383333333332</v>
      </c>
      <c r="C57" s="110">
        <v>99.647549999999995</v>
      </c>
      <c r="D57" s="45">
        <v>2193</v>
      </c>
      <c r="G57" s="111">
        <v>50.190194273529279</v>
      </c>
      <c r="H57" s="112">
        <v>2.0167487510870146</v>
      </c>
      <c r="I57" s="111">
        <v>16.065311593170982</v>
      </c>
      <c r="J57" s="111">
        <v>9.4502484693557189</v>
      </c>
      <c r="K57" s="112">
        <v>0.14810899410231546</v>
      </c>
      <c r="L57" s="111">
        <v>7.2703910463208938</v>
      </c>
      <c r="M57" s="111">
        <v>8.5626102148011309</v>
      </c>
      <c r="N57" s="111">
        <v>3.5084472193962446</v>
      </c>
      <c r="O57" s="111">
        <v>2.2748417031262118</v>
      </c>
      <c r="P57" s="112">
        <v>0.51308747541263477</v>
      </c>
      <c r="Q57" s="111">
        <v>97.468760000000003</v>
      </c>
      <c r="R57" s="113">
        <v>83</v>
      </c>
      <c r="S57" s="114">
        <v>233.2</v>
      </c>
      <c r="T57" s="114">
        <v>19.7</v>
      </c>
      <c r="U57" s="114">
        <v>172.1</v>
      </c>
      <c r="V57" s="114">
        <v>574.70000000000005</v>
      </c>
      <c r="W57" s="114">
        <v>32.700000000000003</v>
      </c>
      <c r="X57" s="114">
        <v>723</v>
      </c>
      <c r="Y57" s="114">
        <v>166.8</v>
      </c>
      <c r="Z57" s="114">
        <v>19.7</v>
      </c>
      <c r="AA57" s="115">
        <v>28.9</v>
      </c>
      <c r="AB57" s="114">
        <v>22.5</v>
      </c>
      <c r="AC57" s="114">
        <v>32.4</v>
      </c>
      <c r="AD57" s="114">
        <v>96.1</v>
      </c>
      <c r="AE57" s="114">
        <v>2.7</v>
      </c>
      <c r="AF57" s="114">
        <v>27.4</v>
      </c>
      <c r="AG57" s="114">
        <v>55.2</v>
      </c>
      <c r="AH57" s="114">
        <v>0</v>
      </c>
      <c r="AI57" s="114">
        <v>29.9</v>
      </c>
    </row>
    <row r="58" spans="1:63" x14ac:dyDescent="0.2">
      <c r="A58" s="109" t="s">
        <v>821</v>
      </c>
      <c r="B58" s="110">
        <v>47.192383333333332</v>
      </c>
      <c r="C58" s="110">
        <v>99.647549999999995</v>
      </c>
      <c r="D58" s="45">
        <v>2199</v>
      </c>
      <c r="G58" s="111">
        <v>50.054388550599633</v>
      </c>
      <c r="H58" s="112">
        <v>2.0200686466410285</v>
      </c>
      <c r="I58" s="111">
        <v>16.070965075466187</v>
      </c>
      <c r="J58" s="111">
        <v>9.443309444575581</v>
      </c>
      <c r="K58" s="112">
        <v>0.14755500729886817</v>
      </c>
      <c r="L58" s="111">
        <v>7.2433591454109196</v>
      </c>
      <c r="M58" s="111">
        <v>8.2200318081326689</v>
      </c>
      <c r="N58" s="111">
        <v>4.0678415397491623</v>
      </c>
      <c r="O58" s="111">
        <v>2.2209420187402098</v>
      </c>
      <c r="P58" s="112">
        <v>0.51152871469278682</v>
      </c>
      <c r="Q58" s="111">
        <v>99.515429999999995</v>
      </c>
      <c r="R58" s="113">
        <v>86.4</v>
      </c>
      <c r="S58" s="114">
        <v>243.7</v>
      </c>
      <c r="T58" s="114">
        <v>19.899999999999999</v>
      </c>
      <c r="U58" s="114">
        <v>175</v>
      </c>
      <c r="V58" s="114">
        <v>581.5</v>
      </c>
      <c r="W58" s="114">
        <v>32.200000000000003</v>
      </c>
      <c r="X58" s="114">
        <v>729.8</v>
      </c>
      <c r="Y58" s="114">
        <v>169</v>
      </c>
      <c r="Z58" s="114">
        <v>19.899999999999999</v>
      </c>
      <c r="AA58" s="115">
        <v>30.9</v>
      </c>
      <c r="AB58" s="114">
        <v>20.8</v>
      </c>
      <c r="AC58" s="114">
        <v>31.4</v>
      </c>
      <c r="AD58" s="114">
        <v>98.2</v>
      </c>
      <c r="AE58" s="114">
        <v>3.6</v>
      </c>
      <c r="AF58" s="114">
        <v>29</v>
      </c>
      <c r="AG58" s="114">
        <v>53.3</v>
      </c>
      <c r="AH58" s="114">
        <v>2.1</v>
      </c>
      <c r="AI58" s="114">
        <v>29.3</v>
      </c>
      <c r="AJ58" s="45">
        <v>2.1</v>
      </c>
      <c r="AK58" s="45">
        <v>27.11</v>
      </c>
      <c r="AL58" s="45">
        <v>55.64</v>
      </c>
      <c r="AM58" s="45">
        <v>7.02</v>
      </c>
      <c r="AN58" s="45">
        <v>29.12</v>
      </c>
      <c r="AO58" s="45">
        <v>6.51</v>
      </c>
      <c r="AP58" s="45">
        <v>2.1800000000000002</v>
      </c>
      <c r="AQ58" s="45">
        <v>5.83</v>
      </c>
      <c r="AR58" s="45">
        <v>0.86</v>
      </c>
      <c r="AS58" s="45">
        <v>4.68</v>
      </c>
      <c r="AT58" s="45">
        <v>0.85</v>
      </c>
      <c r="AU58" s="45">
        <v>2.0099999999999998</v>
      </c>
      <c r="AV58" s="45">
        <v>0.27</v>
      </c>
      <c r="AW58" s="45">
        <v>1.5</v>
      </c>
      <c r="AX58" s="45">
        <v>0.22</v>
      </c>
      <c r="AY58" s="45">
        <v>567</v>
      </c>
      <c r="AZ58" s="45">
        <v>2.84</v>
      </c>
      <c r="BA58" s="45">
        <v>32.58</v>
      </c>
      <c r="BB58" s="45">
        <v>21.09</v>
      </c>
      <c r="BC58" s="45">
        <v>4.04</v>
      </c>
      <c r="BD58" s="45">
        <v>1.95</v>
      </c>
      <c r="BE58" s="45">
        <v>0.47</v>
      </c>
      <c r="BF58" s="45">
        <v>2.86</v>
      </c>
      <c r="BG58" s="45">
        <v>33.299999999999997</v>
      </c>
      <c r="BH58" s="45">
        <v>0.23</v>
      </c>
      <c r="BI58" s="45">
        <v>725</v>
      </c>
      <c r="BJ58" s="45">
        <v>21.8</v>
      </c>
      <c r="BK58" s="45">
        <v>169</v>
      </c>
    </row>
    <row r="59" spans="1:63" x14ac:dyDescent="0.2">
      <c r="A59" s="109" t="s">
        <v>822</v>
      </c>
      <c r="B59" s="110">
        <v>47.20955</v>
      </c>
      <c r="C59" s="110">
        <v>99.66631666666666</v>
      </c>
      <c r="D59" s="45">
        <v>2210</v>
      </c>
      <c r="G59" s="111">
        <v>49.622716751803523</v>
      </c>
      <c r="H59" s="112">
        <v>1.8906237859217261</v>
      </c>
      <c r="I59" s="111">
        <v>15.579515998295214</v>
      </c>
      <c r="J59" s="111">
        <v>10.00902883715249</v>
      </c>
      <c r="K59" s="112">
        <v>0.15041343286184308</v>
      </c>
      <c r="L59" s="111">
        <v>8.527590056326682</v>
      </c>
      <c r="M59" s="111">
        <v>8.4643710637409288</v>
      </c>
      <c r="N59" s="111">
        <v>3.4829704279632523</v>
      </c>
      <c r="O59" s="111">
        <v>1.8263466083811672</v>
      </c>
      <c r="P59" s="112">
        <v>0.44642303755317003</v>
      </c>
      <c r="Q59" s="111">
        <v>99.226510000000005</v>
      </c>
      <c r="R59" s="113">
        <v>151.19999999999999</v>
      </c>
      <c r="S59" s="114">
        <v>259.2</v>
      </c>
      <c r="T59" s="114">
        <v>22.3</v>
      </c>
      <c r="U59" s="114">
        <v>177</v>
      </c>
      <c r="V59" s="114">
        <v>427.1</v>
      </c>
      <c r="W59" s="114">
        <v>23.9</v>
      </c>
      <c r="X59" s="114">
        <v>662.6</v>
      </c>
      <c r="Y59" s="114">
        <v>160.69999999999999</v>
      </c>
      <c r="Z59" s="114">
        <v>21</v>
      </c>
      <c r="AA59" s="115">
        <v>25.3</v>
      </c>
      <c r="AB59" s="114">
        <v>20.5</v>
      </c>
      <c r="AC59" s="114">
        <v>41.6</v>
      </c>
      <c r="AD59" s="114">
        <v>101.3</v>
      </c>
      <c r="AE59" s="114">
        <v>2.2000000000000002</v>
      </c>
      <c r="AF59" s="114">
        <v>24.4</v>
      </c>
      <c r="AG59" s="114">
        <v>48.4</v>
      </c>
      <c r="AH59" s="114">
        <v>0</v>
      </c>
      <c r="AI59" s="114">
        <v>26.8</v>
      </c>
    </row>
    <row r="60" spans="1:63" x14ac:dyDescent="0.2">
      <c r="A60" s="109" t="s">
        <v>823</v>
      </c>
      <c r="B60" s="110">
        <v>47.209899999999998</v>
      </c>
      <c r="C60" s="110">
        <v>99.66973333333334</v>
      </c>
      <c r="D60" s="45">
        <v>2215</v>
      </c>
      <c r="G60" s="111">
        <v>49.082633305135893</v>
      </c>
      <c r="H60" s="112">
        <v>2.0191344639080606</v>
      </c>
      <c r="I60" s="111">
        <v>15.913299507702444</v>
      </c>
      <c r="J60" s="111">
        <v>10.079788217284554</v>
      </c>
      <c r="K60" s="112">
        <v>0.15628999986148745</v>
      </c>
      <c r="L60" s="111">
        <v>8.3958142899322983</v>
      </c>
      <c r="M60" s="111">
        <v>8.7204020332049481</v>
      </c>
      <c r="N60" s="111">
        <v>3.5164951020862483</v>
      </c>
      <c r="O60" s="111">
        <v>1.6374675878117317</v>
      </c>
      <c r="P60" s="112">
        <v>0.47868545800473555</v>
      </c>
      <c r="Q60" s="111">
        <v>100.35191</v>
      </c>
      <c r="R60" s="113">
        <v>140.1</v>
      </c>
      <c r="S60" s="114">
        <v>279.2</v>
      </c>
      <c r="T60" s="114">
        <v>21.8</v>
      </c>
      <c r="U60" s="114">
        <v>178.7</v>
      </c>
      <c r="V60" s="114">
        <v>355.1</v>
      </c>
      <c r="W60" s="114">
        <v>17.8</v>
      </c>
      <c r="X60" s="114">
        <v>696.7</v>
      </c>
      <c r="Y60" s="114">
        <v>161.80000000000001</v>
      </c>
      <c r="Z60" s="114">
        <v>21.9</v>
      </c>
      <c r="AA60" s="115">
        <v>25.8</v>
      </c>
      <c r="AB60" s="114">
        <v>19.399999999999999</v>
      </c>
      <c r="AC60" s="114">
        <v>47.2</v>
      </c>
      <c r="AD60" s="114">
        <v>101.8</v>
      </c>
      <c r="AE60" s="114">
        <v>3.3</v>
      </c>
      <c r="AF60" s="114">
        <v>21.8</v>
      </c>
      <c r="AG60" s="114">
        <v>48.4</v>
      </c>
      <c r="AH60" s="114">
        <v>0</v>
      </c>
      <c r="AI60" s="114">
        <v>26.3</v>
      </c>
      <c r="AJ60" s="45">
        <v>0</v>
      </c>
      <c r="AK60" s="45">
        <v>21.32</v>
      </c>
      <c r="AL60" s="45">
        <v>44.52</v>
      </c>
      <c r="AM60" s="45">
        <v>5.76</v>
      </c>
      <c r="AN60" s="45">
        <v>24.67</v>
      </c>
      <c r="AO60" s="45">
        <v>5.84</v>
      </c>
      <c r="AP60" s="45">
        <v>2.0499999999999998</v>
      </c>
      <c r="AQ60" s="45">
        <v>5.57</v>
      </c>
      <c r="AR60" s="45">
        <v>0.85</v>
      </c>
      <c r="AS60" s="45">
        <v>4.7699999999999996</v>
      </c>
      <c r="AT60" s="45">
        <v>0.89</v>
      </c>
      <c r="AU60" s="45">
        <v>2.17</v>
      </c>
      <c r="AV60" s="45">
        <v>0.28999999999999998</v>
      </c>
      <c r="AW60" s="45">
        <v>1.68</v>
      </c>
      <c r="AX60" s="45">
        <v>0.25</v>
      </c>
      <c r="AY60" s="45">
        <v>335</v>
      </c>
      <c r="AZ60" s="45">
        <v>1.98</v>
      </c>
      <c r="BA60" s="45">
        <v>27.78</v>
      </c>
      <c r="BB60" s="45">
        <v>22.11</v>
      </c>
      <c r="BC60" s="45">
        <v>3.8</v>
      </c>
      <c r="BD60" s="45">
        <v>1.7</v>
      </c>
      <c r="BE60" s="45">
        <v>0.51</v>
      </c>
      <c r="BF60" s="45">
        <v>2.56</v>
      </c>
      <c r="BG60" s="45">
        <v>18.7</v>
      </c>
      <c r="BH60" s="45">
        <v>0.11</v>
      </c>
      <c r="BI60" s="45">
        <v>704</v>
      </c>
      <c r="BJ60" s="45">
        <v>24.5</v>
      </c>
      <c r="BK60" s="45">
        <v>161</v>
      </c>
    </row>
    <row r="61" spans="1:63" x14ac:dyDescent="0.2">
      <c r="A61" s="109" t="s">
        <v>824</v>
      </c>
      <c r="B61" s="110">
        <v>47.210523999999999</v>
      </c>
      <c r="C61" s="110">
        <v>99.671152000000006</v>
      </c>
      <c r="D61" s="45">
        <v>2245</v>
      </c>
      <c r="G61" s="111">
        <v>49.034469423144834</v>
      </c>
      <c r="H61" s="112">
        <v>2.0382841567143175</v>
      </c>
      <c r="I61" s="111">
        <v>16.115770926111765</v>
      </c>
      <c r="J61" s="111">
        <v>10.112718780250583</v>
      </c>
      <c r="K61" s="112">
        <v>0.15816190733287866</v>
      </c>
      <c r="L61" s="111">
        <v>7.8846403347368126</v>
      </c>
      <c r="M61" s="111">
        <v>8.8237889868852246</v>
      </c>
      <c r="N61" s="111">
        <v>3.583972753869058</v>
      </c>
      <c r="O61" s="111">
        <v>1.7651407366734879</v>
      </c>
      <c r="P61" s="112">
        <v>0.48306196665855256</v>
      </c>
      <c r="Q61" s="111">
        <v>100.27699</v>
      </c>
      <c r="R61" s="113">
        <v>114</v>
      </c>
      <c r="S61" s="114">
        <v>254.9</v>
      </c>
      <c r="T61" s="114">
        <v>21.2</v>
      </c>
      <c r="U61" s="114">
        <v>185.4</v>
      </c>
      <c r="V61" s="114">
        <v>379.5</v>
      </c>
      <c r="W61" s="114">
        <v>18.600000000000001</v>
      </c>
      <c r="X61" s="114">
        <v>748.2</v>
      </c>
      <c r="Y61" s="114">
        <v>166.9</v>
      </c>
      <c r="Z61" s="114">
        <v>21.6</v>
      </c>
      <c r="AA61" s="115">
        <v>26.8</v>
      </c>
      <c r="AB61" s="114">
        <v>22.4</v>
      </c>
      <c r="AC61" s="114">
        <v>46.2</v>
      </c>
      <c r="AD61" s="114">
        <v>98</v>
      </c>
      <c r="AE61" s="114">
        <v>2.2999999999999998</v>
      </c>
      <c r="AF61" s="114">
        <v>21.5</v>
      </c>
      <c r="AG61" s="114">
        <v>47.3</v>
      </c>
      <c r="AH61" s="114">
        <v>0</v>
      </c>
      <c r="AI61" s="114">
        <v>27.8</v>
      </c>
    </row>
    <row r="62" spans="1:63" x14ac:dyDescent="0.2">
      <c r="A62" s="109" t="s">
        <v>825</v>
      </c>
      <c r="B62" s="110">
        <v>47.210628</v>
      </c>
      <c r="C62" s="110">
        <v>99.671388444444446</v>
      </c>
      <c r="D62" s="45">
        <v>2250</v>
      </c>
      <c r="G62" s="111">
        <v>48.920485216216882</v>
      </c>
      <c r="H62" s="112">
        <v>1.998331547294244</v>
      </c>
      <c r="I62" s="111">
        <v>15.754442020257413</v>
      </c>
      <c r="J62" s="111">
        <v>10.026781992317755</v>
      </c>
      <c r="K62" s="112">
        <v>0.15757384207491534</v>
      </c>
      <c r="L62" s="111">
        <v>8.5943614548802429</v>
      </c>
      <c r="M62" s="111">
        <v>9.2507320839249303</v>
      </c>
      <c r="N62" s="111">
        <v>2.8904411369946064</v>
      </c>
      <c r="O62" s="111">
        <v>1.925828369782584</v>
      </c>
      <c r="P62" s="112">
        <v>0.4810223362564115</v>
      </c>
      <c r="Q62" s="111">
        <v>98.906010000000009</v>
      </c>
      <c r="R62" s="113">
        <v>135.6</v>
      </c>
      <c r="S62" s="114">
        <v>251.9</v>
      </c>
      <c r="T62" s="114">
        <v>21.4</v>
      </c>
      <c r="U62" s="114">
        <v>177.7</v>
      </c>
      <c r="V62" s="114">
        <v>381.1</v>
      </c>
      <c r="W62" s="114">
        <v>21.4</v>
      </c>
      <c r="X62" s="114">
        <v>1123.2</v>
      </c>
      <c r="Y62" s="114">
        <v>166.7</v>
      </c>
      <c r="Z62" s="114">
        <v>21</v>
      </c>
      <c r="AA62" s="115">
        <v>26.9</v>
      </c>
      <c r="AB62" s="114">
        <v>21</v>
      </c>
      <c r="AC62" s="114">
        <v>44.7</v>
      </c>
      <c r="AD62" s="114">
        <v>97.7</v>
      </c>
      <c r="AE62" s="114">
        <v>1.3</v>
      </c>
      <c r="AF62" s="114">
        <v>23.4</v>
      </c>
      <c r="AG62" s="114">
        <v>42.5</v>
      </c>
      <c r="AH62" s="114">
        <v>0</v>
      </c>
      <c r="AI62" s="114">
        <v>22.6</v>
      </c>
      <c r="AJ62" s="45">
        <v>0</v>
      </c>
      <c r="AK62" s="45">
        <v>22.04</v>
      </c>
      <c r="AL62" s="45">
        <v>45.95</v>
      </c>
      <c r="AM62" s="45">
        <v>5.89</v>
      </c>
      <c r="AN62" s="45">
        <v>25.14</v>
      </c>
      <c r="AO62" s="45">
        <v>5.82</v>
      </c>
      <c r="AP62" s="45">
        <v>2.02</v>
      </c>
      <c r="AQ62" s="45">
        <v>5.46</v>
      </c>
      <c r="AR62" s="45">
        <v>0.84</v>
      </c>
      <c r="AS62" s="45">
        <v>4.66</v>
      </c>
      <c r="AT62" s="45">
        <v>0.86</v>
      </c>
      <c r="AU62" s="45">
        <v>2.0499999999999998</v>
      </c>
      <c r="AV62" s="45">
        <v>0.28000000000000003</v>
      </c>
      <c r="AW62" s="45">
        <v>1.6</v>
      </c>
      <c r="AX62" s="45">
        <v>0.24</v>
      </c>
      <c r="AY62" s="45">
        <v>357</v>
      </c>
      <c r="AZ62" s="45">
        <v>2.13</v>
      </c>
      <c r="BA62" s="45">
        <v>27.89</v>
      </c>
      <c r="BB62" s="45">
        <v>21.37</v>
      </c>
      <c r="BC62" s="45">
        <v>3.84</v>
      </c>
      <c r="BD62" s="45">
        <v>1.68</v>
      </c>
      <c r="BE62" s="45">
        <v>0.55000000000000004</v>
      </c>
      <c r="BF62" s="45">
        <v>2.36</v>
      </c>
      <c r="BG62" s="45">
        <v>21.1</v>
      </c>
      <c r="BH62" s="45">
        <v>0.12</v>
      </c>
      <c r="BI62" s="45">
        <v>1138</v>
      </c>
      <c r="BJ62" s="45">
        <v>23.4</v>
      </c>
      <c r="BK62" s="45">
        <v>163</v>
      </c>
    </row>
    <row r="63" spans="1:63" x14ac:dyDescent="0.2">
      <c r="A63" s="109" t="s">
        <v>826</v>
      </c>
      <c r="B63" s="110">
        <v>47.211314399999999</v>
      </c>
      <c r="C63" s="110">
        <v>99.672948977777779</v>
      </c>
      <c r="D63" s="45">
        <v>2283</v>
      </c>
      <c r="G63" s="111">
        <v>49.02850468182141</v>
      </c>
      <c r="H63" s="112">
        <v>2.0326705114992509</v>
      </c>
      <c r="I63" s="111">
        <v>16.146437067255103</v>
      </c>
      <c r="J63" s="111">
        <v>10.103669295736509</v>
      </c>
      <c r="K63" s="112">
        <v>0.15866208705037196</v>
      </c>
      <c r="L63" s="111">
        <v>7.8990881929430143</v>
      </c>
      <c r="M63" s="111">
        <v>8.8050959046723634</v>
      </c>
      <c r="N63" s="111">
        <v>3.5831154662638585</v>
      </c>
      <c r="O63" s="111">
        <v>1.7603312586009037</v>
      </c>
      <c r="P63" s="112">
        <v>0.48242553415719364</v>
      </c>
      <c r="Q63" s="111">
        <v>100.01129000000002</v>
      </c>
      <c r="R63" s="113">
        <v>114.9</v>
      </c>
      <c r="S63" s="114">
        <v>251.4</v>
      </c>
      <c r="T63" s="114">
        <v>22.5</v>
      </c>
      <c r="U63" s="114">
        <v>181.8</v>
      </c>
      <c r="V63" s="114">
        <v>371.9</v>
      </c>
      <c r="W63" s="114">
        <v>19.399999999999999</v>
      </c>
      <c r="X63" s="114">
        <v>745.9</v>
      </c>
      <c r="Y63" s="114">
        <v>167.7</v>
      </c>
      <c r="Z63" s="114">
        <v>21.9</v>
      </c>
      <c r="AA63" s="115">
        <v>26.3</v>
      </c>
      <c r="AB63" s="114">
        <v>20.6</v>
      </c>
      <c r="AC63" s="114">
        <v>47.2</v>
      </c>
      <c r="AD63" s="114">
        <v>99.4</v>
      </c>
      <c r="AE63" s="114">
        <v>1.1000000000000001</v>
      </c>
      <c r="AF63" s="114">
        <v>26</v>
      </c>
      <c r="AG63" s="114">
        <v>48</v>
      </c>
      <c r="AH63" s="114">
        <v>0</v>
      </c>
      <c r="AI63" s="114">
        <v>25.8</v>
      </c>
    </row>
    <row r="64" spans="1:63" x14ac:dyDescent="0.2">
      <c r="A64" s="109" t="s">
        <v>827</v>
      </c>
      <c r="B64" s="110">
        <v>47.211460000000002</v>
      </c>
      <c r="C64" s="110">
        <v>99.673280000000005</v>
      </c>
      <c r="D64" s="45">
        <v>2290</v>
      </c>
      <c r="G64" s="111">
        <v>49.506440163811945</v>
      </c>
      <c r="H64" s="112">
        <v>2.1830927758816085</v>
      </c>
      <c r="I64" s="111">
        <v>16.414644504765658</v>
      </c>
      <c r="J64" s="111">
        <v>9.550811233208357</v>
      </c>
      <c r="K64" s="112">
        <v>0.14584492797802026</v>
      </c>
      <c r="L64" s="111">
        <v>6.6530193953032404</v>
      </c>
      <c r="M64" s="111">
        <v>8.5228371033641146</v>
      </c>
      <c r="N64" s="111">
        <v>4.1483221992578132</v>
      </c>
      <c r="O64" s="111">
        <v>2.2901858999707763</v>
      </c>
      <c r="P64" s="112">
        <v>0.58480179645846087</v>
      </c>
      <c r="Q64" s="111">
        <v>98.447030000000012</v>
      </c>
      <c r="R64" s="113">
        <v>71.8</v>
      </c>
      <c r="S64" s="114">
        <v>185</v>
      </c>
      <c r="T64" s="114">
        <v>19.100000000000001</v>
      </c>
      <c r="U64" s="114">
        <v>174.6</v>
      </c>
      <c r="V64" s="114">
        <v>519.6</v>
      </c>
      <c r="W64" s="114">
        <v>27.4</v>
      </c>
      <c r="X64" s="114">
        <v>898</v>
      </c>
      <c r="Y64" s="114">
        <v>181.7</v>
      </c>
      <c r="Z64" s="114">
        <v>20.6</v>
      </c>
      <c r="AA64" s="115">
        <v>31.3</v>
      </c>
      <c r="AB64" s="114">
        <v>21</v>
      </c>
      <c r="AC64" s="114">
        <v>40.6</v>
      </c>
      <c r="AD64" s="114">
        <v>97.9</v>
      </c>
      <c r="AE64" s="114">
        <v>1.8</v>
      </c>
      <c r="AF64" s="114">
        <v>29.9</v>
      </c>
      <c r="AG64" s="114">
        <v>57.4</v>
      </c>
      <c r="AH64" s="114">
        <v>0</v>
      </c>
      <c r="AI64" s="114">
        <v>30.9</v>
      </c>
      <c r="AJ64" s="45">
        <v>0</v>
      </c>
      <c r="AK64" s="45">
        <v>27.34</v>
      </c>
      <c r="AL64" s="45">
        <v>57</v>
      </c>
      <c r="AM64" s="45">
        <v>7.27</v>
      </c>
      <c r="AN64" s="45">
        <v>30.69</v>
      </c>
      <c r="AO64" s="45">
        <v>6.72</v>
      </c>
      <c r="AP64" s="45">
        <v>2.31</v>
      </c>
      <c r="AQ64" s="45">
        <v>6.15</v>
      </c>
      <c r="AR64" s="45">
        <v>0.9</v>
      </c>
      <c r="AS64" s="45">
        <v>4.76</v>
      </c>
      <c r="AT64" s="45">
        <v>0.86</v>
      </c>
      <c r="AU64" s="45">
        <v>2.0099999999999998</v>
      </c>
      <c r="AV64" s="45">
        <v>0.27</v>
      </c>
      <c r="AW64" s="45">
        <v>1.49</v>
      </c>
      <c r="AX64" s="45">
        <v>0.22</v>
      </c>
      <c r="AY64" s="45">
        <v>505</v>
      </c>
      <c r="AZ64" s="45">
        <v>2.5099999999999998</v>
      </c>
      <c r="BA64" s="45">
        <v>34.65</v>
      </c>
      <c r="BB64" s="45">
        <v>21.43</v>
      </c>
      <c r="BC64" s="45">
        <v>4.22</v>
      </c>
      <c r="BD64" s="45">
        <v>2.1</v>
      </c>
      <c r="BE64" s="45">
        <v>0.56999999999999995</v>
      </c>
      <c r="BF64" s="45">
        <v>2.5499999999999998</v>
      </c>
      <c r="BG64" s="45">
        <v>28.7</v>
      </c>
      <c r="BH64" s="45">
        <v>0.27</v>
      </c>
      <c r="BI64" s="45">
        <v>918</v>
      </c>
      <c r="BJ64" s="45">
        <v>20.9</v>
      </c>
      <c r="BK64" s="45">
        <v>180</v>
      </c>
    </row>
    <row r="66" spans="1:63" s="96" customFormat="1" x14ac:dyDescent="0.2">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row>
    <row r="67" spans="1:63" s="96" customFormat="1" x14ac:dyDescent="0.2">
      <c r="K67" s="45"/>
      <c r="AJ67" s="45"/>
      <c r="AK67" s="45"/>
      <c r="AL67" s="45"/>
      <c r="AM67" s="45"/>
      <c r="AN67" s="45"/>
      <c r="AO67" s="45"/>
      <c r="AP67" s="45"/>
      <c r="AQ67" s="45"/>
      <c r="AR67" s="45"/>
      <c r="AS67" s="45"/>
      <c r="AT67" s="45"/>
      <c r="AU67" s="45"/>
      <c r="AV67" s="45"/>
      <c r="AW67" s="45"/>
      <c r="AX67" s="45"/>
      <c r="AY67" s="45"/>
      <c r="AZ67" s="45"/>
      <c r="BA67" s="45"/>
      <c r="BB67" s="45"/>
      <c r="BC67" s="45"/>
      <c r="BD67" s="45"/>
      <c r="BE67" s="45"/>
      <c r="BF67" s="45"/>
      <c r="BG67" s="45"/>
      <c r="BH67" s="45"/>
      <c r="BI67" s="45"/>
      <c r="BJ67" s="45"/>
      <c r="BK67" s="45"/>
    </row>
    <row r="68" spans="1:63" s="96" customFormat="1" x14ac:dyDescent="0.2">
      <c r="K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row>
    <row r="69" spans="1:63" s="96" customFormat="1" x14ac:dyDescent="0.2">
      <c r="AJ69" s="45"/>
      <c r="AK69" s="45"/>
      <c r="AL69" s="45"/>
      <c r="AM69" s="45"/>
      <c r="AN69" s="45"/>
      <c r="AO69" s="45"/>
      <c r="AP69" s="45"/>
      <c r="AQ69" s="45"/>
      <c r="AR69" s="45"/>
      <c r="AS69" s="45"/>
      <c r="AT69" s="45"/>
      <c r="AU69" s="45"/>
      <c r="AV69" s="45"/>
      <c r="AW69" s="45"/>
      <c r="AX69" s="45"/>
      <c r="AY69" s="45"/>
      <c r="AZ69" s="45"/>
      <c r="BA69" s="45"/>
      <c r="BB69" s="45"/>
      <c r="BC69" s="45"/>
      <c r="BD69" s="45"/>
      <c r="BE69" s="45"/>
      <c r="BF69" s="45"/>
      <c r="BG69" s="45"/>
      <c r="BH69" s="45"/>
      <c r="BI69" s="45"/>
      <c r="BJ69" s="45"/>
      <c r="BK69" s="45"/>
    </row>
    <row r="70" spans="1:63" s="96" customFormat="1" x14ac:dyDescent="0.2">
      <c r="AJ70" s="45"/>
      <c r="AK70" s="45"/>
      <c r="AL70" s="45"/>
      <c r="AM70" s="45"/>
      <c r="AN70" s="45"/>
      <c r="AO70" s="45"/>
      <c r="AP70" s="45"/>
      <c r="AQ70" s="45"/>
      <c r="AR70" s="45"/>
      <c r="AS70" s="45"/>
      <c r="AT70" s="45"/>
      <c r="AU70" s="45"/>
      <c r="AV70" s="45"/>
      <c r="AW70" s="45"/>
      <c r="AX70" s="45"/>
      <c r="AY70" s="45"/>
      <c r="AZ70" s="45"/>
      <c r="BA70" s="45"/>
      <c r="BB70" s="45"/>
      <c r="BC70" s="45"/>
      <c r="BD70" s="45"/>
      <c r="BE70" s="45"/>
      <c r="BF70" s="45"/>
      <c r="BG70" s="45"/>
      <c r="BH70" s="45"/>
      <c r="BI70" s="45"/>
      <c r="BJ70" s="45"/>
      <c r="BK70" s="45"/>
    </row>
    <row r="71" spans="1:63" s="96" customFormat="1" x14ac:dyDescent="0.2">
      <c r="AJ71" s="45"/>
      <c r="AK71" s="45"/>
      <c r="AL71" s="45"/>
      <c r="AM71" s="45"/>
      <c r="AN71" s="45"/>
      <c r="AO71" s="45"/>
      <c r="AP71" s="45"/>
      <c r="AQ71" s="45"/>
      <c r="AR71" s="45"/>
      <c r="AS71" s="45"/>
      <c r="AT71" s="45"/>
      <c r="AU71" s="45"/>
      <c r="AV71" s="45"/>
      <c r="AW71" s="45"/>
      <c r="AX71" s="45"/>
      <c r="AY71" s="45"/>
      <c r="AZ71" s="45"/>
      <c r="BA71" s="45"/>
      <c r="BB71" s="45"/>
      <c r="BC71" s="45"/>
      <c r="BD71" s="45"/>
      <c r="BE71" s="45"/>
      <c r="BF71" s="45"/>
      <c r="BG71" s="45"/>
      <c r="BH71" s="45"/>
      <c r="BI71" s="45"/>
      <c r="BJ71" s="45"/>
      <c r="BK71" s="45"/>
    </row>
    <row r="72" spans="1:63" s="96" customFormat="1" x14ac:dyDescent="0.2">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row>
    <row r="73" spans="1:63" s="96" customFormat="1" x14ac:dyDescent="0.2">
      <c r="AJ73" s="45"/>
      <c r="AK73" s="45"/>
      <c r="AL73" s="45"/>
      <c r="AM73" s="45"/>
      <c r="AN73" s="45"/>
      <c r="AO73" s="45"/>
      <c r="AP73" s="45"/>
      <c r="AQ73" s="45"/>
      <c r="AR73" s="45"/>
      <c r="AS73" s="45"/>
      <c r="AT73" s="45"/>
      <c r="AU73" s="45"/>
      <c r="AV73" s="45"/>
      <c r="AW73" s="45"/>
      <c r="AX73" s="45"/>
      <c r="AY73" s="45"/>
      <c r="AZ73" s="45"/>
      <c r="BA73" s="45"/>
      <c r="BB73" s="45"/>
      <c r="BC73" s="45"/>
      <c r="BD73" s="45"/>
      <c r="BE73" s="45"/>
      <c r="BF73" s="45"/>
      <c r="BG73" s="45"/>
      <c r="BH73" s="45"/>
      <c r="BI73" s="45"/>
      <c r="BJ73" s="45"/>
      <c r="BK73" s="45"/>
    </row>
    <row r="74" spans="1:63" s="96" customFormat="1" x14ac:dyDescent="0.2">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row>
    <row r="75" spans="1:63" s="96" customFormat="1" x14ac:dyDescent="0.2">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row>
    <row r="76" spans="1:63" s="96" customFormat="1" x14ac:dyDescent="0.2">
      <c r="A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row>
    <row r="77" spans="1:63" s="96" customFormat="1" x14ac:dyDescent="0.2">
      <c r="A77" s="45"/>
      <c r="B77" s="45"/>
      <c r="C77" s="45"/>
      <c r="D77" s="45"/>
      <c r="E77" s="45"/>
      <c r="F77" s="45"/>
      <c r="G77" s="45"/>
      <c r="H77" s="45"/>
      <c r="I77" s="45"/>
      <c r="J77" s="45"/>
      <c r="K77" s="45"/>
      <c r="L77" s="10"/>
      <c r="M77" s="10"/>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row>
    <row r="78" spans="1:63" s="96" customFormat="1" x14ac:dyDescent="0.2">
      <c r="A78" s="45"/>
      <c r="AJ78" s="45"/>
      <c r="AK78" s="45"/>
      <c r="AL78" s="45"/>
      <c r="AM78" s="45"/>
      <c r="AN78" s="45"/>
      <c r="AO78" s="45"/>
      <c r="AP78" s="45"/>
      <c r="AQ78" s="45"/>
      <c r="AR78" s="45"/>
      <c r="AS78" s="45"/>
      <c r="AT78" s="45"/>
      <c r="AU78" s="45"/>
      <c r="AV78" s="45"/>
      <c r="AW78" s="45"/>
      <c r="AX78" s="45"/>
      <c r="AY78" s="45"/>
      <c r="AZ78" s="45"/>
      <c r="BA78" s="45"/>
      <c r="BB78" s="45"/>
      <c r="BC78" s="45"/>
      <c r="BD78" s="45"/>
      <c r="BE78" s="45"/>
      <c r="BF78" s="45"/>
      <c r="BG78" s="45"/>
      <c r="BH78" s="45"/>
      <c r="BI78" s="45"/>
      <c r="BJ78" s="45"/>
      <c r="BK78" s="45"/>
    </row>
    <row r="79" spans="1:63" s="96" customFormat="1" x14ac:dyDescent="0.2">
      <c r="A79" s="45"/>
      <c r="B79" s="10"/>
      <c r="C79" s="10"/>
      <c r="D79" s="10"/>
      <c r="E79" s="10"/>
      <c r="F79" s="10"/>
      <c r="G79" s="10"/>
      <c r="H79" s="10"/>
      <c r="I79" s="10"/>
      <c r="J79" s="10"/>
      <c r="K79" s="10"/>
      <c r="L79" s="10"/>
      <c r="M79" s="10"/>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row>
    <row r="80" spans="1:63" s="96" customFormat="1" x14ac:dyDescent="0.2">
      <c r="A80" s="45"/>
      <c r="B80" s="10"/>
      <c r="C80" s="10"/>
      <c r="D80" s="10"/>
      <c r="E80" s="10"/>
      <c r="F80" s="10"/>
      <c r="G80" s="10"/>
      <c r="H80" s="10"/>
      <c r="I80" s="10"/>
      <c r="J80" s="10"/>
      <c r="K80" s="10"/>
      <c r="L80" s="10"/>
      <c r="M80" s="10"/>
      <c r="AJ80" s="45"/>
      <c r="AK80" s="45"/>
      <c r="AL80" s="45"/>
      <c r="AM80" s="45"/>
      <c r="AN80" s="45"/>
      <c r="AO80" s="45"/>
      <c r="AP80" s="45"/>
      <c r="AQ80" s="45"/>
      <c r="AR80" s="45"/>
      <c r="AS80" s="45"/>
      <c r="AT80" s="45"/>
      <c r="AU80" s="45"/>
      <c r="AV80" s="45"/>
      <c r="AW80" s="45"/>
      <c r="AX80" s="45"/>
      <c r="AY80" s="45"/>
      <c r="AZ80" s="45"/>
      <c r="BA80" s="45"/>
      <c r="BB80" s="45"/>
      <c r="BC80" s="45"/>
      <c r="BD80" s="45"/>
      <c r="BE80" s="45"/>
      <c r="BF80" s="45"/>
      <c r="BG80" s="45"/>
      <c r="BH80" s="45"/>
      <c r="BI80" s="45"/>
      <c r="BJ80" s="45"/>
      <c r="BK80" s="45"/>
    </row>
    <row r="81" spans="1:63" s="96" customFormat="1" x14ac:dyDescent="0.2">
      <c r="A81" s="45"/>
      <c r="B81" s="10"/>
      <c r="C81" s="10"/>
      <c r="D81" s="10"/>
      <c r="E81" s="10"/>
      <c r="F81" s="10"/>
      <c r="G81" s="10"/>
      <c r="H81" s="10"/>
      <c r="I81" s="10"/>
      <c r="J81" s="10"/>
      <c r="K81" s="10"/>
      <c r="L81" s="10"/>
      <c r="M81" s="10"/>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row>
    <row r="82" spans="1:63" s="96" customFormat="1" x14ac:dyDescent="0.2">
      <c r="A82" s="45"/>
      <c r="B82" s="45"/>
      <c r="C82" s="45"/>
      <c r="D82" s="45"/>
      <c r="E82" s="45"/>
      <c r="F82" s="45"/>
      <c r="G82" s="45"/>
      <c r="H82" s="45"/>
      <c r="I82" s="45"/>
      <c r="J82" s="45"/>
      <c r="K82" s="45"/>
      <c r="AJ82" s="45"/>
      <c r="AK82" s="45"/>
      <c r="AL82" s="45"/>
      <c r="AM82" s="45"/>
      <c r="AN82" s="45"/>
      <c r="AO82" s="45"/>
      <c r="AP82" s="45"/>
      <c r="AQ82" s="45"/>
      <c r="AR82" s="45"/>
      <c r="AS82" s="45"/>
      <c r="AT82" s="45"/>
      <c r="AU82" s="45"/>
      <c r="AV82" s="45"/>
      <c r="AW82" s="45"/>
      <c r="AX82" s="45"/>
      <c r="AY82" s="45"/>
      <c r="AZ82" s="45"/>
      <c r="BA82" s="45"/>
      <c r="BB82" s="45"/>
      <c r="BC82" s="45"/>
      <c r="BD82" s="45"/>
      <c r="BE82" s="45"/>
      <c r="BF82" s="45"/>
      <c r="BG82" s="45"/>
      <c r="BH82" s="45"/>
      <c r="BI82" s="45"/>
      <c r="BJ82" s="45"/>
      <c r="BK82" s="45"/>
    </row>
  </sheetData>
  <mergeCells count="1">
    <mergeCell ref="A1:D1"/>
  </mergeCells>
  <pageMargins left="0.7" right="0.7" top="0.75" bottom="0.7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62"/>
  <sheetViews>
    <sheetView topLeftCell="ED2" zoomScale="90" zoomScaleNormal="90" zoomScalePageLayoutView="90" workbookViewId="0">
      <pane xSplit="1935" ySplit="1815" activePane="bottomRight"/>
      <selection activeCell="ED2" sqref="A1:XFD1048576"/>
      <selection pane="topRight" activeCell="A2" sqref="A1:A1048576"/>
      <selection pane="bottomLeft" activeCell="A228" sqref="A228:ED244"/>
      <selection pane="bottomRight" activeCell="C2" sqref="C2:C3"/>
    </sheetView>
  </sheetViews>
  <sheetFormatPr defaultColWidth="10.625" defaultRowHeight="15" x14ac:dyDescent="0.2"/>
  <cols>
    <col min="1" max="1" width="13.375" style="84" bestFit="1" customWidth="1"/>
    <col min="2" max="2" width="15.875" style="84" bestFit="1" customWidth="1"/>
    <col min="3" max="3" width="10.875" style="84" customWidth="1"/>
    <col min="4" max="4" width="16.125" style="10" customWidth="1"/>
    <col min="5" max="5" width="13.5" style="84" bestFit="1" customWidth="1"/>
    <col min="6" max="6" width="16.625" style="84" bestFit="1" customWidth="1"/>
    <col min="7" max="7" width="15.375" style="84" bestFit="1" customWidth="1"/>
    <col min="8" max="8" width="19.375" style="73" customWidth="1"/>
    <col min="9" max="9" width="16.875" style="84" bestFit="1" customWidth="1"/>
    <col min="10" max="10" width="11" style="62" bestFit="1" customWidth="1"/>
    <col min="11" max="11" width="11" style="70" bestFit="1" customWidth="1"/>
    <col min="12" max="13" width="11" style="10" bestFit="1" customWidth="1"/>
    <col min="14" max="14" width="12.625" style="10" customWidth="1"/>
    <col min="15" max="15" width="11.125" style="10" bestFit="1" customWidth="1"/>
    <col min="16" max="16" width="15" style="10" bestFit="1" customWidth="1"/>
    <col min="17" max="17" width="15.125" style="10" bestFit="1" customWidth="1"/>
    <col min="18" max="19" width="10.875" style="10" bestFit="1" customWidth="1"/>
    <col min="20" max="20" width="43.875" style="10" customWidth="1"/>
    <col min="21" max="21" width="14.375" style="10" customWidth="1"/>
    <col min="22" max="22" width="11.125" style="10" customWidth="1"/>
    <col min="23" max="23" width="10.875" style="10" bestFit="1" customWidth="1"/>
    <col min="24" max="25" width="10.625" style="10"/>
    <col min="26" max="26" width="33.125" style="10" customWidth="1"/>
    <col min="27" max="16384" width="10.625" style="10"/>
  </cols>
  <sheetData>
    <row r="1" spans="1:35" ht="15.75" x14ac:dyDescent="0.25">
      <c r="A1" s="135" t="s">
        <v>1526</v>
      </c>
      <c r="B1" s="135"/>
      <c r="C1" s="135"/>
      <c r="D1" s="135"/>
      <c r="E1" s="91"/>
    </row>
    <row r="2" spans="1:35" s="8" customFormat="1" ht="45.75" customHeight="1" x14ac:dyDescent="0.25">
      <c r="A2" s="136" t="s">
        <v>837</v>
      </c>
      <c r="B2" s="136" t="s">
        <v>838</v>
      </c>
      <c r="C2" s="136" t="s">
        <v>839</v>
      </c>
      <c r="D2" s="139" t="s">
        <v>840</v>
      </c>
      <c r="E2" s="136" t="s">
        <v>841</v>
      </c>
      <c r="F2" s="136" t="s">
        <v>842</v>
      </c>
      <c r="G2" s="136" t="s">
        <v>843</v>
      </c>
      <c r="H2" s="143" t="s">
        <v>844</v>
      </c>
      <c r="I2" s="136" t="s">
        <v>845</v>
      </c>
      <c r="J2" s="63" t="s">
        <v>1537</v>
      </c>
      <c r="K2" s="71" t="s">
        <v>1538</v>
      </c>
      <c r="L2" s="7" t="s">
        <v>846</v>
      </c>
      <c r="M2" s="7" t="s">
        <v>847</v>
      </c>
      <c r="N2" s="145" t="s">
        <v>848</v>
      </c>
      <c r="O2" s="147" t="s">
        <v>1539</v>
      </c>
      <c r="P2" s="148" t="s">
        <v>849</v>
      </c>
      <c r="Q2" s="148" t="s">
        <v>850</v>
      </c>
      <c r="R2" s="148" t="s">
        <v>851</v>
      </c>
      <c r="S2" s="141" t="s">
        <v>852</v>
      </c>
      <c r="T2" s="141" t="s">
        <v>853</v>
      </c>
      <c r="U2" s="141" t="s">
        <v>854</v>
      </c>
      <c r="V2" s="141" t="s">
        <v>855</v>
      </c>
      <c r="W2" s="141" t="s">
        <v>856</v>
      </c>
      <c r="X2" s="141" t="s">
        <v>857</v>
      </c>
      <c r="Y2" s="141"/>
      <c r="Z2" s="141" t="s">
        <v>858</v>
      </c>
      <c r="AA2" s="141"/>
      <c r="AB2" s="141"/>
      <c r="AC2" s="141"/>
      <c r="AD2" s="141"/>
      <c r="AE2" s="141"/>
      <c r="AF2" s="141"/>
      <c r="AG2" s="141"/>
      <c r="AH2" s="141"/>
      <c r="AI2" s="141"/>
    </row>
    <row r="3" spans="1:35" ht="33" customHeight="1" x14ac:dyDescent="0.2">
      <c r="A3" s="138"/>
      <c r="B3" s="138"/>
      <c r="C3" s="138"/>
      <c r="D3" s="140"/>
      <c r="E3" s="137"/>
      <c r="F3" s="137"/>
      <c r="G3" s="137"/>
      <c r="H3" s="144"/>
      <c r="I3" s="137"/>
      <c r="J3" s="149"/>
      <c r="K3" s="149"/>
      <c r="L3" s="9" t="s">
        <v>859</v>
      </c>
      <c r="M3" s="9" t="s">
        <v>859</v>
      </c>
      <c r="N3" s="146"/>
      <c r="O3" s="146"/>
      <c r="P3" s="138"/>
      <c r="Q3" s="138"/>
      <c r="R3" s="142"/>
      <c r="S3" s="142"/>
      <c r="T3" s="142"/>
      <c r="U3" s="142"/>
      <c r="V3" s="142"/>
      <c r="W3" s="142"/>
      <c r="X3" s="142"/>
      <c r="Y3" s="142"/>
      <c r="Z3" s="142"/>
      <c r="AA3" s="142"/>
      <c r="AB3" s="142"/>
      <c r="AC3" s="142"/>
      <c r="AD3" s="142"/>
      <c r="AE3" s="142"/>
      <c r="AF3" s="142"/>
      <c r="AG3" s="142"/>
      <c r="AH3" s="142"/>
      <c r="AI3" s="142"/>
    </row>
    <row r="4" spans="1:35" s="20" customFormat="1" ht="18.75" x14ac:dyDescent="0.3">
      <c r="A4" s="93" t="s">
        <v>860</v>
      </c>
      <c r="B4" s="11" t="s">
        <v>861</v>
      </c>
      <c r="C4" s="12" t="s">
        <v>395</v>
      </c>
      <c r="D4" s="12" t="s">
        <v>862</v>
      </c>
      <c r="E4" s="13">
        <v>0.57099900006399262</v>
      </c>
      <c r="F4" s="14">
        <v>498.53148420777626</v>
      </c>
      <c r="G4" s="13">
        <v>0.52398819709298705</v>
      </c>
      <c r="H4" s="74">
        <v>713.3548195340677</v>
      </c>
      <c r="I4" s="15">
        <v>590.6897757384661</v>
      </c>
      <c r="J4" s="64">
        <v>3.0517505346834959</v>
      </c>
      <c r="K4" s="16">
        <v>5.5770008683813002E-2</v>
      </c>
      <c r="L4" s="17">
        <v>77.623933136341932</v>
      </c>
      <c r="M4" s="17">
        <v>2.3067624818399621</v>
      </c>
      <c r="N4" s="18">
        <v>0.61529227765243011</v>
      </c>
      <c r="O4" s="19">
        <v>1.2693326245526645E-2</v>
      </c>
      <c r="P4" s="49">
        <v>46.845275000000001</v>
      </c>
      <c r="Q4" s="49">
        <v>101.539849</v>
      </c>
      <c r="R4" s="33">
        <v>2027</v>
      </c>
      <c r="S4" s="33">
        <v>3</v>
      </c>
      <c r="T4" s="38" t="s">
        <v>863</v>
      </c>
      <c r="U4" s="38">
        <v>1</v>
      </c>
      <c r="V4" s="38">
        <v>6</v>
      </c>
      <c r="W4" s="38">
        <v>2086</v>
      </c>
      <c r="Z4" s="20" t="s">
        <v>864</v>
      </c>
    </row>
    <row r="5" spans="1:35" s="20" customFormat="1" ht="18.75" x14ac:dyDescent="0.3">
      <c r="A5" s="93" t="s">
        <v>865</v>
      </c>
      <c r="B5" s="11" t="s">
        <v>866</v>
      </c>
      <c r="C5" s="12" t="s">
        <v>395</v>
      </c>
      <c r="D5" s="12" t="s">
        <v>862</v>
      </c>
      <c r="E5" s="13">
        <v>0.54137225995013027</v>
      </c>
      <c r="F5" s="14">
        <v>698.87956548302861</v>
      </c>
      <c r="G5" s="13">
        <v>0.59617453804798282</v>
      </c>
      <c r="H5" s="74">
        <v>786.22630888074832</v>
      </c>
      <c r="I5" s="15">
        <v>1621.3904046429352</v>
      </c>
      <c r="J5" s="64">
        <v>7.5908404908184872</v>
      </c>
      <c r="K5" s="16">
        <v>0.11279543087410641</v>
      </c>
      <c r="L5" s="17">
        <v>90.931692908870517</v>
      </c>
      <c r="M5" s="17">
        <v>2.5424056891438913</v>
      </c>
      <c r="N5" s="18">
        <v>0.48374187702148741</v>
      </c>
      <c r="O5" s="19">
        <v>9.9735192263920719E-3</v>
      </c>
      <c r="P5" s="49">
        <v>46.967449999999999</v>
      </c>
      <c r="Q5" s="49">
        <v>102.55920999999999</v>
      </c>
      <c r="R5" s="33">
        <v>1583</v>
      </c>
      <c r="S5" s="33">
        <v>6</v>
      </c>
      <c r="T5" s="20" t="s">
        <v>867</v>
      </c>
      <c r="U5" s="20">
        <v>3</v>
      </c>
      <c r="V5" s="20">
        <v>6</v>
      </c>
      <c r="W5" s="20">
        <v>1589</v>
      </c>
    </row>
    <row r="6" spans="1:35" x14ac:dyDescent="0.2">
      <c r="A6" s="94" t="s">
        <v>868</v>
      </c>
      <c r="B6" s="21" t="s">
        <v>869</v>
      </c>
      <c r="C6" s="21" t="s">
        <v>870</v>
      </c>
      <c r="D6" s="12" t="s">
        <v>862</v>
      </c>
      <c r="E6" s="13">
        <v>2.8405079849420516</v>
      </c>
      <c r="F6" s="14">
        <v>367.38631827802396</v>
      </c>
      <c r="G6" s="22">
        <v>7.2210438853453045</v>
      </c>
      <c r="H6" s="74">
        <v>244.10319401318466</v>
      </c>
      <c r="I6" s="14">
        <v>957.46951008001349</v>
      </c>
      <c r="J6" s="64">
        <v>9.4436668820557941</v>
      </c>
      <c r="K6" s="16">
        <v>0.14884296084010254</v>
      </c>
      <c r="L6" s="17">
        <v>52.950137955336835</v>
      </c>
      <c r="M6" s="17">
        <v>1.9647902057607616</v>
      </c>
      <c r="N6" s="18">
        <v>0.28570572229703006</v>
      </c>
      <c r="O6" s="19">
        <v>5.7297418525058376E-3</v>
      </c>
      <c r="P6" s="50">
        <v>47.200429999999997</v>
      </c>
      <c r="Q6" s="50">
        <v>100.10912</v>
      </c>
      <c r="R6" s="20"/>
      <c r="S6" s="20"/>
      <c r="T6" s="20"/>
      <c r="U6" s="20"/>
      <c r="V6" s="20"/>
      <c r="W6" s="20"/>
      <c r="X6" s="20"/>
      <c r="Y6" s="20"/>
      <c r="Z6" s="20"/>
      <c r="AA6" s="20"/>
      <c r="AB6" s="20"/>
      <c r="AC6" s="20"/>
      <c r="AD6" s="20"/>
    </row>
    <row r="7" spans="1:35" x14ac:dyDescent="0.2">
      <c r="A7" s="94" t="s">
        <v>871</v>
      </c>
      <c r="B7" s="21" t="s">
        <v>872</v>
      </c>
      <c r="C7" s="21" t="s">
        <v>870</v>
      </c>
      <c r="D7" s="12" t="s">
        <v>862</v>
      </c>
      <c r="E7" s="13">
        <v>0.33712584444026644</v>
      </c>
      <c r="F7" s="14">
        <v>299.80197838998185</v>
      </c>
      <c r="G7" s="22">
        <v>3.8443526461262096</v>
      </c>
      <c r="H7" s="74">
        <v>169.51579494370606</v>
      </c>
      <c r="I7" s="14">
        <v>665.6375375128647</v>
      </c>
      <c r="J7" s="64">
        <v>9.4539991980798881</v>
      </c>
      <c r="K7" s="16">
        <v>0.16892190038870233</v>
      </c>
      <c r="L7" s="17">
        <v>86.090917120447457</v>
      </c>
      <c r="M7" s="17">
        <v>1.3644351315171801</v>
      </c>
      <c r="N7" s="18">
        <v>0.2431331247953811</v>
      </c>
      <c r="O7" s="19">
        <v>4.8767530329882789E-3</v>
      </c>
      <c r="P7" s="50">
        <v>47.200290000000003</v>
      </c>
      <c r="Q7" s="50">
        <v>100.11059</v>
      </c>
      <c r="R7" s="20"/>
      <c r="S7" s="20"/>
      <c r="T7" s="20"/>
      <c r="U7" s="20"/>
      <c r="V7" s="20"/>
      <c r="W7" s="20"/>
      <c r="X7" s="20"/>
      <c r="Y7" s="20"/>
      <c r="Z7" s="20"/>
      <c r="AA7" s="20"/>
      <c r="AB7" s="20"/>
      <c r="AC7" s="20"/>
      <c r="AD7" s="20"/>
    </row>
    <row r="8" spans="1:35" x14ac:dyDescent="0.2">
      <c r="A8" s="94" t="s">
        <v>873</v>
      </c>
      <c r="B8" s="21" t="s">
        <v>874</v>
      </c>
      <c r="C8" s="21" t="s">
        <v>870</v>
      </c>
      <c r="D8" s="12" t="s">
        <v>862</v>
      </c>
      <c r="E8" s="13">
        <v>0.98072507426691513</v>
      </c>
      <c r="F8" s="14">
        <v>470.84756493185012</v>
      </c>
      <c r="G8" s="22">
        <v>11.920767465138606</v>
      </c>
      <c r="H8" s="74">
        <v>241.43697908533034</v>
      </c>
      <c r="I8" s="14">
        <v>872.69025347749744</v>
      </c>
      <c r="J8" s="64">
        <v>8.7043102852478622</v>
      </c>
      <c r="K8" s="16">
        <v>0.22671896063643793</v>
      </c>
      <c r="L8" s="17">
        <v>74.425344127468279</v>
      </c>
      <c r="M8" s="17">
        <v>1.943329802516639</v>
      </c>
      <c r="N8" s="18">
        <v>0.22049153216225831</v>
      </c>
      <c r="O8" s="19">
        <v>4.4333408558261981E-3</v>
      </c>
      <c r="P8" s="50">
        <v>47.200290000000003</v>
      </c>
      <c r="Q8" s="50">
        <v>100.11094</v>
      </c>
      <c r="R8" s="20"/>
      <c r="S8" s="20"/>
      <c r="T8" s="20"/>
      <c r="U8" s="20"/>
      <c r="V8" s="20"/>
      <c r="W8" s="20"/>
      <c r="X8" s="20"/>
      <c r="Y8" s="20"/>
      <c r="Z8" s="20"/>
      <c r="AA8" s="20"/>
      <c r="AB8" s="20"/>
      <c r="AC8" s="20"/>
      <c r="AD8" s="20"/>
    </row>
    <row r="9" spans="1:35" x14ac:dyDescent="0.2">
      <c r="A9" s="94" t="s">
        <v>875</v>
      </c>
      <c r="B9" s="21" t="s">
        <v>876</v>
      </c>
      <c r="C9" s="21" t="s">
        <v>870</v>
      </c>
      <c r="D9" s="12" t="s">
        <v>862</v>
      </c>
      <c r="E9" s="13">
        <v>0.18158116932970289</v>
      </c>
      <c r="F9" s="14">
        <v>286.26471334968153</v>
      </c>
      <c r="G9" s="22">
        <v>4.6649144800195899</v>
      </c>
      <c r="H9" s="74">
        <v>103.20437669718667</v>
      </c>
      <c r="I9" s="14">
        <v>391.15316090455747</v>
      </c>
      <c r="J9" s="64">
        <v>9.1259080222499875</v>
      </c>
      <c r="K9" s="16">
        <v>0.44906175552859312</v>
      </c>
      <c r="L9" s="17">
        <v>87.096336778854948</v>
      </c>
      <c r="M9" s="17">
        <v>0.8306935488739412</v>
      </c>
      <c r="N9" s="18">
        <v>0.15502393382862129</v>
      </c>
      <c r="O9" s="19">
        <v>3.1230117311547389E-3</v>
      </c>
      <c r="P9" s="50">
        <v>47.200040000000001</v>
      </c>
      <c r="Q9" s="50">
        <v>100.10642</v>
      </c>
      <c r="R9" s="20"/>
      <c r="S9" s="20"/>
      <c r="T9" s="20"/>
      <c r="U9" s="20"/>
      <c r="V9" s="20"/>
      <c r="W9" s="20"/>
      <c r="X9" s="20"/>
      <c r="Y9" s="20"/>
      <c r="Z9" s="20"/>
      <c r="AA9" s="20"/>
      <c r="AB9" s="20"/>
      <c r="AC9" s="20"/>
      <c r="AD9" s="20"/>
    </row>
    <row r="10" spans="1:35" x14ac:dyDescent="0.2">
      <c r="A10" s="94" t="s">
        <v>877</v>
      </c>
      <c r="B10" s="21" t="s">
        <v>878</v>
      </c>
      <c r="C10" s="21" t="s">
        <v>870</v>
      </c>
      <c r="D10" s="12" t="s">
        <v>862</v>
      </c>
      <c r="E10" s="13">
        <v>1.4484180601275789</v>
      </c>
      <c r="F10" s="14">
        <v>307.05513215974952</v>
      </c>
      <c r="G10" s="22">
        <v>5.2279058357928312</v>
      </c>
      <c r="H10" s="74">
        <v>137.92182889376713</v>
      </c>
      <c r="I10" s="14">
        <v>538.29096514923413</v>
      </c>
      <c r="J10" s="64">
        <v>9.3967762763068823</v>
      </c>
      <c r="K10" s="16">
        <v>0.17742766041038813</v>
      </c>
      <c r="L10" s="17">
        <v>55.338262415900523</v>
      </c>
      <c r="M10" s="17">
        <v>1.1101348332068466</v>
      </c>
      <c r="N10" s="18">
        <v>0.1931457260042308</v>
      </c>
      <c r="O10" s="19">
        <v>3.8730603894597069E-3</v>
      </c>
      <c r="P10" s="50">
        <v>47.205039999999997</v>
      </c>
      <c r="Q10" s="50">
        <v>100.10314</v>
      </c>
      <c r="R10" s="20"/>
      <c r="S10" s="20"/>
      <c r="T10" s="20"/>
      <c r="U10" s="20"/>
      <c r="V10" s="20"/>
      <c r="W10" s="20"/>
      <c r="X10" s="20"/>
      <c r="Y10" s="20"/>
      <c r="Z10" s="20"/>
      <c r="AA10" s="20"/>
      <c r="AB10" s="20"/>
      <c r="AC10" s="20"/>
      <c r="AD10" s="20"/>
    </row>
    <row r="11" spans="1:35" s="20" customFormat="1" x14ac:dyDescent="0.2">
      <c r="A11" s="93" t="s">
        <v>879</v>
      </c>
      <c r="B11" s="23" t="s">
        <v>880</v>
      </c>
      <c r="C11" s="12" t="s">
        <v>11</v>
      </c>
      <c r="D11" s="12" t="s">
        <v>881</v>
      </c>
      <c r="E11" s="24">
        <v>7.2464221688615487</v>
      </c>
      <c r="F11" s="25">
        <v>1625.3063589078106</v>
      </c>
      <c r="G11" s="13">
        <v>10.524835554280244</v>
      </c>
      <c r="H11" s="75">
        <v>742.36255328717516</v>
      </c>
      <c r="I11" s="25">
        <v>1319.5215589469765</v>
      </c>
      <c r="J11" s="26">
        <v>4.2244422638810404</v>
      </c>
      <c r="K11" s="27">
        <v>0.139868918289422</v>
      </c>
      <c r="L11" s="17" t="s">
        <v>829</v>
      </c>
      <c r="N11" s="28">
        <v>2.32903142306468E-2</v>
      </c>
      <c r="O11" s="29">
        <v>2.1527442836559402E-3</v>
      </c>
      <c r="P11" s="49">
        <v>47.146259999999998</v>
      </c>
      <c r="Q11" s="49">
        <v>99.891369999999995</v>
      </c>
      <c r="R11" s="20">
        <v>3234</v>
      </c>
      <c r="T11" s="20" t="s">
        <v>882</v>
      </c>
      <c r="U11" s="20" t="s">
        <v>883</v>
      </c>
      <c r="V11" s="20">
        <f>R11-R55</f>
        <v>719</v>
      </c>
      <c r="Z11" s="20" t="s">
        <v>1523</v>
      </c>
    </row>
    <row r="12" spans="1:35" s="20" customFormat="1" x14ac:dyDescent="0.2">
      <c r="A12" s="94" t="s">
        <v>884</v>
      </c>
      <c r="B12" s="21" t="s">
        <v>885</v>
      </c>
      <c r="C12" s="21" t="s">
        <v>870</v>
      </c>
      <c r="D12" s="12" t="s">
        <v>862</v>
      </c>
      <c r="E12" s="13">
        <v>0.43519867191007633</v>
      </c>
      <c r="F12" s="14">
        <v>251.77348528373619</v>
      </c>
      <c r="G12" s="22">
        <v>1.5058605293373803</v>
      </c>
      <c r="H12" s="74">
        <v>155.99982252163898</v>
      </c>
      <c r="I12" s="14">
        <v>256.38852130335056</v>
      </c>
      <c r="J12" s="64">
        <v>3.9629827945121052</v>
      </c>
      <c r="K12" s="16">
        <v>0.12218538560754401</v>
      </c>
      <c r="L12" s="17">
        <v>65.358693633520048</v>
      </c>
      <c r="M12" s="17">
        <v>1.2556448703181577</v>
      </c>
      <c r="N12" s="18">
        <v>0.26642965842375749</v>
      </c>
      <c r="O12" s="19">
        <v>5.3433911065797471E-3</v>
      </c>
      <c r="P12" s="49">
        <v>47.184910000000002</v>
      </c>
      <c r="Q12" s="49">
        <v>99.876360000000005</v>
      </c>
      <c r="R12" s="20">
        <v>2756</v>
      </c>
      <c r="T12" s="20" t="s">
        <v>882</v>
      </c>
      <c r="U12" s="20" t="s">
        <v>886</v>
      </c>
      <c r="Z12" s="20" t="s">
        <v>887</v>
      </c>
    </row>
    <row r="13" spans="1:35" s="20" customFormat="1" x14ac:dyDescent="0.2">
      <c r="A13" s="94" t="s">
        <v>888</v>
      </c>
      <c r="B13" s="21" t="s">
        <v>889</v>
      </c>
      <c r="C13" s="21" t="s">
        <v>870</v>
      </c>
      <c r="D13" s="12" t="s">
        <v>862</v>
      </c>
      <c r="E13" s="13">
        <v>1.0292074169565568</v>
      </c>
      <c r="F13" s="14">
        <v>283.1046227787902</v>
      </c>
      <c r="G13" s="22">
        <v>19.32514972133832</v>
      </c>
      <c r="H13" s="74">
        <v>254.79475037509079</v>
      </c>
      <c r="I13" s="14">
        <v>2051.8227621044375</v>
      </c>
      <c r="J13" s="64">
        <v>19.335221430944184</v>
      </c>
      <c r="K13" s="16">
        <v>0.28139359957961424</v>
      </c>
      <c r="L13" s="17">
        <v>86.653036784574169</v>
      </c>
      <c r="M13" s="17">
        <v>2.0508467004704443</v>
      </c>
      <c r="N13" s="18">
        <v>0.38700089594403203</v>
      </c>
      <c r="O13" s="19">
        <v>7.763104474822341E-3</v>
      </c>
      <c r="P13" s="49">
        <v>47.276960000000003</v>
      </c>
      <c r="Q13" s="49">
        <v>101.14333000000001</v>
      </c>
      <c r="R13" s="20">
        <v>2058</v>
      </c>
      <c r="S13" s="20">
        <v>2</v>
      </c>
      <c r="T13" s="20" t="s">
        <v>890</v>
      </c>
      <c r="U13" s="20" t="s">
        <v>891</v>
      </c>
      <c r="V13" s="20" t="s">
        <v>892</v>
      </c>
      <c r="W13" s="20">
        <v>2058</v>
      </c>
      <c r="Z13" s="20" t="s">
        <v>893</v>
      </c>
    </row>
    <row r="14" spans="1:35" x14ac:dyDescent="0.2">
      <c r="A14" s="94" t="s">
        <v>894</v>
      </c>
      <c r="B14" s="21" t="s">
        <v>895</v>
      </c>
      <c r="C14" s="21" t="s">
        <v>870</v>
      </c>
      <c r="D14" s="12" t="s">
        <v>862</v>
      </c>
      <c r="E14" s="13">
        <v>0.62045940358320495</v>
      </c>
      <c r="F14" s="14">
        <v>305.66975619504535</v>
      </c>
      <c r="G14" s="22">
        <v>0.56927845484627826</v>
      </c>
      <c r="H14" s="74">
        <v>243.27197883783833</v>
      </c>
      <c r="I14" s="14">
        <v>1388.2236933182089</v>
      </c>
      <c r="J14" s="64">
        <v>13.722781050235566</v>
      </c>
      <c r="K14" s="16">
        <v>0.20858258664019608</v>
      </c>
      <c r="L14" s="17">
        <v>87.70350935434557</v>
      </c>
      <c r="M14" s="17">
        <v>1.9580997425654625</v>
      </c>
      <c r="N14" s="18">
        <v>0.34222211645146089</v>
      </c>
      <c r="O14" s="19">
        <v>6.8647875880352635E-3</v>
      </c>
      <c r="P14" s="49">
        <v>47.521616700000003</v>
      </c>
      <c r="Q14" s="49">
        <v>100.607</v>
      </c>
      <c r="R14" s="10">
        <v>2070</v>
      </c>
      <c r="T14" s="10" t="s">
        <v>896</v>
      </c>
      <c r="U14" s="30" t="s">
        <v>897</v>
      </c>
    </row>
    <row r="15" spans="1:35" x14ac:dyDescent="0.2">
      <c r="A15" s="94" t="s">
        <v>898</v>
      </c>
      <c r="B15" s="21" t="s">
        <v>899</v>
      </c>
      <c r="C15" s="21" t="s">
        <v>870</v>
      </c>
      <c r="D15" s="12" t="s">
        <v>862</v>
      </c>
      <c r="E15" s="13">
        <v>1.7964012852562807</v>
      </c>
      <c r="F15" s="14">
        <v>383.66755181444483</v>
      </c>
      <c r="G15" s="22">
        <v>3.4806437770645759</v>
      </c>
      <c r="H15" s="74">
        <v>187.5974202998261</v>
      </c>
      <c r="I15" s="14">
        <v>496.30387521601853</v>
      </c>
      <c r="J15" s="64">
        <v>6.3749787189376663</v>
      </c>
      <c r="K15" s="16">
        <v>0.12709356943985189</v>
      </c>
      <c r="L15" s="17">
        <v>47.911553625490498</v>
      </c>
      <c r="M15" s="17">
        <v>1.5099744004626785</v>
      </c>
      <c r="N15" s="18">
        <v>0.21025205375704689</v>
      </c>
      <c r="O15" s="19">
        <v>4.2158121551148856E-3</v>
      </c>
      <c r="P15" s="49">
        <v>47.199633300000002</v>
      </c>
      <c r="Q15" s="49">
        <v>100.11969999999999</v>
      </c>
      <c r="R15" s="10">
        <v>3344</v>
      </c>
      <c r="T15" s="10" t="s">
        <v>900</v>
      </c>
    </row>
    <row r="16" spans="1:35" x14ac:dyDescent="0.2">
      <c r="A16" s="94" t="s">
        <v>901</v>
      </c>
      <c r="B16" s="21" t="s">
        <v>902</v>
      </c>
      <c r="C16" s="21" t="s">
        <v>870</v>
      </c>
      <c r="D16" s="12" t="s">
        <v>862</v>
      </c>
      <c r="E16" s="13">
        <v>0.64962231912142865</v>
      </c>
      <c r="F16" s="14">
        <v>277.16777316003879</v>
      </c>
      <c r="G16" s="22">
        <v>4.2521907432923678</v>
      </c>
      <c r="H16" s="74">
        <v>124.92957248457819</v>
      </c>
      <c r="I16" s="14">
        <v>334.76958799438199</v>
      </c>
      <c r="J16" s="64">
        <v>6.4569708736790439</v>
      </c>
      <c r="K16" s="16">
        <v>0.16612920483083415</v>
      </c>
      <c r="L16" s="17">
        <v>62.861937019501561</v>
      </c>
      <c r="M16" s="17">
        <v>1.005559969913054</v>
      </c>
      <c r="N16" s="18">
        <v>0.19381660268760917</v>
      </c>
      <c r="O16" s="19">
        <v>3.8865401398203024E-3</v>
      </c>
      <c r="P16" s="49">
        <v>47.1997833</v>
      </c>
      <c r="Q16" s="49">
        <v>100.11969999999999</v>
      </c>
      <c r="R16" s="10">
        <v>3312</v>
      </c>
      <c r="S16" s="10">
        <v>5</v>
      </c>
      <c r="T16" s="10" t="s">
        <v>900</v>
      </c>
    </row>
    <row r="17" spans="1:24" x14ac:dyDescent="0.2">
      <c r="A17" s="94" t="s">
        <v>903</v>
      </c>
      <c r="B17" s="21" t="s">
        <v>904</v>
      </c>
      <c r="C17" s="21" t="s">
        <v>870</v>
      </c>
      <c r="D17" s="12" t="s">
        <v>862</v>
      </c>
      <c r="E17" s="13">
        <v>0.15107537223324299</v>
      </c>
      <c r="F17" s="14">
        <v>43.332592891508185</v>
      </c>
      <c r="G17" s="22">
        <v>0.76479350050981398</v>
      </c>
      <c r="H17" s="74">
        <v>15.634596723707798</v>
      </c>
      <c r="I17" s="14">
        <v>41.612927271653248</v>
      </c>
      <c r="J17" s="64">
        <v>6.4134969240021817</v>
      </c>
      <c r="K17" s="16">
        <v>1.1018351417481049</v>
      </c>
      <c r="L17" s="17">
        <v>47.840749147411834</v>
      </c>
      <c r="M17" s="17">
        <v>0.12584309942335772</v>
      </c>
      <c r="N17" s="18">
        <v>0.15514595694807418</v>
      </c>
      <c r="O17" s="19">
        <v>3.2677239953334894E-3</v>
      </c>
      <c r="P17" s="49">
        <v>47.199183300000001</v>
      </c>
      <c r="Q17" s="49">
        <v>100.11803329999999</v>
      </c>
      <c r="R17" s="10">
        <v>3281</v>
      </c>
      <c r="S17" s="10">
        <v>10</v>
      </c>
      <c r="T17" s="10" t="s">
        <v>900</v>
      </c>
    </row>
    <row r="18" spans="1:24" x14ac:dyDescent="0.2">
      <c r="A18" s="94" t="s">
        <v>905</v>
      </c>
      <c r="B18" s="21" t="s">
        <v>906</v>
      </c>
      <c r="C18" s="21" t="s">
        <v>870</v>
      </c>
      <c r="D18" s="12" t="s">
        <v>862</v>
      </c>
      <c r="E18" s="13">
        <v>3.6843307121486464</v>
      </c>
      <c r="F18" s="14">
        <v>521.28006329185325</v>
      </c>
      <c r="G18" s="22">
        <v>1.839623484935093</v>
      </c>
      <c r="H18" s="74">
        <v>259.45181429146481</v>
      </c>
      <c r="I18" s="14">
        <v>730.04605586335686</v>
      </c>
      <c r="J18" s="64">
        <v>6.7795811991228341</v>
      </c>
      <c r="K18" s="16">
        <v>0.1191781013171988</v>
      </c>
      <c r="L18" s="17">
        <v>39.875178437661909</v>
      </c>
      <c r="M18" s="17">
        <v>2.088331476560672</v>
      </c>
      <c r="N18" s="18">
        <v>0.21401984844923463</v>
      </c>
      <c r="O18" s="19">
        <v>4.2936500364544397E-3</v>
      </c>
      <c r="P18" s="49">
        <v>47.199829999999999</v>
      </c>
      <c r="Q18" s="49">
        <v>100.11669000000001</v>
      </c>
      <c r="R18" s="10">
        <v>3246</v>
      </c>
      <c r="T18" s="10" t="s">
        <v>900</v>
      </c>
    </row>
    <row r="19" spans="1:24" x14ac:dyDescent="0.2">
      <c r="A19" s="94" t="s">
        <v>907</v>
      </c>
      <c r="B19" s="21" t="s">
        <v>908</v>
      </c>
      <c r="C19" s="21" t="s">
        <v>870</v>
      </c>
      <c r="D19" s="12" t="s">
        <v>862</v>
      </c>
      <c r="E19" s="13">
        <v>1.2606701520290251</v>
      </c>
      <c r="F19" s="14">
        <v>400.3124824496436</v>
      </c>
      <c r="G19" s="22">
        <v>3.0841055231880588</v>
      </c>
      <c r="H19" s="74">
        <v>202.4022379638933</v>
      </c>
      <c r="I19" s="14">
        <v>657.82983236959501</v>
      </c>
      <c r="J19" s="64">
        <v>7.8285535256187293</v>
      </c>
      <c r="K19" s="16">
        <v>0.14198511752943063</v>
      </c>
      <c r="L19" s="17">
        <v>63.268345415794762</v>
      </c>
      <c r="M19" s="17">
        <v>1.6291385960072156</v>
      </c>
      <c r="N19" s="18">
        <v>0.21741256178645949</v>
      </c>
      <c r="O19" s="19">
        <v>4.3612776736893294E-3</v>
      </c>
      <c r="P19" s="49">
        <v>47.200033300000001</v>
      </c>
      <c r="Q19" s="49">
        <v>100.116</v>
      </c>
      <c r="R19" s="10">
        <v>3200</v>
      </c>
      <c r="T19" s="10" t="s">
        <v>900</v>
      </c>
    </row>
    <row r="20" spans="1:24" x14ac:dyDescent="0.2">
      <c r="A20" s="94" t="s">
        <v>909</v>
      </c>
      <c r="B20" s="21" t="s">
        <v>910</v>
      </c>
      <c r="C20" s="21" t="s">
        <v>870</v>
      </c>
      <c r="D20" s="12" t="s">
        <v>862</v>
      </c>
      <c r="E20" s="13">
        <v>1.6890903740119088</v>
      </c>
      <c r="F20" s="14">
        <v>332.06943719944945</v>
      </c>
      <c r="G20" s="22">
        <v>13.673366095043432</v>
      </c>
      <c r="H20" s="74">
        <v>189.22222891460999</v>
      </c>
      <c r="I20" s="14">
        <v>648.52688991939442</v>
      </c>
      <c r="J20" s="64">
        <v>8.2544458794918825</v>
      </c>
      <c r="K20" s="16">
        <v>0.15490602678283344</v>
      </c>
      <c r="L20" s="17">
        <v>56.125304306491373</v>
      </c>
      <c r="M20" s="17">
        <v>1.5230525089465465</v>
      </c>
      <c r="N20" s="18">
        <v>0.24502573654320389</v>
      </c>
      <c r="O20" s="19">
        <v>4.917525656704543E-3</v>
      </c>
      <c r="P20" s="49">
        <v>47.200119999999998</v>
      </c>
      <c r="Q20" s="49">
        <v>100.1153</v>
      </c>
      <c r="R20" s="10">
        <v>3182</v>
      </c>
      <c r="T20" s="10" t="s">
        <v>900</v>
      </c>
    </row>
    <row r="21" spans="1:24" x14ac:dyDescent="0.2">
      <c r="A21" s="94" t="s">
        <v>911</v>
      </c>
      <c r="B21" s="21" t="s">
        <v>912</v>
      </c>
      <c r="C21" s="21" t="s">
        <v>870</v>
      </c>
      <c r="D21" s="12" t="s">
        <v>862</v>
      </c>
      <c r="E21" s="13">
        <v>0.84229578572612251</v>
      </c>
      <c r="F21" s="14">
        <v>350.03952893779245</v>
      </c>
      <c r="G21" s="22">
        <v>0.87686907096808897</v>
      </c>
      <c r="H21" s="74">
        <v>241.9267870102245</v>
      </c>
      <c r="I21" s="14">
        <v>843.40016675731226</v>
      </c>
      <c r="J21" s="64">
        <v>8.395852912255739</v>
      </c>
      <c r="K21" s="16">
        <v>0.13942499128648414</v>
      </c>
      <c r="L21" s="17">
        <v>76.479030265887943</v>
      </c>
      <c r="M21" s="17">
        <v>1.9472722737220098</v>
      </c>
      <c r="N21" s="18">
        <v>0.29719077365369223</v>
      </c>
      <c r="O21" s="19">
        <v>5.9609258837370191E-3</v>
      </c>
      <c r="P21" s="49">
        <v>47.200166699999997</v>
      </c>
      <c r="Q21" s="49">
        <v>100.1142333</v>
      </c>
      <c r="R21" s="10">
        <v>3154</v>
      </c>
      <c r="T21" s="10" t="s">
        <v>900</v>
      </c>
    </row>
    <row r="22" spans="1:24" x14ac:dyDescent="0.2">
      <c r="A22" s="94" t="s">
        <v>913</v>
      </c>
      <c r="B22" s="21" t="s">
        <v>914</v>
      </c>
      <c r="C22" s="21" t="s">
        <v>870</v>
      </c>
      <c r="D22" s="12" t="s">
        <v>862</v>
      </c>
      <c r="E22" s="13">
        <v>0.86711161043329166</v>
      </c>
      <c r="F22" s="14">
        <v>433.802079805951</v>
      </c>
      <c r="G22" s="22">
        <v>3.2203601143480367</v>
      </c>
      <c r="H22" s="74">
        <v>238.86056204448116</v>
      </c>
      <c r="I22" s="14">
        <v>801.30681378385566</v>
      </c>
      <c r="J22" s="64">
        <v>8.0799272166994047</v>
      </c>
      <c r="K22" s="16">
        <v>0.13377961846227426</v>
      </c>
      <c r="L22" s="17">
        <v>74.982019456392962</v>
      </c>
      <c r="M22" s="17">
        <v>1.9225921837882982</v>
      </c>
      <c r="N22" s="18">
        <v>0.236767056822483</v>
      </c>
      <c r="O22" s="19">
        <v>4.7473282608187714E-3</v>
      </c>
      <c r="P22" s="49">
        <v>47.333750000000002</v>
      </c>
      <c r="Q22" s="49">
        <v>100.19621669999999</v>
      </c>
      <c r="R22" s="10">
        <v>3118</v>
      </c>
      <c r="T22" s="10" t="s">
        <v>900</v>
      </c>
    </row>
    <row r="23" spans="1:24" x14ac:dyDescent="0.2">
      <c r="A23" s="93" t="s">
        <v>915</v>
      </c>
      <c r="B23" s="23" t="s">
        <v>916</v>
      </c>
      <c r="C23" s="12" t="s">
        <v>917</v>
      </c>
      <c r="D23" s="12" t="s">
        <v>862</v>
      </c>
      <c r="E23" s="22">
        <v>1.3085456111856015</v>
      </c>
      <c r="F23" s="14">
        <v>536.81539658307076</v>
      </c>
      <c r="G23" s="13">
        <v>9.7905979042235719E-2</v>
      </c>
      <c r="H23" s="74">
        <v>1387.4582039490658</v>
      </c>
      <c r="I23" s="14">
        <v>425.92281074380372</v>
      </c>
      <c r="J23" s="64">
        <v>1.4070117344995423</v>
      </c>
      <c r="K23" s="16">
        <v>8.8607968083097455E-2</v>
      </c>
      <c r="L23" s="17">
        <v>52.36044362434977</v>
      </c>
      <c r="M23" s="17">
        <v>4.8031608926034526</v>
      </c>
      <c r="N23" s="18">
        <v>1.1113821091861602</v>
      </c>
      <c r="O23" s="19">
        <v>2.2330686375282599E-2</v>
      </c>
      <c r="P23" s="49">
        <v>47.204633299999998</v>
      </c>
      <c r="Q23" s="49">
        <v>101.0442333</v>
      </c>
      <c r="R23" s="10">
        <v>1992</v>
      </c>
      <c r="S23" s="10">
        <v>5</v>
      </c>
      <c r="T23" s="10" t="s">
        <v>918</v>
      </c>
      <c r="U23" s="10" t="s">
        <v>897</v>
      </c>
      <c r="V23" s="10">
        <v>5</v>
      </c>
      <c r="W23" s="10">
        <v>5</v>
      </c>
      <c r="X23" s="10">
        <f>W23/J23</f>
        <v>3.5536306324967799</v>
      </c>
    </row>
    <row r="24" spans="1:24" x14ac:dyDescent="0.2">
      <c r="A24" s="93" t="s">
        <v>919</v>
      </c>
      <c r="B24" s="23" t="s">
        <v>920</v>
      </c>
      <c r="C24" s="12" t="s">
        <v>917</v>
      </c>
      <c r="D24" s="12" t="s">
        <v>862</v>
      </c>
      <c r="E24" s="22">
        <v>1.1799124419026614</v>
      </c>
      <c r="F24" s="14">
        <v>715.22462083898267</v>
      </c>
      <c r="G24" s="13">
        <v>0.16039721715449626</v>
      </c>
      <c r="H24" s="74">
        <v>918.49990727126908</v>
      </c>
      <c r="I24" s="14">
        <v>3998.7159005328585</v>
      </c>
      <c r="J24" s="64">
        <v>19.852308695703027</v>
      </c>
      <c r="K24" s="16">
        <v>0.30946992929954864</v>
      </c>
      <c r="L24" s="17">
        <v>91.968051418061762</v>
      </c>
      <c r="M24" s="17">
        <v>3.1797014294977721</v>
      </c>
      <c r="N24" s="18">
        <v>0.55221107973513295</v>
      </c>
      <c r="O24" s="19">
        <v>1.1095425792359854E-2</v>
      </c>
      <c r="P24" s="49">
        <v>47.2973</v>
      </c>
      <c r="Q24" s="49">
        <v>101.1251</v>
      </c>
      <c r="R24" s="10">
        <v>2118</v>
      </c>
      <c r="S24" s="10">
        <v>3</v>
      </c>
      <c r="T24" s="10" t="s">
        <v>921</v>
      </c>
      <c r="U24" s="10" t="s">
        <v>922</v>
      </c>
      <c r="V24" s="10">
        <f>R24-R25+S24</f>
        <v>121</v>
      </c>
    </row>
    <row r="25" spans="1:24" x14ac:dyDescent="0.2">
      <c r="A25" s="93" t="s">
        <v>923</v>
      </c>
      <c r="B25" s="23" t="s">
        <v>924</v>
      </c>
      <c r="C25" s="12" t="s">
        <v>917</v>
      </c>
      <c r="D25" s="12" t="s">
        <v>862</v>
      </c>
      <c r="E25" s="22">
        <v>0.61275457272011724</v>
      </c>
      <c r="F25" s="14">
        <v>948.86597947319922</v>
      </c>
      <c r="G25" s="13">
        <v>0.30183402611385424</v>
      </c>
      <c r="H25" s="74">
        <v>290.6018519301623</v>
      </c>
      <c r="I25" s="14">
        <v>1221.3900422185047</v>
      </c>
      <c r="J25" s="64">
        <v>19.169365659725049</v>
      </c>
      <c r="K25" s="16">
        <v>0.71237563378538793</v>
      </c>
      <c r="L25" s="17">
        <v>87.078170180705769</v>
      </c>
      <c r="M25" s="17">
        <v>1.0060176562697634</v>
      </c>
      <c r="N25" s="18">
        <v>0.13169277751885008</v>
      </c>
      <c r="O25" s="19">
        <v>2.6479526075801878E-3</v>
      </c>
      <c r="P25" s="49">
        <v>47.290177</v>
      </c>
      <c r="Q25" s="49">
        <v>101.126367</v>
      </c>
      <c r="R25" s="10">
        <v>2000</v>
      </c>
      <c r="S25" s="10">
        <v>4</v>
      </c>
      <c r="T25" s="10" t="s">
        <v>921</v>
      </c>
      <c r="U25" s="10" t="s">
        <v>925</v>
      </c>
    </row>
    <row r="26" spans="1:24" x14ac:dyDescent="0.2">
      <c r="A26" s="93" t="s">
        <v>926</v>
      </c>
      <c r="B26" s="23" t="s">
        <v>927</v>
      </c>
      <c r="C26" s="12" t="s">
        <v>917</v>
      </c>
      <c r="D26" s="12" t="s">
        <v>862</v>
      </c>
      <c r="E26" s="22">
        <v>3.2015242932861234</v>
      </c>
      <c r="F26" s="14">
        <v>653.37953390577161</v>
      </c>
      <c r="G26" s="13">
        <v>0</v>
      </c>
      <c r="H26" s="74">
        <v>489.89481471956833</v>
      </c>
      <c r="I26" s="14">
        <v>1986.0471324561147</v>
      </c>
      <c r="J26" s="64">
        <v>18.493527197303283</v>
      </c>
      <c r="K26" s="16">
        <v>0.26904529736273275</v>
      </c>
      <c r="L26" s="17">
        <v>67.727781644662102</v>
      </c>
      <c r="M26" s="17">
        <v>1.6959383777131967</v>
      </c>
      <c r="N26" s="18">
        <v>0.32240797178044817</v>
      </c>
      <c r="O26" s="19">
        <v>7.3809333334227201E-3</v>
      </c>
      <c r="P26" s="49">
        <v>47.346299999999999</v>
      </c>
      <c r="Q26" s="49">
        <v>101.77760000000001</v>
      </c>
      <c r="R26" s="10">
        <v>1780</v>
      </c>
      <c r="S26" s="10">
        <v>2</v>
      </c>
      <c r="T26" s="10" t="s">
        <v>928</v>
      </c>
      <c r="U26" s="10" t="s">
        <v>929</v>
      </c>
    </row>
    <row r="27" spans="1:24" x14ac:dyDescent="0.2">
      <c r="A27" s="93" t="s">
        <v>930</v>
      </c>
      <c r="B27" s="23" t="s">
        <v>931</v>
      </c>
      <c r="C27" s="12" t="s">
        <v>917</v>
      </c>
      <c r="D27" s="12" t="s">
        <v>862</v>
      </c>
      <c r="E27" s="22">
        <v>0.76323046771625025</v>
      </c>
      <c r="F27" s="14">
        <v>732.60974694616368</v>
      </c>
      <c r="G27" s="13">
        <v>1.3439964520963881</v>
      </c>
      <c r="H27" s="74">
        <v>638.56646799782118</v>
      </c>
      <c r="I27" s="14">
        <v>2546.3116423053307</v>
      </c>
      <c r="J27" s="64">
        <v>18.191762881307273</v>
      </c>
      <c r="K27" s="16">
        <v>0.26100870780637014</v>
      </c>
      <c r="L27" s="17">
        <v>91.850462388159258</v>
      </c>
      <c r="M27" s="17">
        <v>2.2106161307671681</v>
      </c>
      <c r="N27" s="18">
        <v>0.37480197660984854</v>
      </c>
      <c r="O27" s="19">
        <v>8.6556054968008733E-3</v>
      </c>
      <c r="P27" s="49">
        <v>47.350549999999998</v>
      </c>
      <c r="Q27" s="49">
        <v>101.77</v>
      </c>
      <c r="R27" s="10">
        <v>1756</v>
      </c>
      <c r="S27" s="10">
        <v>3</v>
      </c>
      <c r="T27" s="10" t="s">
        <v>928</v>
      </c>
      <c r="U27" s="10" t="s">
        <v>932</v>
      </c>
    </row>
    <row r="28" spans="1:24" x14ac:dyDescent="0.2">
      <c r="A28" s="93" t="s">
        <v>933</v>
      </c>
      <c r="B28" s="23" t="s">
        <v>934</v>
      </c>
      <c r="C28" s="12" t="s">
        <v>917</v>
      </c>
      <c r="D28" s="12" t="s">
        <v>862</v>
      </c>
      <c r="E28" s="22">
        <v>0.41127380045663936</v>
      </c>
      <c r="F28" s="14">
        <v>353.91727687671533</v>
      </c>
      <c r="G28" s="13">
        <v>0.87693054826088812</v>
      </c>
      <c r="H28" s="74">
        <v>444.38234098912284</v>
      </c>
      <c r="I28" s="14">
        <v>1775.8499283115088</v>
      </c>
      <c r="J28" s="64">
        <v>18.23115032975284</v>
      </c>
      <c r="K28" s="16">
        <v>0.26499195874310677</v>
      </c>
      <c r="L28" s="17">
        <v>93.581400853632942</v>
      </c>
      <c r="M28" s="17">
        <v>1.5383813908969346</v>
      </c>
      <c r="N28" s="18">
        <v>0.53991262679127638</v>
      </c>
      <c r="O28" s="19">
        <v>1.4151673258079912E-2</v>
      </c>
      <c r="P28" s="49">
        <v>47.3513667</v>
      </c>
      <c r="Q28" s="49">
        <v>101.7785167</v>
      </c>
      <c r="R28" s="10">
        <v>1745</v>
      </c>
      <c r="S28" s="10">
        <v>1</v>
      </c>
      <c r="T28" s="10" t="s">
        <v>928</v>
      </c>
      <c r="U28" s="10" t="s">
        <v>935</v>
      </c>
    </row>
    <row r="29" spans="1:24" x14ac:dyDescent="0.2">
      <c r="A29" s="93" t="s">
        <v>936</v>
      </c>
      <c r="B29" s="23" t="s">
        <v>937</v>
      </c>
      <c r="C29" s="12" t="s">
        <v>917</v>
      </c>
      <c r="D29" s="12" t="s">
        <v>862</v>
      </c>
      <c r="E29" s="22">
        <v>3.3673382612241451</v>
      </c>
      <c r="F29" s="14">
        <v>760.78523898210983</v>
      </c>
      <c r="G29" s="13">
        <v>0.79604017059585019</v>
      </c>
      <c r="H29" s="74">
        <v>565.87581244680234</v>
      </c>
      <c r="I29" s="14">
        <v>2226.0114311481589</v>
      </c>
      <c r="J29" s="64">
        <v>17.947541869569108</v>
      </c>
      <c r="K29" s="16">
        <v>0.39391597429575625</v>
      </c>
      <c r="L29" s="17">
        <v>69.100630188180986</v>
      </c>
      <c r="M29" s="17">
        <v>1.9589725763836165</v>
      </c>
      <c r="N29" s="18">
        <v>0.31983612047689447</v>
      </c>
      <c r="O29" s="19">
        <v>6.428921466177611E-3</v>
      </c>
      <c r="P29" s="49">
        <v>47.351283299999999</v>
      </c>
      <c r="Q29" s="49">
        <v>101.7794</v>
      </c>
      <c r="R29" s="10">
        <v>1717</v>
      </c>
      <c r="S29" s="10">
        <v>2</v>
      </c>
      <c r="T29" s="10" t="s">
        <v>928</v>
      </c>
      <c r="U29" s="10" t="s">
        <v>938</v>
      </c>
    </row>
    <row r="30" spans="1:24" x14ac:dyDescent="0.2">
      <c r="A30" s="93" t="s">
        <v>939</v>
      </c>
      <c r="B30" s="23" t="s">
        <v>940</v>
      </c>
      <c r="C30" s="12" t="s">
        <v>917</v>
      </c>
      <c r="D30" s="12" t="s">
        <v>862</v>
      </c>
      <c r="E30" s="22">
        <v>5.4064227946785364</v>
      </c>
      <c r="F30" s="14">
        <v>485.25281682893291</v>
      </c>
      <c r="G30" s="13">
        <v>0.32251438591537973</v>
      </c>
      <c r="H30" s="74">
        <v>457.01145652913323</v>
      </c>
      <c r="I30" s="14">
        <v>1823.0417695579251</v>
      </c>
      <c r="J30" s="64">
        <v>18.198602940026309</v>
      </c>
      <c r="K30" s="16">
        <v>0.379055922327249</v>
      </c>
      <c r="L30" s="17">
        <v>53.290999016551005</v>
      </c>
      <c r="M30" s="17">
        <v>1.582101391756993</v>
      </c>
      <c r="N30" s="18">
        <v>0.40497431337282697</v>
      </c>
      <c r="O30" s="19">
        <v>8.1398594665432061E-3</v>
      </c>
      <c r="P30" s="49">
        <v>47.344799999999999</v>
      </c>
      <c r="Q30" s="49">
        <v>101.77630000000001</v>
      </c>
      <c r="R30" s="10">
        <v>1800</v>
      </c>
      <c r="S30" s="10">
        <v>2</v>
      </c>
      <c r="T30" s="10" t="s">
        <v>928</v>
      </c>
      <c r="U30" s="10" t="s">
        <v>941</v>
      </c>
      <c r="V30" s="10">
        <f>R30-R29+2</f>
        <v>85</v>
      </c>
    </row>
    <row r="31" spans="1:24" x14ac:dyDescent="0.2">
      <c r="A31" s="93" t="s">
        <v>942</v>
      </c>
      <c r="B31" s="23" t="s">
        <v>943</v>
      </c>
      <c r="C31" s="12" t="s">
        <v>944</v>
      </c>
      <c r="D31" s="12" t="s">
        <v>862</v>
      </c>
      <c r="E31" s="22">
        <v>0.5124053929499639</v>
      </c>
      <c r="F31" s="14">
        <v>391.81165602277559</v>
      </c>
      <c r="G31" s="13">
        <v>0.2725002246719907</v>
      </c>
      <c r="H31" s="74">
        <v>996.69109372903631</v>
      </c>
      <c r="I31" s="14">
        <v>1397.0768613784464</v>
      </c>
      <c r="J31" s="64">
        <v>6.4157107154083697</v>
      </c>
      <c r="K31" s="16">
        <v>0.17614220758754726</v>
      </c>
      <c r="L31" s="17">
        <v>90.186313289186714</v>
      </c>
      <c r="M31" s="17">
        <v>3.4503869520391057</v>
      </c>
      <c r="N31" s="18">
        <v>1.0938346619238222</v>
      </c>
      <c r="O31" s="19">
        <v>2.200757302724481E-2</v>
      </c>
      <c r="P31" s="49">
        <v>47.448366700000001</v>
      </c>
      <c r="Q31" s="49">
        <v>102.10773330000001</v>
      </c>
      <c r="R31" s="10">
        <v>1524</v>
      </c>
      <c r="S31" s="10">
        <v>5</v>
      </c>
      <c r="T31" s="10" t="s">
        <v>945</v>
      </c>
    </row>
    <row r="32" spans="1:24" x14ac:dyDescent="0.2">
      <c r="A32" s="93" t="s">
        <v>946</v>
      </c>
      <c r="B32" s="23" t="s">
        <v>947</v>
      </c>
      <c r="C32" s="12" t="s">
        <v>917</v>
      </c>
      <c r="D32" s="12" t="s">
        <v>862</v>
      </c>
      <c r="E32" s="22">
        <v>0.951921520075109</v>
      </c>
      <c r="F32" s="14">
        <v>390.4840789550625</v>
      </c>
      <c r="G32" s="13">
        <v>0</v>
      </c>
      <c r="H32" s="74">
        <v>1720.5869039048766</v>
      </c>
      <c r="I32" s="14">
        <v>5150.229894813885</v>
      </c>
      <c r="J32" s="64">
        <v>13.672967181928275</v>
      </c>
      <c r="K32" s="16">
        <v>0.20645471231256304</v>
      </c>
      <c r="L32" s="17">
        <v>94.802773715188209</v>
      </c>
      <c r="M32" s="17">
        <v>5.956399771639493</v>
      </c>
      <c r="N32" s="18">
        <v>1.8947055937823274</v>
      </c>
      <c r="O32" s="19">
        <v>3.8079232874709788E-2</v>
      </c>
      <c r="P32" s="49">
        <v>47.83605</v>
      </c>
      <c r="Q32" s="49">
        <v>102.9598833</v>
      </c>
      <c r="R32" s="10">
        <v>1319</v>
      </c>
      <c r="S32" s="10">
        <v>2</v>
      </c>
      <c r="T32" s="10" t="s">
        <v>948</v>
      </c>
      <c r="U32" s="10" t="s">
        <v>925</v>
      </c>
    </row>
    <row r="33" spans="1:24" x14ac:dyDescent="0.2">
      <c r="A33" s="93" t="s">
        <v>949</v>
      </c>
      <c r="B33" s="23" t="s">
        <v>950</v>
      </c>
      <c r="C33" s="12" t="s">
        <v>917</v>
      </c>
      <c r="D33" s="12" t="s">
        <v>862</v>
      </c>
      <c r="E33" s="22">
        <v>2.5135368683018449</v>
      </c>
      <c r="F33" s="14">
        <v>305.63504352202034</v>
      </c>
      <c r="G33" s="13">
        <v>7.6336752254571542E-3</v>
      </c>
      <c r="H33" s="74">
        <v>1129.1061159312744</v>
      </c>
      <c r="I33" s="14">
        <v>3450.7345299144895</v>
      </c>
      <c r="J33" s="64">
        <v>13.959027537603625</v>
      </c>
      <c r="K33" s="16">
        <v>0.19865365456435177</v>
      </c>
      <c r="L33" s="17">
        <v>82.274476666512456</v>
      </c>
      <c r="M33" s="17">
        <v>3.9087868190943844</v>
      </c>
      <c r="N33" s="18">
        <v>1.5885469946625006</v>
      </c>
      <c r="O33" s="19">
        <v>4.3728307488113814E-2</v>
      </c>
      <c r="P33" s="49">
        <v>47.83605</v>
      </c>
      <c r="Q33" s="49">
        <v>102.9598833</v>
      </c>
      <c r="R33" s="10">
        <v>1321</v>
      </c>
      <c r="S33" s="10">
        <v>2</v>
      </c>
      <c r="T33" s="10" t="s">
        <v>948</v>
      </c>
      <c r="U33" s="10" t="s">
        <v>922</v>
      </c>
    </row>
    <row r="34" spans="1:24" x14ac:dyDescent="0.2">
      <c r="A34" s="93" t="s">
        <v>951</v>
      </c>
      <c r="B34" s="23" t="s">
        <v>952</v>
      </c>
      <c r="C34" s="12" t="s">
        <v>917</v>
      </c>
      <c r="D34" s="12" t="s">
        <v>862</v>
      </c>
      <c r="E34" s="22">
        <v>1.5765722930745323</v>
      </c>
      <c r="F34" s="14">
        <v>432.49383678314803</v>
      </c>
      <c r="G34" s="13">
        <v>0.40069781576065405</v>
      </c>
      <c r="H34" s="74">
        <v>1342.9201800686667</v>
      </c>
      <c r="I34" s="14">
        <v>4634.1014038410049</v>
      </c>
      <c r="J34" s="64">
        <v>15.753531365474474</v>
      </c>
      <c r="K34" s="16">
        <v>0.24710022252010883</v>
      </c>
      <c r="L34" s="17">
        <v>90.850520480843272</v>
      </c>
      <c r="M34" s="17">
        <v>4.648977297070779</v>
      </c>
      <c r="N34" s="18">
        <v>1.3351766622262002</v>
      </c>
      <c r="O34" s="19">
        <v>2.6856659564950602E-2</v>
      </c>
      <c r="P34" s="49">
        <v>47.878066699999998</v>
      </c>
      <c r="Q34" s="49">
        <v>103.0669</v>
      </c>
      <c r="R34" s="10">
        <v>1359</v>
      </c>
      <c r="S34" s="10">
        <v>5</v>
      </c>
      <c r="T34" s="10" t="s">
        <v>953</v>
      </c>
      <c r="U34" s="10" t="s">
        <v>897</v>
      </c>
      <c r="V34" s="10">
        <v>100</v>
      </c>
    </row>
    <row r="35" spans="1:24" x14ac:dyDescent="0.2">
      <c r="A35" s="94" t="s">
        <v>954</v>
      </c>
      <c r="B35" s="21" t="s">
        <v>955</v>
      </c>
      <c r="C35" s="21" t="s">
        <v>870</v>
      </c>
      <c r="D35" s="12" t="s">
        <v>862</v>
      </c>
      <c r="E35" s="13">
        <v>0.27335971080239235</v>
      </c>
      <c r="F35" s="14">
        <v>419.79069322648553</v>
      </c>
      <c r="G35" s="22">
        <v>1.2783914577193467</v>
      </c>
      <c r="H35" s="74">
        <v>251.67168740306994</v>
      </c>
      <c r="I35" s="14">
        <v>835.27967975874105</v>
      </c>
      <c r="J35" s="64">
        <v>7.9939412334736506</v>
      </c>
      <c r="K35" s="16">
        <v>0.1302145190371134</v>
      </c>
      <c r="L35" s="17">
        <v>90.031479255234743</v>
      </c>
      <c r="M35" s="17">
        <v>2.0257091205866304</v>
      </c>
      <c r="N35" s="18">
        <v>0.25779234111065402</v>
      </c>
      <c r="O35" s="19">
        <v>5.1689166354831981E-3</v>
      </c>
      <c r="P35" s="49">
        <v>47.469983300000003</v>
      </c>
      <c r="Q35" s="49">
        <v>100.24643330000001</v>
      </c>
      <c r="R35" s="10">
        <v>2157</v>
      </c>
      <c r="S35" s="10">
        <v>5</v>
      </c>
      <c r="T35" s="10" t="s">
        <v>956</v>
      </c>
      <c r="U35" s="10" t="s">
        <v>897</v>
      </c>
    </row>
    <row r="36" spans="1:24" x14ac:dyDescent="0.2">
      <c r="A36" s="94" t="s">
        <v>957</v>
      </c>
      <c r="B36" s="21" t="s">
        <v>958</v>
      </c>
      <c r="C36" s="21" t="s">
        <v>870</v>
      </c>
      <c r="D36" s="12" t="s">
        <v>862</v>
      </c>
      <c r="E36" s="13">
        <v>0.13252456325895293</v>
      </c>
      <c r="F36" s="14">
        <v>292.79045829388065</v>
      </c>
      <c r="G36" s="22">
        <v>0.67878027015750697</v>
      </c>
      <c r="H36" s="74">
        <v>159.88794196192359</v>
      </c>
      <c r="I36" s="14">
        <v>496.9099892539715</v>
      </c>
      <c r="J36" s="64">
        <v>7.4866300650509059</v>
      </c>
      <c r="K36" s="16">
        <v>0.19242221429418863</v>
      </c>
      <c r="L36" s="17">
        <v>91.566525281348575</v>
      </c>
      <c r="M36" s="17">
        <v>1.2869404009890371</v>
      </c>
      <c r="N36" s="18">
        <v>0.23481576361555928</v>
      </c>
      <c r="O36" s="19">
        <v>4.710231952379307E-3</v>
      </c>
      <c r="P36" s="49">
        <v>47.490499999999997</v>
      </c>
      <c r="Q36" s="49">
        <v>100.22888330000001</v>
      </c>
      <c r="R36" s="10">
        <f>R39+3</f>
        <v>2124</v>
      </c>
      <c r="S36" s="10">
        <v>7</v>
      </c>
      <c r="T36" s="10" t="s">
        <v>959</v>
      </c>
      <c r="U36" s="10" t="s">
        <v>960</v>
      </c>
    </row>
    <row r="37" spans="1:24" x14ac:dyDescent="0.2">
      <c r="A37" s="94" t="s">
        <v>961</v>
      </c>
      <c r="B37" s="21" t="s">
        <v>962</v>
      </c>
      <c r="C37" s="21" t="s">
        <v>870</v>
      </c>
      <c r="D37" s="12" t="s">
        <v>862</v>
      </c>
      <c r="E37" s="13">
        <v>0.77926964053449288</v>
      </c>
      <c r="F37" s="14">
        <v>249.98876620210353</v>
      </c>
      <c r="G37" s="22">
        <v>8.1171887323877776</v>
      </c>
      <c r="H37" s="74">
        <v>145.74513392295771</v>
      </c>
      <c r="I37" s="14">
        <v>480.94798593690433</v>
      </c>
      <c r="J37" s="64">
        <v>7.9482758364441057</v>
      </c>
      <c r="K37" s="16">
        <v>0.15981779292371961</v>
      </c>
      <c r="L37" s="17">
        <v>66.983060161713297</v>
      </c>
      <c r="M37" s="17">
        <v>1.1731047306724338</v>
      </c>
      <c r="N37" s="18">
        <v>0.25069289528076588</v>
      </c>
      <c r="O37" s="19">
        <v>5.0269137178214369E-3</v>
      </c>
      <c r="P37" s="49">
        <v>47.490499999999997</v>
      </c>
      <c r="Q37" s="49">
        <v>100.22888330000001</v>
      </c>
      <c r="R37" s="10">
        <v>2137</v>
      </c>
      <c r="S37" s="10">
        <v>5</v>
      </c>
      <c r="T37" s="10" t="s">
        <v>959</v>
      </c>
      <c r="U37" s="10" t="s">
        <v>963</v>
      </c>
    </row>
    <row r="38" spans="1:24" x14ac:dyDescent="0.2">
      <c r="A38" s="93" t="s">
        <v>964</v>
      </c>
      <c r="B38" s="23" t="s">
        <v>965</v>
      </c>
      <c r="C38" s="12" t="s">
        <v>83</v>
      </c>
      <c r="D38" s="12" t="s">
        <v>862</v>
      </c>
      <c r="E38" s="13">
        <v>1.2277295737970444</v>
      </c>
      <c r="F38" s="14">
        <v>394.10626875274824</v>
      </c>
      <c r="G38" s="22">
        <v>4.1163686689317034</v>
      </c>
      <c r="H38" s="74">
        <v>311.58982083078126</v>
      </c>
      <c r="I38" s="14">
        <v>859.0712256747945</v>
      </c>
      <c r="J38" s="64">
        <v>8.6602247253917319</v>
      </c>
      <c r="K38" s="16">
        <v>0.13852409933006909</v>
      </c>
      <c r="L38" s="17">
        <v>69.736610471569691</v>
      </c>
      <c r="M38" s="17">
        <v>3.021122279847706</v>
      </c>
      <c r="N38" s="18">
        <v>0.33996826130490632</v>
      </c>
      <c r="O38" s="19">
        <v>5.6433991788945668E-4</v>
      </c>
      <c r="P38" s="49">
        <v>47.490499999999997</v>
      </c>
      <c r="Q38" s="49">
        <v>100.22888330000001</v>
      </c>
      <c r="R38" s="10">
        <v>2132</v>
      </c>
      <c r="S38" s="10">
        <v>9</v>
      </c>
      <c r="T38" s="10" t="s">
        <v>959</v>
      </c>
      <c r="U38" s="10" t="s">
        <v>966</v>
      </c>
    </row>
    <row r="39" spans="1:24" x14ac:dyDescent="0.2">
      <c r="A39" s="93" t="s">
        <v>967</v>
      </c>
      <c r="B39" s="23" t="s">
        <v>968</v>
      </c>
      <c r="C39" s="12" t="s">
        <v>83</v>
      </c>
      <c r="D39" s="12" t="s">
        <v>862</v>
      </c>
      <c r="E39" s="13">
        <v>0.28409673054975154</v>
      </c>
      <c r="F39" s="14">
        <v>328.72765373430894</v>
      </c>
      <c r="G39" s="22">
        <v>1.8508121393257333</v>
      </c>
      <c r="H39" s="74">
        <v>288.2656820853818</v>
      </c>
      <c r="I39" s="14">
        <v>776.06978917829497</v>
      </c>
      <c r="J39" s="64">
        <v>8.4569840254657738</v>
      </c>
      <c r="K39" s="16">
        <v>0.19083299650207153</v>
      </c>
      <c r="L39" s="17">
        <v>89.273765884170601</v>
      </c>
      <c r="M39" s="17">
        <v>2.7949753696755226</v>
      </c>
      <c r="N39" s="18">
        <v>0.37707275882819102</v>
      </c>
      <c r="O39" s="19">
        <v>7.5679255856748564E-3</v>
      </c>
      <c r="P39" s="49">
        <v>47.490499999999997</v>
      </c>
      <c r="Q39" s="49">
        <v>100.22888330000001</v>
      </c>
      <c r="R39" s="10">
        <f>R37-16</f>
        <v>2121</v>
      </c>
      <c r="S39" s="10">
        <v>3</v>
      </c>
      <c r="T39" s="10" t="s">
        <v>959</v>
      </c>
      <c r="U39" s="10" t="s">
        <v>969</v>
      </c>
      <c r="V39" s="10">
        <f>R37-R39+S37</f>
        <v>21</v>
      </c>
    </row>
    <row r="40" spans="1:24" x14ac:dyDescent="0.2">
      <c r="A40" s="93" t="s">
        <v>970</v>
      </c>
      <c r="B40" s="23" t="s">
        <v>971</v>
      </c>
      <c r="C40" s="12" t="s">
        <v>83</v>
      </c>
      <c r="D40" s="12" t="s">
        <v>862</v>
      </c>
      <c r="E40" s="13">
        <v>0.29494857546038733</v>
      </c>
      <c r="F40" s="14">
        <v>250.55967564223783</v>
      </c>
      <c r="G40" s="22">
        <v>1.8667378077132848</v>
      </c>
      <c r="H40" s="74">
        <v>223.9073406905872</v>
      </c>
      <c r="I40" s="14">
        <v>637.22653885994146</v>
      </c>
      <c r="J40" s="64">
        <v>8.9387193859240295</v>
      </c>
      <c r="K40" s="16">
        <v>0.22999425020232397</v>
      </c>
      <c r="L40" s="17">
        <v>87.0975895614324</v>
      </c>
      <c r="M40" s="17">
        <v>2.1709677606867404</v>
      </c>
      <c r="N40" s="18">
        <v>0.38426038128508089</v>
      </c>
      <c r="O40" s="19">
        <v>7.7144952284979012E-3</v>
      </c>
      <c r="P40" s="49">
        <v>47.445233299999998</v>
      </c>
      <c r="Q40" s="49">
        <v>100.2154833</v>
      </c>
      <c r="R40" s="10">
        <v>2107</v>
      </c>
      <c r="S40" s="10">
        <v>3</v>
      </c>
      <c r="T40" s="10" t="s">
        <v>972</v>
      </c>
      <c r="U40" s="10" t="s">
        <v>973</v>
      </c>
    </row>
    <row r="41" spans="1:24" x14ac:dyDescent="0.2">
      <c r="A41" s="93" t="s">
        <v>974</v>
      </c>
      <c r="B41" s="23" t="s">
        <v>975</v>
      </c>
      <c r="C41" s="12" t="s">
        <v>112</v>
      </c>
      <c r="D41" s="12" t="s">
        <v>862</v>
      </c>
      <c r="E41" s="13">
        <v>0.52026900970044487</v>
      </c>
      <c r="F41" s="14">
        <v>608.6446575497522</v>
      </c>
      <c r="G41" s="22">
        <v>12.919074707788775</v>
      </c>
      <c r="H41" s="74">
        <v>224.35981215148431</v>
      </c>
      <c r="I41" s="14">
        <v>637.91756863025853</v>
      </c>
      <c r="J41" s="64">
        <v>8.9303869594182377</v>
      </c>
      <c r="K41" s="16">
        <v>0.22779311838782895</v>
      </c>
      <c r="L41" s="17">
        <v>79.846397421709412</v>
      </c>
      <c r="M41" s="17">
        <v>2.1753548475558389</v>
      </c>
      <c r="N41" s="18">
        <v>0.15850746084508621</v>
      </c>
      <c r="O41" s="19">
        <v>3.1818551028010519E-3</v>
      </c>
      <c r="P41" s="49">
        <v>47.445233299999998</v>
      </c>
      <c r="Q41" s="49">
        <v>100.2154833</v>
      </c>
      <c r="R41" s="10">
        <f>R40+S40</f>
        <v>2110</v>
      </c>
      <c r="S41" s="10">
        <v>8</v>
      </c>
      <c r="T41" s="10" t="s">
        <v>972</v>
      </c>
      <c r="U41" s="10" t="s">
        <v>976</v>
      </c>
    </row>
    <row r="42" spans="1:24" x14ac:dyDescent="0.2">
      <c r="A42" s="93" t="s">
        <v>977</v>
      </c>
      <c r="B42" s="23" t="s">
        <v>978</v>
      </c>
      <c r="C42" s="12" t="s">
        <v>112</v>
      </c>
      <c r="D42" s="12" t="s">
        <v>862</v>
      </c>
      <c r="E42" s="13">
        <v>2.9934188005925089</v>
      </c>
      <c r="F42" s="14">
        <v>312.30299262332647</v>
      </c>
      <c r="G42" s="22">
        <v>0.82173671347506461</v>
      </c>
      <c r="H42" s="74">
        <v>288.29362773545222</v>
      </c>
      <c r="I42" s="14">
        <v>825.19314904155704</v>
      </c>
      <c r="J42" s="64">
        <v>8.9900928508704627</v>
      </c>
      <c r="K42" s="16">
        <v>0.19612517475712513</v>
      </c>
      <c r="L42" s="17">
        <v>48.00122971283983</v>
      </c>
      <c r="M42" s="17">
        <v>2.7952463259789968</v>
      </c>
      <c r="N42" s="18">
        <v>0.39694227354318723</v>
      </c>
      <c r="O42" s="19">
        <v>7.9669828016672023E-3</v>
      </c>
      <c r="P42" s="49">
        <v>47.445416700000003</v>
      </c>
      <c r="Q42" s="49">
        <v>100.21425000000001</v>
      </c>
      <c r="R42" s="10">
        <f>R41+S41</f>
        <v>2118</v>
      </c>
      <c r="S42" s="10">
        <v>10</v>
      </c>
      <c r="T42" s="10" t="s">
        <v>972</v>
      </c>
      <c r="U42" s="10" t="s">
        <v>979</v>
      </c>
    </row>
    <row r="43" spans="1:24" x14ac:dyDescent="0.2">
      <c r="A43" s="93" t="s">
        <v>980</v>
      </c>
      <c r="B43" s="23" t="s">
        <v>981</v>
      </c>
      <c r="C43" s="12" t="s">
        <v>112</v>
      </c>
      <c r="D43" s="12" t="s">
        <v>862</v>
      </c>
      <c r="E43" s="13">
        <v>0.34986087691869089</v>
      </c>
      <c r="F43" s="14">
        <v>177.21674860164472</v>
      </c>
      <c r="G43" s="22">
        <v>1.2032514322388905</v>
      </c>
      <c r="H43" s="74">
        <v>158.23901518895784</v>
      </c>
      <c r="I43" s="14">
        <v>442.86077965216208</v>
      </c>
      <c r="J43" s="64">
        <v>8.7906547641076482</v>
      </c>
      <c r="K43" s="16">
        <v>0.29813099749418415</v>
      </c>
      <c r="L43" s="17">
        <v>80.317575656744722</v>
      </c>
      <c r="M43" s="17">
        <v>1.5342587670350933</v>
      </c>
      <c r="N43" s="18">
        <v>0.38395229044745255</v>
      </c>
      <c r="O43" s="19">
        <v>7.7135386099279456E-3</v>
      </c>
      <c r="P43" s="49">
        <v>47.444283300000002</v>
      </c>
      <c r="Q43" s="49">
        <v>100.2139833</v>
      </c>
      <c r="R43" s="10">
        <f>R42+18</f>
        <v>2136</v>
      </c>
      <c r="S43" s="10">
        <v>10</v>
      </c>
      <c r="T43" s="10" t="s">
        <v>972</v>
      </c>
      <c r="U43" s="10" t="s">
        <v>982</v>
      </c>
    </row>
    <row r="44" spans="1:24" x14ac:dyDescent="0.2">
      <c r="A44" s="93" t="s">
        <v>983</v>
      </c>
      <c r="B44" s="23" t="s">
        <v>984</v>
      </c>
      <c r="C44" s="12" t="s">
        <v>112</v>
      </c>
      <c r="D44" s="12" t="s">
        <v>862</v>
      </c>
      <c r="E44" s="13">
        <v>0.20955578411455164</v>
      </c>
      <c r="F44" s="14">
        <v>289.36458463357633</v>
      </c>
      <c r="G44" s="22">
        <v>0.62208554152994766</v>
      </c>
      <c r="H44" s="74">
        <v>325.85647457880685</v>
      </c>
      <c r="I44" s="14">
        <v>917.77922352384667</v>
      </c>
      <c r="J44" s="64">
        <v>8.8465253894186304</v>
      </c>
      <c r="K44" s="16">
        <v>0.18408050962573855</v>
      </c>
      <c r="L44" s="17">
        <v>92.675491207101643</v>
      </c>
      <c r="M44" s="17">
        <v>3.1594493451610508</v>
      </c>
      <c r="N44" s="18">
        <v>0.48422748155694084</v>
      </c>
      <c r="O44" s="19">
        <v>9.717953885420157E-3</v>
      </c>
      <c r="P44" s="49">
        <v>47.443816699999999</v>
      </c>
      <c r="Q44" s="49">
        <v>100.21405</v>
      </c>
      <c r="R44" s="10">
        <f>R43+S43</f>
        <v>2146</v>
      </c>
      <c r="S44" s="10">
        <v>16</v>
      </c>
      <c r="T44" s="10" t="s">
        <v>972</v>
      </c>
      <c r="U44" s="10" t="s">
        <v>985</v>
      </c>
      <c r="V44" s="10">
        <f>R44-R40+S44</f>
        <v>55</v>
      </c>
    </row>
    <row r="45" spans="1:24" x14ac:dyDescent="0.2">
      <c r="A45" s="93" t="s">
        <v>986</v>
      </c>
      <c r="B45" s="23" t="s">
        <v>987</v>
      </c>
      <c r="C45" s="12" t="s">
        <v>112</v>
      </c>
      <c r="D45" s="12" t="s">
        <v>862</v>
      </c>
      <c r="E45" s="13">
        <v>0.39839004979395093</v>
      </c>
      <c r="F45" s="14">
        <v>261.42840053742304</v>
      </c>
      <c r="G45" s="22">
        <v>0.35015581783540667</v>
      </c>
      <c r="H45" s="74">
        <v>295.79698481439442</v>
      </c>
      <c r="I45" s="14">
        <v>915.63131050350455</v>
      </c>
      <c r="J45" s="64">
        <v>9.7203685041581842</v>
      </c>
      <c r="K45" s="16">
        <v>0.19917770354684264</v>
      </c>
      <c r="L45" s="17">
        <v>87.787954667471766</v>
      </c>
      <c r="M45" s="17">
        <v>2.8679976090100179</v>
      </c>
      <c r="N45" s="18">
        <v>0.48652978486161902</v>
      </c>
      <c r="O45" s="19">
        <v>9.7649240045710201E-3</v>
      </c>
      <c r="P45" s="49">
        <v>47.442166700000001</v>
      </c>
      <c r="Q45" s="49">
        <v>100.1952833</v>
      </c>
      <c r="R45" s="10">
        <f>R46+6+7</f>
        <v>2185</v>
      </c>
      <c r="S45" s="10">
        <v>10</v>
      </c>
      <c r="T45" s="10" t="s">
        <v>988</v>
      </c>
      <c r="U45" s="10" t="s">
        <v>989</v>
      </c>
    </row>
    <row r="46" spans="1:24" x14ac:dyDescent="0.2">
      <c r="A46" s="93" t="s">
        <v>990</v>
      </c>
      <c r="B46" s="23" t="s">
        <v>991</v>
      </c>
      <c r="C46" s="12" t="s">
        <v>112</v>
      </c>
      <c r="D46" s="12" t="s">
        <v>862</v>
      </c>
      <c r="E46" s="13">
        <v>0.21969806206611397</v>
      </c>
      <c r="F46" s="14">
        <v>206.63636715920632</v>
      </c>
      <c r="G46" s="22">
        <v>1.5671349275331754</v>
      </c>
      <c r="H46" s="74">
        <v>160.90640155881246</v>
      </c>
      <c r="I46" s="14">
        <v>486.86002210393684</v>
      </c>
      <c r="J46" s="64">
        <v>9.5019530518352937</v>
      </c>
      <c r="K46" s="16">
        <v>0.30140826891841488</v>
      </c>
      <c r="L46" s="17">
        <v>87.402114627162874</v>
      </c>
      <c r="M46" s="17">
        <v>1.5601212947949663</v>
      </c>
      <c r="N46" s="18">
        <v>0.33483821662902635</v>
      </c>
      <c r="O46" s="19">
        <v>6.7261535250561924E-3</v>
      </c>
      <c r="P46" s="49">
        <v>47.442166700000001</v>
      </c>
      <c r="Q46" s="49">
        <v>100.1952833</v>
      </c>
      <c r="R46" s="10">
        <f>R47+19+9</f>
        <v>2172</v>
      </c>
      <c r="S46" s="10">
        <v>6</v>
      </c>
      <c r="T46" s="10" t="s">
        <v>988</v>
      </c>
      <c r="U46" s="10" t="s">
        <v>992</v>
      </c>
    </row>
    <row r="47" spans="1:24" x14ac:dyDescent="0.2">
      <c r="A47" s="93" t="s">
        <v>993</v>
      </c>
      <c r="B47" s="23" t="s">
        <v>994</v>
      </c>
      <c r="C47" s="12" t="s">
        <v>112</v>
      </c>
      <c r="D47" s="12" t="s">
        <v>862</v>
      </c>
      <c r="E47" s="13">
        <v>0.13234336897050697</v>
      </c>
      <c r="F47" s="14">
        <v>196.31026903038605</v>
      </c>
      <c r="G47" s="22">
        <v>1.0269341284711688</v>
      </c>
      <c r="H47" s="74">
        <v>138.73214303493768</v>
      </c>
      <c r="I47" s="14">
        <v>430.82676981862028</v>
      </c>
      <c r="J47" s="64">
        <v>9.751640093940404</v>
      </c>
      <c r="K47" s="16">
        <v>0.21251627547726568</v>
      </c>
      <c r="L47" s="17">
        <v>90.802146415820673</v>
      </c>
      <c r="M47" s="17">
        <v>1.3451234290528671</v>
      </c>
      <c r="N47" s="18">
        <v>0.30388029011253342</v>
      </c>
      <c r="O47" s="19">
        <v>6.1150206085164895E-3</v>
      </c>
      <c r="P47" s="49">
        <v>47.426133299999996</v>
      </c>
      <c r="Q47" s="49">
        <v>100.19665000000001</v>
      </c>
      <c r="R47" s="10">
        <v>2144</v>
      </c>
      <c r="S47" s="10">
        <v>19</v>
      </c>
      <c r="T47" s="10" t="s">
        <v>988</v>
      </c>
      <c r="U47" s="10" t="s">
        <v>995</v>
      </c>
      <c r="V47" s="10">
        <f>R45-R47+S45+40</f>
        <v>91</v>
      </c>
      <c r="W47" s="10">
        <v>101</v>
      </c>
      <c r="X47" s="10">
        <f>W47/J45</f>
        <v>10.390552575943408</v>
      </c>
    </row>
    <row r="48" spans="1:24" x14ac:dyDescent="0.2">
      <c r="A48" s="93" t="s">
        <v>996</v>
      </c>
      <c r="B48" s="23" t="s">
        <v>997</v>
      </c>
      <c r="C48" s="12" t="s">
        <v>112</v>
      </c>
      <c r="D48" s="12" t="s">
        <v>862</v>
      </c>
      <c r="E48" s="13">
        <v>0.79414122527073605</v>
      </c>
      <c r="F48" s="14">
        <v>282.84671502053902</v>
      </c>
      <c r="G48" s="22">
        <v>4.9516162588405557</v>
      </c>
      <c r="H48" s="74">
        <v>146.49492443680856</v>
      </c>
      <c r="I48" s="14">
        <v>119.40443729451775</v>
      </c>
      <c r="J48" s="64">
        <v>2.5645637804273274</v>
      </c>
      <c r="K48" s="16">
        <v>0.15880351340787963</v>
      </c>
      <c r="L48" s="17">
        <v>33.272568646871527</v>
      </c>
      <c r="M48" s="17">
        <v>1.4203900465060606</v>
      </c>
      <c r="N48" s="18">
        <v>0.22271009052819804</v>
      </c>
      <c r="O48" s="19">
        <v>4.4762370934696254E-3</v>
      </c>
      <c r="P48" s="49">
        <v>47.109183299999998</v>
      </c>
      <c r="Q48" s="49">
        <v>99.685450000000003</v>
      </c>
      <c r="R48" s="10">
        <v>2201</v>
      </c>
      <c r="S48" s="10">
        <v>40</v>
      </c>
      <c r="T48" s="10" t="s">
        <v>998</v>
      </c>
      <c r="U48" s="10" t="s">
        <v>897</v>
      </c>
      <c r="V48" s="10">
        <v>40</v>
      </c>
    </row>
    <row r="49" spans="1:24" x14ac:dyDescent="0.2">
      <c r="A49" s="93" t="s">
        <v>999</v>
      </c>
      <c r="B49" s="23" t="s">
        <v>1000</v>
      </c>
      <c r="C49" s="12" t="s">
        <v>112</v>
      </c>
      <c r="D49" s="12" t="s">
        <v>862</v>
      </c>
      <c r="E49" s="13">
        <v>0.46832562621544127</v>
      </c>
      <c r="F49" s="14">
        <v>403.73706642671243</v>
      </c>
      <c r="G49" s="22">
        <v>3.0714367784307992</v>
      </c>
      <c r="H49" s="74">
        <v>186.73470110217886</v>
      </c>
      <c r="I49" s="14">
        <v>442.57841025670245</v>
      </c>
      <c r="J49" s="64">
        <v>7.4472205173150741</v>
      </c>
      <c r="K49" s="16">
        <v>0.1611038814711874</v>
      </c>
      <c r="L49" s="17">
        <v>75.385738075026779</v>
      </c>
      <c r="M49" s="17">
        <v>1.8105481251483926</v>
      </c>
      <c r="N49" s="18">
        <v>0.19888171820486655</v>
      </c>
      <c r="O49" s="19">
        <v>3.9941128225253805E-3</v>
      </c>
      <c r="P49" s="49">
        <v>47.193033300000003</v>
      </c>
      <c r="Q49" s="49">
        <v>99.648200000000003</v>
      </c>
      <c r="R49" s="10">
        <v>2189</v>
      </c>
      <c r="S49" s="10">
        <v>3</v>
      </c>
      <c r="T49" s="10" t="s">
        <v>1001</v>
      </c>
      <c r="U49" s="10" t="s">
        <v>969</v>
      </c>
    </row>
    <row r="50" spans="1:24" x14ac:dyDescent="0.2">
      <c r="A50" s="93" t="s">
        <v>1002</v>
      </c>
      <c r="B50" s="23" t="s">
        <v>1003</v>
      </c>
      <c r="C50" s="12" t="s">
        <v>112</v>
      </c>
      <c r="D50" s="12" t="s">
        <v>862</v>
      </c>
      <c r="E50" s="13">
        <v>0.14077181573560488</v>
      </c>
      <c r="F50" s="14">
        <v>237.39076574085789</v>
      </c>
      <c r="G50" s="22">
        <v>0.21651344394645697</v>
      </c>
      <c r="H50" s="74">
        <v>118.19054485728327</v>
      </c>
      <c r="I50" s="14">
        <v>281.38031595982233</v>
      </c>
      <c r="J50" s="64">
        <v>7.480592340256246</v>
      </c>
      <c r="K50" s="16">
        <v>0.21613690406134486</v>
      </c>
      <c r="L50" s="17">
        <v>86.087796339226827</v>
      </c>
      <c r="M50" s="17">
        <v>1.1459555622954556</v>
      </c>
      <c r="N50" s="18">
        <v>0.21408555690877376</v>
      </c>
      <c r="O50" s="19">
        <v>4.3064196918668786E-3</v>
      </c>
      <c r="P50" s="49">
        <v>47.193033300000003</v>
      </c>
      <c r="Q50" s="49">
        <v>99.648200000000003</v>
      </c>
      <c r="R50" s="10">
        <f>R49+S49</f>
        <v>2192</v>
      </c>
      <c r="S50" s="10">
        <v>3</v>
      </c>
      <c r="T50" s="10" t="s">
        <v>1001</v>
      </c>
      <c r="U50" s="10" t="s">
        <v>960</v>
      </c>
    </row>
    <row r="51" spans="1:24" x14ac:dyDescent="0.2">
      <c r="A51" s="93" t="s">
        <v>1004</v>
      </c>
      <c r="B51" s="23" t="s">
        <v>1005</v>
      </c>
      <c r="C51" s="12" t="s">
        <v>112</v>
      </c>
      <c r="D51" s="12" t="s">
        <v>862</v>
      </c>
      <c r="E51" s="13">
        <v>0.18496254922672387</v>
      </c>
      <c r="F51" s="14">
        <v>305.07508330723897</v>
      </c>
      <c r="G51" s="22">
        <v>0.17880760309588459</v>
      </c>
      <c r="H51" s="74">
        <v>246.33677289599601</v>
      </c>
      <c r="I51" s="14">
        <v>595.86843652477592</v>
      </c>
      <c r="J51" s="64">
        <v>7.6003178739588559</v>
      </c>
      <c r="K51" s="16">
        <v>0.13629736077803095</v>
      </c>
      <c r="L51" s="17">
        <v>90.474150298939122</v>
      </c>
      <c r="M51" s="17">
        <v>2.3884397473499202</v>
      </c>
      <c r="N51" s="18">
        <v>0.34720899260921334</v>
      </c>
      <c r="O51" s="19">
        <v>6.9741956509003465E-3</v>
      </c>
      <c r="P51" s="49">
        <v>47.193033300000003</v>
      </c>
      <c r="Q51" s="49">
        <v>99.648200000000003</v>
      </c>
      <c r="R51" s="10">
        <f t="shared" ref="R51:R52" si="0">R50+S50</f>
        <v>2195</v>
      </c>
      <c r="S51" s="10">
        <v>4</v>
      </c>
      <c r="T51" s="10" t="s">
        <v>1001</v>
      </c>
      <c r="U51" s="10" t="s">
        <v>966</v>
      </c>
    </row>
    <row r="52" spans="1:24" x14ac:dyDescent="0.2">
      <c r="A52" s="93" t="s">
        <v>1006</v>
      </c>
      <c r="B52" s="23" t="s">
        <v>1007</v>
      </c>
      <c r="C52" s="12" t="s">
        <v>112</v>
      </c>
      <c r="D52" s="12" t="s">
        <v>862</v>
      </c>
      <c r="E52" s="13">
        <v>0.20409745502438234</v>
      </c>
      <c r="F52" s="14">
        <v>295.82258619095705</v>
      </c>
      <c r="G52" s="22">
        <v>0.75138393265408843</v>
      </c>
      <c r="H52" s="74">
        <v>267.78338611190856</v>
      </c>
      <c r="I52" s="14">
        <v>645.7654626596559</v>
      </c>
      <c r="J52" s="64">
        <v>7.5771274940954454</v>
      </c>
      <c r="K52" s="16">
        <v>0.13307693087017114</v>
      </c>
      <c r="L52" s="17">
        <v>90.334064664734228</v>
      </c>
      <c r="M52" s="17">
        <v>2.5963824870745835</v>
      </c>
      <c r="N52" s="18">
        <v>0.38924294967048928</v>
      </c>
      <c r="O52" s="19">
        <v>7.818655760003337E-3</v>
      </c>
      <c r="P52" s="49">
        <v>47.193049999999999</v>
      </c>
      <c r="Q52" s="49">
        <v>99.648216700000006</v>
      </c>
      <c r="R52" s="10">
        <f t="shared" si="0"/>
        <v>2199</v>
      </c>
      <c r="S52" s="10">
        <v>9</v>
      </c>
      <c r="T52" s="10" t="s">
        <v>1001</v>
      </c>
      <c r="U52" s="10" t="s">
        <v>963</v>
      </c>
      <c r="V52" s="10">
        <f>R52-R49+S52</f>
        <v>19</v>
      </c>
      <c r="W52" s="10">
        <v>22</v>
      </c>
      <c r="X52" s="10">
        <f>W52/J52</f>
        <v>2.9034749668847102</v>
      </c>
    </row>
    <row r="53" spans="1:24" x14ac:dyDescent="0.2">
      <c r="A53" s="93" t="s">
        <v>1008</v>
      </c>
      <c r="B53" s="23" t="s">
        <v>1009</v>
      </c>
      <c r="C53" s="12" t="s">
        <v>112</v>
      </c>
      <c r="D53" s="12" t="s">
        <v>862</v>
      </c>
      <c r="E53" s="13">
        <v>0.76449083843624532</v>
      </c>
      <c r="F53" s="14">
        <v>350.76973022797466</v>
      </c>
      <c r="G53" s="22">
        <v>6.3695774687662201</v>
      </c>
      <c r="H53" s="74">
        <v>134.94230051565302</v>
      </c>
      <c r="I53" s="14">
        <v>152.69786520305883</v>
      </c>
      <c r="J53" s="64">
        <v>3.5594342151014966</v>
      </c>
      <c r="K53" s="16">
        <v>0.16554555421585013</v>
      </c>
      <c r="L53" s="17">
        <v>39.865239737810015</v>
      </c>
      <c r="M53" s="17">
        <v>1.3083777560344181</v>
      </c>
      <c r="N53" s="18">
        <v>0.16542245302643038</v>
      </c>
      <c r="O53" s="19">
        <v>3.3240528430290915E-3</v>
      </c>
      <c r="P53" s="49">
        <v>47.136166699999997</v>
      </c>
      <c r="Q53" s="49">
        <v>99.729500000000002</v>
      </c>
      <c r="R53" s="10">
        <v>2255</v>
      </c>
      <c r="S53" s="10">
        <v>5</v>
      </c>
      <c r="T53" s="10" t="s">
        <v>1010</v>
      </c>
      <c r="U53" s="10" t="s">
        <v>925</v>
      </c>
    </row>
    <row r="54" spans="1:24" x14ac:dyDescent="0.2">
      <c r="A54" s="93" t="s">
        <v>1011</v>
      </c>
      <c r="B54" s="23" t="s">
        <v>1012</v>
      </c>
      <c r="C54" s="12" t="s">
        <v>112</v>
      </c>
      <c r="D54" s="12" t="s">
        <v>862</v>
      </c>
      <c r="E54" s="13">
        <v>0.35879614061440751</v>
      </c>
      <c r="F54" s="14">
        <v>316.47951354790217</v>
      </c>
      <c r="G54" s="22">
        <v>7.461506345622074</v>
      </c>
      <c r="H54" s="74">
        <v>153.36228938838403</v>
      </c>
      <c r="I54" s="14">
        <v>127.31151490531315</v>
      </c>
      <c r="J54" s="64">
        <v>2.6119149525121363</v>
      </c>
      <c r="K54" s="16">
        <v>0.14558477326310676</v>
      </c>
      <c r="L54" s="17">
        <v>53.409105945259832</v>
      </c>
      <c r="M54" s="17">
        <v>1.4869748572798289</v>
      </c>
      <c r="N54" s="18">
        <v>0.20837299608343721</v>
      </c>
      <c r="O54" s="19">
        <v>4.1869967033460985E-3</v>
      </c>
      <c r="P54" s="49">
        <v>47.138916700000003</v>
      </c>
      <c r="Q54" s="49">
        <v>99.743799999999993</v>
      </c>
      <c r="R54" s="10">
        <v>2294</v>
      </c>
      <c r="S54" s="10">
        <v>8</v>
      </c>
      <c r="T54" s="10" t="s">
        <v>1010</v>
      </c>
      <c r="U54" s="10" t="s">
        <v>922</v>
      </c>
      <c r="V54" s="10">
        <f>R54-R53+S54</f>
        <v>47</v>
      </c>
      <c r="W54" s="10">
        <v>50</v>
      </c>
      <c r="X54" s="10">
        <f>W54/J54</f>
        <v>19.143042904942241</v>
      </c>
    </row>
    <row r="55" spans="1:24" x14ac:dyDescent="0.2">
      <c r="A55" s="93" t="s">
        <v>1013</v>
      </c>
      <c r="B55" s="23" t="s">
        <v>1014</v>
      </c>
      <c r="C55" s="12" t="s">
        <v>112</v>
      </c>
      <c r="D55" s="12" t="s">
        <v>862</v>
      </c>
      <c r="E55" s="13">
        <v>0.30521670352100883</v>
      </c>
      <c r="F55" s="14">
        <v>545.07113903166862</v>
      </c>
      <c r="G55" s="22">
        <v>3.121957532883691</v>
      </c>
      <c r="H55" s="74">
        <v>194.95593596459966</v>
      </c>
      <c r="I55" s="14">
        <v>269.42240975738866</v>
      </c>
      <c r="J55" s="64">
        <v>4.3460915409267562</v>
      </c>
      <c r="K55" s="16">
        <v>0.12732018317022492</v>
      </c>
      <c r="L55" s="17">
        <v>73.609563584108969</v>
      </c>
      <c r="M55" s="17">
        <v>1.8902598299290467</v>
      </c>
      <c r="N55" s="18">
        <v>0.1537983695370583</v>
      </c>
      <c r="O55" s="19">
        <v>3.0879137673896005E-3</v>
      </c>
      <c r="P55" s="49">
        <v>47.205583300000001</v>
      </c>
      <c r="Q55" s="49">
        <v>99.879750000000001</v>
      </c>
      <c r="R55" s="10">
        <v>2515</v>
      </c>
      <c r="S55" s="10">
        <v>4</v>
      </c>
      <c r="T55" s="10" t="s">
        <v>1015</v>
      </c>
      <c r="U55" s="10" t="s">
        <v>1016</v>
      </c>
    </row>
    <row r="56" spans="1:24" x14ac:dyDescent="0.2">
      <c r="A56" s="93" t="s">
        <v>1017</v>
      </c>
      <c r="B56" s="23" t="s">
        <v>1018</v>
      </c>
      <c r="C56" s="12" t="s">
        <v>112</v>
      </c>
      <c r="D56" s="12" t="s">
        <v>862</v>
      </c>
      <c r="E56" s="13">
        <v>1.794873127605725</v>
      </c>
      <c r="F56" s="14">
        <v>513.88125056224942</v>
      </c>
      <c r="G56" s="22">
        <v>2.1975736095035523</v>
      </c>
      <c r="H56" s="74">
        <v>154.73041759054522</v>
      </c>
      <c r="I56" s="14">
        <v>229.53838603692535</v>
      </c>
      <c r="J56" s="64">
        <v>4.6649064851536108</v>
      </c>
      <c r="K56" s="16">
        <v>0.15963670181163903</v>
      </c>
      <c r="L56" s="17">
        <v>30.004879152491259</v>
      </c>
      <c r="M56" s="17">
        <v>1.5002399972712983</v>
      </c>
      <c r="N56" s="18">
        <v>0.12947364686128937</v>
      </c>
      <c r="O56" s="19">
        <v>2.6002628697439937E-3</v>
      </c>
      <c r="P56" s="49">
        <v>47.203116700000002</v>
      </c>
      <c r="Q56" s="49">
        <v>99.882416699999993</v>
      </c>
      <c r="R56" s="10">
        <v>2561</v>
      </c>
      <c r="S56" s="10">
        <v>10</v>
      </c>
      <c r="T56" s="10" t="s">
        <v>1015</v>
      </c>
      <c r="U56" s="10" t="s">
        <v>1019</v>
      </c>
    </row>
    <row r="57" spans="1:24" x14ac:dyDescent="0.2">
      <c r="A57" s="93" t="s">
        <v>1020</v>
      </c>
      <c r="B57" s="23" t="s">
        <v>1021</v>
      </c>
      <c r="C57" s="12" t="s">
        <v>112</v>
      </c>
      <c r="D57" s="12" t="s">
        <v>862</v>
      </c>
      <c r="E57" s="13">
        <v>1.1566055398637074</v>
      </c>
      <c r="F57" s="14">
        <v>485.47108748233467</v>
      </c>
      <c r="G57" s="22">
        <v>5.082505869445928</v>
      </c>
      <c r="H57" s="74">
        <v>143.0394775185824</v>
      </c>
      <c r="I57" s="14">
        <v>235.60244960669385</v>
      </c>
      <c r="J57" s="64">
        <v>5.1787562424877907</v>
      </c>
      <c r="K57" s="16">
        <v>0.16315395487409112</v>
      </c>
      <c r="L57" s="17">
        <v>40.476220063368437</v>
      </c>
      <c r="M57" s="17">
        <v>1.3868866167609872</v>
      </c>
      <c r="N57" s="18">
        <v>0.12669544473177002</v>
      </c>
      <c r="O57" s="19">
        <v>2.5448468110566003E-3</v>
      </c>
      <c r="P57" s="49">
        <v>47.203016699999999</v>
      </c>
      <c r="Q57" s="49">
        <v>99.884200000000007</v>
      </c>
      <c r="R57" s="10">
        <v>2586</v>
      </c>
      <c r="S57" s="10">
        <v>5</v>
      </c>
      <c r="T57" s="10" t="s">
        <v>1015</v>
      </c>
      <c r="U57" s="10" t="s">
        <v>1022</v>
      </c>
    </row>
    <row r="58" spans="1:24" x14ac:dyDescent="0.2">
      <c r="A58" s="93" t="s">
        <v>1023</v>
      </c>
      <c r="B58" s="23" t="s">
        <v>1024</v>
      </c>
      <c r="C58" s="12" t="s">
        <v>112</v>
      </c>
      <c r="D58" s="12" t="s">
        <v>862</v>
      </c>
      <c r="E58" s="13">
        <v>0.42193469192576977</v>
      </c>
      <c r="F58" s="14">
        <v>341.50550937185295</v>
      </c>
      <c r="G58" s="22">
        <v>5.9342442932358859</v>
      </c>
      <c r="H58" s="74">
        <v>308.52070923572018</v>
      </c>
      <c r="I58" s="14">
        <v>899.69590347264727</v>
      </c>
      <c r="J58" s="64">
        <v>9.158719587284196</v>
      </c>
      <c r="K58" s="16">
        <v>0.14630002626550909</v>
      </c>
      <c r="L58" s="17">
        <v>86.968995485549499</v>
      </c>
      <c r="M58" s="17">
        <v>2.9913646921496997</v>
      </c>
      <c r="N58" s="18">
        <v>0.38846783237955546</v>
      </c>
      <c r="O58" s="19">
        <v>7.8007483729847452E-3</v>
      </c>
      <c r="P58" s="49">
        <v>47.235529999999997</v>
      </c>
      <c r="Q58" s="49">
        <v>99.673519999999996</v>
      </c>
      <c r="R58" s="10">
        <f>R59+S59</f>
        <v>2263</v>
      </c>
      <c r="S58" s="10">
        <f>84-43</f>
        <v>41</v>
      </c>
      <c r="T58" s="10" t="s">
        <v>1025</v>
      </c>
      <c r="U58" s="10" t="s">
        <v>1026</v>
      </c>
    </row>
    <row r="59" spans="1:24" x14ac:dyDescent="0.2">
      <c r="A59" s="93" t="s">
        <v>1027</v>
      </c>
      <c r="B59" s="23" t="s">
        <v>1028</v>
      </c>
      <c r="C59" s="12" t="s">
        <v>112</v>
      </c>
      <c r="D59" s="12" t="s">
        <v>862</v>
      </c>
      <c r="E59" s="13">
        <v>0.30510529665943331</v>
      </c>
      <c r="F59" s="14">
        <v>372.1929364517211</v>
      </c>
      <c r="G59" s="22">
        <v>1.1373114174813568</v>
      </c>
      <c r="H59" s="74">
        <v>274.55693266881599</v>
      </c>
      <c r="I59" s="14">
        <v>807.21040148899363</v>
      </c>
      <c r="J59" s="64">
        <v>9.2335495093769175</v>
      </c>
      <c r="K59" s="16">
        <v>0.14888787658152827</v>
      </c>
      <c r="L59" s="17">
        <v>89.059087855585148</v>
      </c>
      <c r="M59" s="17">
        <v>2.6620576505381943</v>
      </c>
      <c r="N59" s="18">
        <v>0.31719968189913494</v>
      </c>
      <c r="O59" s="19">
        <v>6.3668290525770921E-3</v>
      </c>
      <c r="P59" s="49">
        <v>47.23507</v>
      </c>
      <c r="Q59" s="49">
        <v>99.672550000000001</v>
      </c>
      <c r="R59" s="10">
        <f>R60+S60</f>
        <v>2259</v>
      </c>
      <c r="S59" s="10">
        <v>4</v>
      </c>
      <c r="T59" s="10" t="s">
        <v>1025</v>
      </c>
      <c r="U59" s="10" t="s">
        <v>992</v>
      </c>
    </row>
    <row r="60" spans="1:24" x14ac:dyDescent="0.2">
      <c r="A60" s="93" t="s">
        <v>1029</v>
      </c>
      <c r="B60" s="23" t="s">
        <v>1030</v>
      </c>
      <c r="C60" s="12" t="s">
        <v>112</v>
      </c>
      <c r="D60" s="12" t="s">
        <v>862</v>
      </c>
      <c r="E60" s="13">
        <v>0.21292439379933548</v>
      </c>
      <c r="F60" s="14">
        <v>410.27224121761049</v>
      </c>
      <c r="G60" s="22">
        <v>0.96883028990767961</v>
      </c>
      <c r="H60" s="74">
        <v>274.1509868750926</v>
      </c>
      <c r="I60" s="14">
        <v>793.97238366361046</v>
      </c>
      <c r="J60" s="64">
        <v>9.0959166411912733</v>
      </c>
      <c r="K60" s="16">
        <v>0.14955519458040753</v>
      </c>
      <c r="L60" s="17">
        <v>91.695443155976463</v>
      </c>
      <c r="M60" s="17">
        <v>2.6581216686805127</v>
      </c>
      <c r="N60" s="18">
        <v>0.28733341550583497</v>
      </c>
      <c r="O60" s="19">
        <v>5.7669568852445957E-3</v>
      </c>
      <c r="P60" s="49">
        <v>47.234639999999999</v>
      </c>
      <c r="Q60" s="49">
        <v>99.672160000000005</v>
      </c>
      <c r="R60" s="10">
        <v>2250</v>
      </c>
      <c r="S60" s="10">
        <v>9</v>
      </c>
      <c r="T60" s="10" t="s">
        <v>1025</v>
      </c>
      <c r="U60" s="10" t="s">
        <v>995</v>
      </c>
      <c r="V60" s="10">
        <f>R58-R60+S58</f>
        <v>54</v>
      </c>
      <c r="W60" s="10">
        <f>V60+30</f>
        <v>84</v>
      </c>
      <c r="X60" s="10">
        <f>W60/J58</f>
        <v>9.1715877093370253</v>
      </c>
    </row>
    <row r="61" spans="1:24" x14ac:dyDescent="0.2">
      <c r="A61" s="93" t="s">
        <v>1031</v>
      </c>
      <c r="B61" s="23" t="s">
        <v>1032</v>
      </c>
      <c r="C61" s="12" t="s">
        <v>112</v>
      </c>
      <c r="D61" s="12" t="s">
        <v>862</v>
      </c>
      <c r="E61" s="13">
        <v>21.46344381829261</v>
      </c>
      <c r="F61" s="14">
        <v>313.51815920913828</v>
      </c>
      <c r="G61" s="22">
        <v>0.92281063967175614</v>
      </c>
      <c r="H61" s="74">
        <v>292.62168571015303</v>
      </c>
      <c r="I61" s="14">
        <v>1044.8376274720231</v>
      </c>
      <c r="J61" s="64">
        <v>11.207773583595136</v>
      </c>
      <c r="K61" s="16">
        <v>0.17786026597815191</v>
      </c>
      <c r="L61" s="17">
        <v>14.125389679570644</v>
      </c>
      <c r="M61" s="17">
        <v>2.8372104451565048</v>
      </c>
      <c r="N61" s="18">
        <v>0.40133983043524535</v>
      </c>
      <c r="O61" s="19">
        <v>8.0564962305937713E-3</v>
      </c>
      <c r="P61" s="49">
        <v>47.3331333</v>
      </c>
      <c r="Q61" s="49">
        <v>100.1073167</v>
      </c>
      <c r="R61" s="10">
        <f>2240+115</f>
        <v>2355</v>
      </c>
      <c r="S61" s="10">
        <v>5</v>
      </c>
      <c r="T61" s="10" t="s">
        <v>1033</v>
      </c>
      <c r="U61" s="10" t="s">
        <v>1034</v>
      </c>
    </row>
    <row r="62" spans="1:24" x14ac:dyDescent="0.2">
      <c r="A62" s="93" t="s">
        <v>1035</v>
      </c>
      <c r="B62" s="23" t="s">
        <v>1036</v>
      </c>
      <c r="C62" s="12" t="s">
        <v>112</v>
      </c>
      <c r="D62" s="12" t="s">
        <v>862</v>
      </c>
      <c r="E62" s="13">
        <v>21.167850206026081</v>
      </c>
      <c r="F62" s="14">
        <v>342.54814389694656</v>
      </c>
      <c r="G62" s="22">
        <v>0.97050504477204091</v>
      </c>
      <c r="H62" s="74">
        <v>257.0293304510742</v>
      </c>
      <c r="I62" s="14">
        <v>918.501697711323</v>
      </c>
      <c r="J62" s="64">
        <v>11.216909929384354</v>
      </c>
      <c r="K62" s="16">
        <v>0.18967939954346869</v>
      </c>
      <c r="L62" s="17">
        <v>12.788902458225239</v>
      </c>
      <c r="M62" s="17">
        <v>2.4921129795886077</v>
      </c>
      <c r="N62" s="18">
        <v>0.32264840450343218</v>
      </c>
      <c r="O62" s="19">
        <v>6.4765245527487816E-3</v>
      </c>
      <c r="P62" s="49">
        <v>47.333150000000003</v>
      </c>
      <c r="Q62" s="49">
        <v>100.10733329999999</v>
      </c>
      <c r="R62" s="10">
        <f>2240+115</f>
        <v>2355</v>
      </c>
      <c r="S62" s="10">
        <v>5</v>
      </c>
      <c r="T62" s="10" t="s">
        <v>1033</v>
      </c>
      <c r="U62" s="10" t="s">
        <v>1034</v>
      </c>
    </row>
    <row r="63" spans="1:24" x14ac:dyDescent="0.2">
      <c r="A63" s="93" t="s">
        <v>1037</v>
      </c>
      <c r="B63" s="23" t="s">
        <v>1038</v>
      </c>
      <c r="C63" s="12" t="s">
        <v>112</v>
      </c>
      <c r="D63" s="12" t="s">
        <v>862</v>
      </c>
      <c r="E63" s="13">
        <v>0.15655633780221404</v>
      </c>
      <c r="F63" s="14">
        <v>241.63964364461356</v>
      </c>
      <c r="G63" s="22">
        <v>0.64140600439254603</v>
      </c>
      <c r="H63" s="74">
        <v>168.0646431958385</v>
      </c>
      <c r="I63" s="14">
        <v>507.26087020984636</v>
      </c>
      <c r="J63" s="64">
        <v>9.4785064724243622</v>
      </c>
      <c r="K63" s="16">
        <v>0.17816613574045195</v>
      </c>
      <c r="L63" s="17">
        <v>90.740524370611908</v>
      </c>
      <c r="M63" s="17">
        <v>1.6295263967860789</v>
      </c>
      <c r="N63" s="18">
        <v>0.29907260035731925</v>
      </c>
      <c r="O63" s="19">
        <v>6.0055676128714444E-3</v>
      </c>
      <c r="P63" s="49">
        <v>47.3331667</v>
      </c>
      <c r="Q63" s="49">
        <v>100.10778329999999</v>
      </c>
      <c r="R63" s="10">
        <f>2240+138</f>
        <v>2378</v>
      </c>
      <c r="S63" s="10">
        <v>12</v>
      </c>
      <c r="T63" s="10" t="s">
        <v>1033</v>
      </c>
      <c r="U63" s="10" t="s">
        <v>1039</v>
      </c>
    </row>
    <row r="64" spans="1:24" x14ac:dyDescent="0.2">
      <c r="A64" s="93" t="s">
        <v>1040</v>
      </c>
      <c r="B64" s="23" t="s">
        <v>1041</v>
      </c>
      <c r="C64" s="12" t="s">
        <v>112</v>
      </c>
      <c r="D64" s="12" t="s">
        <v>862</v>
      </c>
      <c r="E64" s="13">
        <v>0.19567579100366553</v>
      </c>
      <c r="F64" s="14">
        <v>298.4847251229595</v>
      </c>
      <c r="G64" s="22">
        <v>1.7111870403303571</v>
      </c>
      <c r="H64" s="74">
        <v>241.22937224310945</v>
      </c>
      <c r="I64" s="14">
        <v>691.78946205961245</v>
      </c>
      <c r="J64" s="64">
        <v>9.0071069038845337</v>
      </c>
      <c r="K64" s="16">
        <v>0.15314381546054634</v>
      </c>
      <c r="L64" s="17">
        <v>91.325057000395489</v>
      </c>
      <c r="M64" s="17">
        <v>2.3389192531842133</v>
      </c>
      <c r="N64" s="18">
        <v>0.34751738140639021</v>
      </c>
      <c r="O64" s="19">
        <v>6.9762734786352936E-3</v>
      </c>
      <c r="P64" s="49">
        <v>47.333966699999998</v>
      </c>
      <c r="Q64" s="49">
        <v>100.10814999999999</v>
      </c>
      <c r="R64" s="10">
        <f>2240+160</f>
        <v>2400</v>
      </c>
      <c r="S64" s="10">
        <v>3</v>
      </c>
      <c r="T64" s="10" t="s">
        <v>1033</v>
      </c>
      <c r="U64" s="10" t="s">
        <v>1042</v>
      </c>
    </row>
    <row r="65" spans="1:24" x14ac:dyDescent="0.2">
      <c r="A65" s="93" t="s">
        <v>1043</v>
      </c>
      <c r="B65" s="23" t="s">
        <v>1044</v>
      </c>
      <c r="C65" s="12" t="s">
        <v>112</v>
      </c>
      <c r="D65" s="12" t="s">
        <v>862</v>
      </c>
      <c r="E65" s="13">
        <v>0.27862984637131349</v>
      </c>
      <c r="F65" s="14">
        <v>543.12313483684227</v>
      </c>
      <c r="G65" s="22">
        <v>0.95085870757509028</v>
      </c>
      <c r="H65" s="74">
        <v>234.4773152573708</v>
      </c>
      <c r="I65" s="14">
        <v>605.82319283517666</v>
      </c>
      <c r="J65" s="64">
        <v>8.1169636330917019</v>
      </c>
      <c r="K65" s="16">
        <v>0.14533901730515494</v>
      </c>
      <c r="L65" s="17">
        <v>87.066034072368595</v>
      </c>
      <c r="M65" s="17">
        <v>2.2734524489733832</v>
      </c>
      <c r="N65" s="18">
        <v>0.18563975476934527</v>
      </c>
      <c r="O65" s="19">
        <v>3.7259114453457023E-3</v>
      </c>
      <c r="P65" s="49">
        <v>47.332666699999997</v>
      </c>
      <c r="Q65" s="49">
        <v>100.1097333</v>
      </c>
      <c r="R65" s="10">
        <f>2240+175</f>
        <v>2415</v>
      </c>
      <c r="S65" s="10">
        <v>11</v>
      </c>
      <c r="T65" s="10" t="s">
        <v>1033</v>
      </c>
      <c r="U65" s="10" t="s">
        <v>1045</v>
      </c>
      <c r="V65" s="10">
        <v>190</v>
      </c>
      <c r="W65" s="10">
        <v>190</v>
      </c>
      <c r="X65" s="10">
        <f>W65/J65</f>
        <v>23.407767804379105</v>
      </c>
    </row>
    <row r="66" spans="1:24" x14ac:dyDescent="0.2">
      <c r="A66" s="93" t="s">
        <v>1046</v>
      </c>
      <c r="B66" s="23" t="s">
        <v>1047</v>
      </c>
      <c r="C66" s="12" t="s">
        <v>112</v>
      </c>
      <c r="D66" s="12" t="s">
        <v>862</v>
      </c>
      <c r="E66" s="13">
        <v>0.47834020225585683</v>
      </c>
      <c r="F66" s="14">
        <v>533.38385255629089</v>
      </c>
      <c r="G66" s="22">
        <v>2.8810568881011065</v>
      </c>
      <c r="H66" s="74">
        <v>186.58069841663405</v>
      </c>
      <c r="I66" s="14">
        <v>483.99868095406259</v>
      </c>
      <c r="J66" s="64">
        <v>8.1493338765835812</v>
      </c>
      <c r="K66" s="16">
        <v>0.15924183388884625</v>
      </c>
      <c r="L66" s="17">
        <v>76.651161852327974</v>
      </c>
      <c r="M66" s="17">
        <v>1.8090549411181334</v>
      </c>
      <c r="N66" s="18">
        <v>0.15041644012027072</v>
      </c>
      <c r="O66" s="19">
        <v>3.019130704464741E-3</v>
      </c>
      <c r="P66" s="49">
        <v>47.270483300000002</v>
      </c>
      <c r="Q66" s="49">
        <v>100.0144167</v>
      </c>
      <c r="R66" s="10">
        <f>2483-5</f>
        <v>2478</v>
      </c>
      <c r="S66" s="10">
        <v>5</v>
      </c>
      <c r="T66" s="10" t="s">
        <v>1048</v>
      </c>
      <c r="U66" s="10" t="s">
        <v>1039</v>
      </c>
    </row>
    <row r="67" spans="1:24" x14ac:dyDescent="0.2">
      <c r="A67" s="93" t="s">
        <v>1049</v>
      </c>
      <c r="B67" s="23" t="s">
        <v>1050</v>
      </c>
      <c r="C67" s="12" t="s">
        <v>112</v>
      </c>
      <c r="D67" s="12" t="s">
        <v>862</v>
      </c>
      <c r="E67" s="13">
        <v>0.10263717052565252</v>
      </c>
      <c r="F67" s="14">
        <v>199.28282183474363</v>
      </c>
      <c r="G67" s="22">
        <v>0.40983573485624919</v>
      </c>
      <c r="H67" s="74">
        <v>142.55429378307196</v>
      </c>
      <c r="I67" s="14">
        <v>331.9615731004198</v>
      </c>
      <c r="J67" s="64">
        <v>7.3173215591205087</v>
      </c>
      <c r="K67" s="16">
        <v>0.17816562911549927</v>
      </c>
      <c r="L67" s="17">
        <v>90.470864886599998</v>
      </c>
      <c r="M67" s="17">
        <v>1.3821823572018586</v>
      </c>
      <c r="N67" s="18">
        <v>0.30759473276403587</v>
      </c>
      <c r="O67" s="19">
        <v>6.1791172474643481E-3</v>
      </c>
      <c r="P67" s="49">
        <v>47.271500000000003</v>
      </c>
      <c r="Q67" s="49">
        <v>100.01385000000001</v>
      </c>
      <c r="R67" s="10">
        <v>2497</v>
      </c>
      <c r="S67" s="10">
        <v>7</v>
      </c>
      <c r="T67" s="10" t="s">
        <v>1048</v>
      </c>
      <c r="U67" s="10" t="s">
        <v>1042</v>
      </c>
    </row>
    <row r="68" spans="1:24" x14ac:dyDescent="0.2">
      <c r="A68" s="93" t="s">
        <v>1051</v>
      </c>
      <c r="B68" s="23" t="s">
        <v>1052</v>
      </c>
      <c r="C68" s="12" t="s">
        <v>112</v>
      </c>
      <c r="D68" s="12" t="s">
        <v>862</v>
      </c>
      <c r="E68" s="13">
        <v>0.47650627390789868</v>
      </c>
      <c r="F68" s="14">
        <v>210.56915307418612</v>
      </c>
      <c r="G68" s="22">
        <v>2.6620278180380126</v>
      </c>
      <c r="H68" s="74">
        <v>161.55783007253714</v>
      </c>
      <c r="I68" s="14">
        <v>341.42084452761253</v>
      </c>
      <c r="J68" s="64">
        <v>6.6418309506618716</v>
      </c>
      <c r="K68" s="16">
        <v>0.15942898656664217</v>
      </c>
      <c r="L68" s="17">
        <v>70.039166212466228</v>
      </c>
      <c r="M68" s="17">
        <v>1.5664374356473676</v>
      </c>
      <c r="N68" s="18">
        <v>0.32991473782826997</v>
      </c>
      <c r="O68" s="19">
        <v>6.6267192021025375E-3</v>
      </c>
      <c r="P68" s="49">
        <v>47.269849999999998</v>
      </c>
      <c r="Q68" s="49">
        <v>100.00935</v>
      </c>
      <c r="R68" s="10">
        <f>2513-S68</f>
        <v>2505</v>
      </c>
      <c r="S68" s="10">
        <v>8</v>
      </c>
      <c r="T68" s="10" t="s">
        <v>1048</v>
      </c>
      <c r="U68" s="10" t="s">
        <v>1053</v>
      </c>
    </row>
    <row r="69" spans="1:24" x14ac:dyDescent="0.2">
      <c r="A69" s="93" t="s">
        <v>1054</v>
      </c>
      <c r="B69" s="23" t="s">
        <v>1055</v>
      </c>
      <c r="C69" s="12" t="s">
        <v>112</v>
      </c>
      <c r="D69" s="12" t="s">
        <v>862</v>
      </c>
      <c r="E69" s="13">
        <v>0.89308418349815755</v>
      </c>
      <c r="F69" s="14">
        <v>375.42195369422751</v>
      </c>
      <c r="G69" s="22">
        <v>6.2639899276761986</v>
      </c>
      <c r="H69" s="74">
        <v>176.12550420930614</v>
      </c>
      <c r="I69" s="14">
        <v>381.37501858902993</v>
      </c>
      <c r="J69" s="64">
        <v>6.8051259572229075</v>
      </c>
      <c r="K69" s="16">
        <v>0.14781026064772065</v>
      </c>
      <c r="L69" s="17">
        <v>58.582519033475236</v>
      </c>
      <c r="M69" s="17">
        <v>1.7076831438120621</v>
      </c>
      <c r="N69" s="18">
        <v>0.20173025595537017</v>
      </c>
      <c r="O69" s="19">
        <v>4.0497109992424108E-3</v>
      </c>
      <c r="P69" s="49">
        <v>47.269483299999997</v>
      </c>
      <c r="Q69" s="49">
        <v>100.0087667</v>
      </c>
      <c r="R69" s="10">
        <f>2527-4</f>
        <v>2523</v>
      </c>
      <c r="S69" s="10">
        <v>4</v>
      </c>
      <c r="T69" s="10" t="s">
        <v>1048</v>
      </c>
      <c r="U69" s="10" t="s">
        <v>1045</v>
      </c>
      <c r="V69" s="10">
        <v>136</v>
      </c>
    </row>
    <row r="70" spans="1:24" x14ac:dyDescent="0.2">
      <c r="A70" s="93" t="s">
        <v>1056</v>
      </c>
      <c r="B70" s="23" t="s">
        <v>1057</v>
      </c>
      <c r="C70" s="12" t="s">
        <v>112</v>
      </c>
      <c r="D70" s="12" t="s">
        <v>862</v>
      </c>
      <c r="E70" s="13">
        <v>0.80460156455832677</v>
      </c>
      <c r="F70" s="14">
        <v>362.63555012287662</v>
      </c>
      <c r="G70" s="22">
        <v>3.408613185002197</v>
      </c>
      <c r="H70" s="74">
        <v>157.57019832172514</v>
      </c>
      <c r="I70" s="14">
        <v>300.33151928705007</v>
      </c>
      <c r="J70" s="64">
        <v>5.9914339434317192</v>
      </c>
      <c r="K70" s="16">
        <v>0.15345181903341301</v>
      </c>
      <c r="L70" s="17">
        <v>55.289476336015646</v>
      </c>
      <c r="M70" s="17">
        <v>1.5277740316437149</v>
      </c>
      <c r="N70" s="18">
        <v>0.1868409902321585</v>
      </c>
      <c r="O70" s="19">
        <v>3.7509940056409279E-3</v>
      </c>
      <c r="P70" s="49">
        <v>47.207099999999997</v>
      </c>
      <c r="Q70" s="49">
        <v>100.1215</v>
      </c>
      <c r="R70" s="10">
        <v>3350</v>
      </c>
      <c r="S70" s="10">
        <v>5</v>
      </c>
      <c r="T70" s="10" t="s">
        <v>900</v>
      </c>
      <c r="U70" s="10" t="s">
        <v>1058</v>
      </c>
    </row>
    <row r="71" spans="1:24" x14ac:dyDescent="0.2">
      <c r="A71" s="93" t="s">
        <v>1059</v>
      </c>
      <c r="B71" s="23" t="s">
        <v>1060</v>
      </c>
      <c r="C71" s="12" t="s">
        <v>112</v>
      </c>
      <c r="D71" s="12" t="s">
        <v>862</v>
      </c>
      <c r="E71" s="13">
        <v>0.13073747188121992</v>
      </c>
      <c r="F71" s="14">
        <v>221.76661348843604</v>
      </c>
      <c r="G71" s="22">
        <v>24.553163978824841</v>
      </c>
      <c r="H71" s="74">
        <v>123.6945254618596</v>
      </c>
      <c r="I71" s="14">
        <v>551.64658257668134</v>
      </c>
      <c r="J71" s="64">
        <v>13.98792413970757</v>
      </c>
      <c r="K71" s="16">
        <v>0.27492540974632995</v>
      </c>
      <c r="L71" s="17">
        <v>92.825335602088273</v>
      </c>
      <c r="M71" s="17">
        <v>1.1993212286962385</v>
      </c>
      <c r="N71" s="18">
        <v>0.23984063746986486</v>
      </c>
      <c r="O71" s="19">
        <v>4.8161193858226765E-3</v>
      </c>
      <c r="P71" s="49">
        <v>47.575083300000003</v>
      </c>
      <c r="Q71" s="49">
        <v>101.1388333</v>
      </c>
      <c r="R71" s="10">
        <v>1650</v>
      </c>
      <c r="S71" s="10">
        <v>16</v>
      </c>
      <c r="T71" s="10" t="s">
        <v>1061</v>
      </c>
      <c r="U71" s="10" t="s">
        <v>1062</v>
      </c>
    </row>
    <row r="72" spans="1:24" x14ac:dyDescent="0.2">
      <c r="A72" s="93" t="s">
        <v>1063</v>
      </c>
      <c r="B72" s="23" t="s">
        <v>1064</v>
      </c>
      <c r="C72" s="12" t="s">
        <v>112</v>
      </c>
      <c r="D72" s="12" t="s">
        <v>862</v>
      </c>
      <c r="E72" s="13">
        <v>2.6538507569130396</v>
      </c>
      <c r="F72" s="14">
        <v>455.91349799360097</v>
      </c>
      <c r="G72" s="22">
        <v>0.68018615095678081</v>
      </c>
      <c r="H72" s="74">
        <v>280.63528825693953</v>
      </c>
      <c r="I72" s="14">
        <v>1245.6905377406699</v>
      </c>
      <c r="J72" s="64">
        <v>13.922542805041658</v>
      </c>
      <c r="K72" s="16">
        <v>0.21078404982124571</v>
      </c>
      <c r="L72" s="17">
        <v>61.094117908502128</v>
      </c>
      <c r="M72" s="17">
        <v>2.7209923597759831</v>
      </c>
      <c r="N72" s="18">
        <v>0.26468436333108464</v>
      </c>
      <c r="O72" s="19">
        <v>5.3122810524577173E-3</v>
      </c>
      <c r="P72" s="49">
        <v>47.575200000000002</v>
      </c>
      <c r="Q72" s="49">
        <v>101.1384833</v>
      </c>
      <c r="R72" s="10">
        <f>R71+S71</f>
        <v>1666</v>
      </c>
      <c r="S72" s="10">
        <v>12</v>
      </c>
      <c r="T72" s="10" t="s">
        <v>1061</v>
      </c>
      <c r="U72" s="10" t="s">
        <v>1065</v>
      </c>
    </row>
    <row r="73" spans="1:24" x14ac:dyDescent="0.2">
      <c r="A73" s="93" t="s">
        <v>1066</v>
      </c>
      <c r="B73" s="23" t="s">
        <v>1067</v>
      </c>
      <c r="C73" s="12" t="s">
        <v>112</v>
      </c>
      <c r="D73" s="12" t="s">
        <v>862</v>
      </c>
      <c r="E73" s="13">
        <v>0.30330891543630428</v>
      </c>
      <c r="F73" s="14">
        <v>352.92761409702422</v>
      </c>
      <c r="G73" s="22">
        <v>0.25662638864977982</v>
      </c>
      <c r="H73" s="74">
        <v>170.92634830301517</v>
      </c>
      <c r="I73" s="14">
        <v>737.88270891410548</v>
      </c>
      <c r="J73" s="64">
        <v>13.541749638173055</v>
      </c>
      <c r="K73" s="16">
        <v>0.22646013630496958</v>
      </c>
      <c r="L73" s="17">
        <v>88.579616756946137</v>
      </c>
      <c r="M73" s="17">
        <v>1.6572730062054561</v>
      </c>
      <c r="N73" s="18">
        <v>0.20825327017367054</v>
      </c>
      <c r="O73" s="19">
        <v>4.1792340169802085E-3</v>
      </c>
      <c r="P73" s="49">
        <v>47.575200000000002</v>
      </c>
      <c r="Q73" s="49">
        <v>101.1384833</v>
      </c>
      <c r="R73" s="10">
        <f>R72+S72</f>
        <v>1678</v>
      </c>
      <c r="S73" s="10">
        <v>5</v>
      </c>
      <c r="T73" s="10" t="s">
        <v>1061</v>
      </c>
      <c r="U73" s="10" t="s">
        <v>1068</v>
      </c>
    </row>
    <row r="74" spans="1:24" x14ac:dyDescent="0.2">
      <c r="A74" s="93" t="s">
        <v>1069</v>
      </c>
      <c r="B74" s="23" t="s">
        <v>1070</v>
      </c>
      <c r="C74" s="12" t="s">
        <v>112</v>
      </c>
      <c r="D74" s="12" t="s">
        <v>862</v>
      </c>
      <c r="E74" s="13">
        <v>0.53412212967256656</v>
      </c>
      <c r="F74" s="14">
        <v>340.55901903171127</v>
      </c>
      <c r="G74" s="22">
        <v>0.18967174834499004</v>
      </c>
      <c r="H74" s="74">
        <v>302.62749844185112</v>
      </c>
      <c r="I74" s="14">
        <v>1312.5421864698408</v>
      </c>
      <c r="J74" s="64">
        <v>13.604849987121156</v>
      </c>
      <c r="K74" s="16">
        <v>0.20468479715466045</v>
      </c>
      <c r="L74" s="17">
        <v>88.678451457957749</v>
      </c>
      <c r="M74" s="17">
        <v>2.934225115568776</v>
      </c>
      <c r="N74" s="18">
        <v>0.3821065279668277</v>
      </c>
      <c r="O74" s="19">
        <v>7.6680599474157141E-3</v>
      </c>
      <c r="P74" s="49">
        <v>47.575033300000001</v>
      </c>
      <c r="Q74" s="49">
        <v>101.15600000000001</v>
      </c>
      <c r="R74" s="10">
        <f>R71+48</f>
        <v>1698</v>
      </c>
      <c r="S74" s="10">
        <v>2</v>
      </c>
      <c r="T74" s="10" t="s">
        <v>1061</v>
      </c>
      <c r="U74" s="10" t="s">
        <v>1071</v>
      </c>
    </row>
    <row r="75" spans="1:24" x14ac:dyDescent="0.2">
      <c r="A75" s="93" t="s">
        <v>1072</v>
      </c>
      <c r="B75" s="23" t="s">
        <v>1073</v>
      </c>
      <c r="C75" s="12" t="s">
        <v>112</v>
      </c>
      <c r="D75" s="12" t="s">
        <v>862</v>
      </c>
      <c r="E75" s="13">
        <v>0.15636367005087537</v>
      </c>
      <c r="F75" s="14">
        <v>310.65506646815527</v>
      </c>
      <c r="G75" s="22">
        <v>0.67429368724816408</v>
      </c>
      <c r="H75" s="74">
        <v>171.05795478118992</v>
      </c>
      <c r="I75" s="14">
        <v>757.01376565653186</v>
      </c>
      <c r="J75" s="64">
        <v>13.88085413701944</v>
      </c>
      <c r="K75" s="16">
        <v>0.23650589100252048</v>
      </c>
      <c r="L75" s="17">
        <v>93.607594857549017</v>
      </c>
      <c r="M75" s="17">
        <v>1.658549040391444</v>
      </c>
      <c r="N75" s="18">
        <v>0.23677360679212248</v>
      </c>
      <c r="O75" s="19">
        <v>4.7518065610365669E-3</v>
      </c>
      <c r="P75" s="49">
        <v>47.574933299999998</v>
      </c>
      <c r="Q75" s="49">
        <v>101.1482333</v>
      </c>
      <c r="R75" s="10">
        <f>R71+54</f>
        <v>1704</v>
      </c>
      <c r="S75" s="10">
        <v>7</v>
      </c>
      <c r="T75" s="10" t="s">
        <v>1061</v>
      </c>
      <c r="U75" s="10" t="s">
        <v>1074</v>
      </c>
      <c r="V75" s="10">
        <f>R75-R71+S75</f>
        <v>61</v>
      </c>
      <c r="W75" s="10">
        <v>63</v>
      </c>
      <c r="X75" s="10">
        <f>W75/J75</f>
        <v>4.538625604600413</v>
      </c>
    </row>
    <row r="76" spans="1:24" x14ac:dyDescent="0.2">
      <c r="A76" s="93" t="s">
        <v>1075</v>
      </c>
      <c r="B76" s="23" t="s">
        <v>1076</v>
      </c>
      <c r="C76" s="12" t="s">
        <v>112</v>
      </c>
      <c r="D76" s="12" t="s">
        <v>862</v>
      </c>
      <c r="E76" s="13">
        <v>0.2977705346568848</v>
      </c>
      <c r="F76" s="14">
        <v>336.59633824467357</v>
      </c>
      <c r="G76" s="22">
        <v>0.67228276407154974</v>
      </c>
      <c r="H76" s="74">
        <v>164.40546179969377</v>
      </c>
      <c r="I76" s="14">
        <v>750.85974111488804</v>
      </c>
      <c r="J76" s="64">
        <v>14.323365018147562</v>
      </c>
      <c r="K76" s="16">
        <v>0.24460695115368011</v>
      </c>
      <c r="L76" s="17">
        <v>88.952698659773901</v>
      </c>
      <c r="M76" s="17">
        <v>1.5940475919508568</v>
      </c>
      <c r="N76" s="18">
        <v>0.21002708746783885</v>
      </c>
      <c r="O76" s="19">
        <v>4.2161047406649175E-3</v>
      </c>
      <c r="P76" s="49">
        <v>47.469116700000001</v>
      </c>
      <c r="Q76" s="49">
        <v>100.89441669999999</v>
      </c>
      <c r="R76" s="10">
        <f>1866-3</f>
        <v>1863</v>
      </c>
      <c r="S76" s="10">
        <v>3</v>
      </c>
      <c r="T76" s="10" t="s">
        <v>1077</v>
      </c>
      <c r="U76" s="10" t="s">
        <v>995</v>
      </c>
    </row>
    <row r="77" spans="1:24" x14ac:dyDescent="0.2">
      <c r="A77" s="93" t="s">
        <v>1078</v>
      </c>
      <c r="B77" s="23" t="s">
        <v>1079</v>
      </c>
      <c r="C77" s="12" t="s">
        <v>112</v>
      </c>
      <c r="D77" s="12" t="s">
        <v>862</v>
      </c>
      <c r="E77" s="13">
        <v>0.95805352410862332</v>
      </c>
      <c r="F77" s="14">
        <v>668.95407067437134</v>
      </c>
      <c r="G77" s="22">
        <v>108.53256052279841</v>
      </c>
      <c r="H77" s="74">
        <v>487.03142509581562</v>
      </c>
      <c r="I77" s="14">
        <v>2097.256395585719</v>
      </c>
      <c r="J77" s="64">
        <v>13.508124261159281</v>
      </c>
      <c r="K77" s="16">
        <v>0.19656710048556328</v>
      </c>
      <c r="L77" s="17">
        <v>87.534228733179319</v>
      </c>
      <c r="M77" s="17">
        <v>4.7221744453007286</v>
      </c>
      <c r="N77" s="18">
        <v>0.31306112328471414</v>
      </c>
      <c r="O77" s="19">
        <v>6.2827420932402541E-3</v>
      </c>
      <c r="P77" s="49">
        <v>47.468266700000001</v>
      </c>
      <c r="Q77" s="49">
        <v>100.8948333</v>
      </c>
      <c r="R77" s="10">
        <f>1888-10</f>
        <v>1878</v>
      </c>
      <c r="S77" s="10">
        <v>10</v>
      </c>
      <c r="T77" s="10" t="s">
        <v>1077</v>
      </c>
      <c r="U77" s="10" t="s">
        <v>992</v>
      </c>
    </row>
    <row r="78" spans="1:24" x14ac:dyDescent="0.2">
      <c r="A78" s="93" t="s">
        <v>1080</v>
      </c>
      <c r="B78" s="23" t="s">
        <v>1081</v>
      </c>
      <c r="C78" s="12" t="s">
        <v>112</v>
      </c>
      <c r="D78" s="12" t="s">
        <v>862</v>
      </c>
      <c r="E78" s="13">
        <v>0.19574111506947928</v>
      </c>
      <c r="F78" s="14">
        <v>488.62805426067479</v>
      </c>
      <c r="G78" s="22">
        <v>1.2267979401578688</v>
      </c>
      <c r="H78" s="74">
        <v>265.64747904064996</v>
      </c>
      <c r="I78" s="14">
        <v>1162.4235415676471</v>
      </c>
      <c r="J78" s="64">
        <v>13.725654018416499</v>
      </c>
      <c r="K78" s="16">
        <v>0.21015829347511331</v>
      </c>
      <c r="L78" s="17">
        <v>94.541679738676081</v>
      </c>
      <c r="M78" s="17">
        <v>2.575673092834879</v>
      </c>
      <c r="N78" s="18">
        <v>0.23377375693320415</v>
      </c>
      <c r="O78" s="19">
        <v>4.6919765778935573E-3</v>
      </c>
      <c r="P78" s="49">
        <v>47.466833299999998</v>
      </c>
      <c r="Q78" s="49">
        <v>100.8938667</v>
      </c>
      <c r="R78" s="10">
        <f>1927-5</f>
        <v>1922</v>
      </c>
      <c r="S78" s="10">
        <v>5</v>
      </c>
      <c r="T78" s="10" t="s">
        <v>1077</v>
      </c>
      <c r="U78" s="10" t="s">
        <v>1082</v>
      </c>
      <c r="V78" s="10">
        <f>R78+S78-1800</f>
        <v>127</v>
      </c>
      <c r="W78" s="10">
        <v>144</v>
      </c>
      <c r="X78" s="10">
        <f>W78/J78</f>
        <v>10.49130335113991</v>
      </c>
    </row>
    <row r="79" spans="1:24" x14ac:dyDescent="0.2">
      <c r="A79" s="93" t="s">
        <v>1083</v>
      </c>
      <c r="B79" s="23" t="s">
        <v>1084</v>
      </c>
      <c r="C79" s="12" t="s">
        <v>944</v>
      </c>
      <c r="D79" s="12" t="s">
        <v>862</v>
      </c>
      <c r="E79" s="22">
        <v>1.0985962557729392</v>
      </c>
      <c r="F79" s="14">
        <v>633.23565057377425</v>
      </c>
      <c r="G79" s="13">
        <v>0.14265553750257898</v>
      </c>
      <c r="H79" s="74">
        <v>946.97747080618228</v>
      </c>
      <c r="I79" s="14">
        <v>610.49119082721927</v>
      </c>
      <c r="J79" s="64">
        <v>2.9535255743492739</v>
      </c>
      <c r="K79" s="16">
        <v>0.15219146866493416</v>
      </c>
      <c r="L79" s="17">
        <v>65.244047721878076</v>
      </c>
      <c r="M79" s="17">
        <v>3.2782862510788529</v>
      </c>
      <c r="N79" s="18">
        <v>0.6430470427205015</v>
      </c>
      <c r="O79" s="19">
        <v>1.2330078242516966E-3</v>
      </c>
      <c r="P79" s="49">
        <v>46.856783299999996</v>
      </c>
      <c r="Q79" s="49">
        <v>101.5556833</v>
      </c>
      <c r="R79" s="10">
        <f>R82+90</f>
        <v>2102</v>
      </c>
      <c r="S79" s="10">
        <v>13</v>
      </c>
      <c r="T79" s="10" t="s">
        <v>1085</v>
      </c>
      <c r="U79" s="10" t="s">
        <v>1086</v>
      </c>
    </row>
    <row r="80" spans="1:24" x14ac:dyDescent="0.2">
      <c r="A80" s="93" t="s">
        <v>1087</v>
      </c>
      <c r="B80" s="23" t="s">
        <v>261</v>
      </c>
      <c r="C80" s="12" t="s">
        <v>944</v>
      </c>
      <c r="D80" s="12" t="s">
        <v>862</v>
      </c>
      <c r="E80" s="22">
        <v>0.50206676940085759</v>
      </c>
      <c r="F80" s="14">
        <v>716.89004360312174</v>
      </c>
      <c r="G80" s="13">
        <v>4.5247889816187959E-3</v>
      </c>
      <c r="H80" s="74">
        <v>1148.3888108382807</v>
      </c>
      <c r="I80" s="14">
        <v>1036.4686190423124</v>
      </c>
      <c r="J80" s="64">
        <v>4.1335808364565443</v>
      </c>
      <c r="K80" s="16">
        <v>0.12186588203750037</v>
      </c>
      <c r="L80" s="17">
        <v>87.42674021039825</v>
      </c>
      <c r="M80" s="17">
        <v>3.9755404595411541</v>
      </c>
      <c r="N80" s="18">
        <v>0.68881858949883512</v>
      </c>
      <c r="O80" s="19">
        <v>1.3837585416003719E-2</v>
      </c>
      <c r="P80" s="49">
        <v>46.858199999999997</v>
      </c>
      <c r="Q80" s="49">
        <v>101.56255</v>
      </c>
      <c r="R80" s="10">
        <f>R82+12</f>
        <v>2024</v>
      </c>
      <c r="S80" s="10">
        <v>8</v>
      </c>
      <c r="T80" s="10" t="s">
        <v>1085</v>
      </c>
      <c r="U80" s="10" t="s">
        <v>1088</v>
      </c>
    </row>
    <row r="81" spans="1:24" x14ac:dyDescent="0.2">
      <c r="A81" s="93" t="s">
        <v>1089</v>
      </c>
      <c r="B81" s="23" t="s">
        <v>1090</v>
      </c>
      <c r="C81" s="12" t="s">
        <v>917</v>
      </c>
      <c r="D81" s="12" t="s">
        <v>862</v>
      </c>
      <c r="E81" s="22">
        <v>0.57796096386811291</v>
      </c>
      <c r="F81" s="14">
        <v>520.04498841809595</v>
      </c>
      <c r="G81" s="13">
        <v>3.1985503268911419E-2</v>
      </c>
      <c r="H81" s="74">
        <v>237.76432531895398</v>
      </c>
      <c r="I81" s="14">
        <v>156.45256383146068</v>
      </c>
      <c r="J81" s="64">
        <v>3.0145995979525315</v>
      </c>
      <c r="K81" s="16">
        <v>0.14126332010703185</v>
      </c>
      <c r="L81" s="17">
        <v>47.788622438175167</v>
      </c>
      <c r="M81" s="17">
        <v>0.82310249474741559</v>
      </c>
      <c r="N81" s="18">
        <v>0.19659579875607666</v>
      </c>
      <c r="O81" s="19">
        <v>4.7635791239625039E-3</v>
      </c>
      <c r="P81" s="49">
        <v>46.857950000000002</v>
      </c>
      <c r="Q81" s="49">
        <v>101.5625833</v>
      </c>
      <c r="R81" s="10">
        <f>R82+42</f>
        <v>2054</v>
      </c>
      <c r="S81" s="10">
        <v>10</v>
      </c>
      <c r="T81" s="10" t="s">
        <v>1085</v>
      </c>
      <c r="U81" s="10" t="s">
        <v>1091</v>
      </c>
    </row>
    <row r="82" spans="1:24" x14ac:dyDescent="0.2">
      <c r="A82" s="93" t="s">
        <v>1092</v>
      </c>
      <c r="B82" s="23" t="s">
        <v>1093</v>
      </c>
      <c r="C82" s="12" t="s">
        <v>944</v>
      </c>
      <c r="D82" s="12" t="s">
        <v>862</v>
      </c>
      <c r="E82" s="22">
        <v>0.41014843210469976</v>
      </c>
      <c r="F82" s="14">
        <v>678.19550409002716</v>
      </c>
      <c r="G82" s="13">
        <v>1.670262269393372E-2</v>
      </c>
      <c r="H82" s="74">
        <v>1318.2541105095572</v>
      </c>
      <c r="I82" s="14">
        <v>824.5243144768674</v>
      </c>
      <c r="J82" s="64">
        <v>2.8656020224138152</v>
      </c>
      <c r="K82" s="16">
        <v>0.10354381767131178</v>
      </c>
      <c r="L82" s="17">
        <v>87.110809403669165</v>
      </c>
      <c r="M82" s="17">
        <v>4.5635872648929885</v>
      </c>
      <c r="N82" s="18">
        <v>0.83581985445285867</v>
      </c>
      <c r="O82" s="19">
        <v>1.6791529601807919E-2</v>
      </c>
      <c r="P82" s="49">
        <v>46.865216699999998</v>
      </c>
      <c r="Q82" s="49">
        <v>101.5593167</v>
      </c>
      <c r="R82" s="10">
        <v>2012</v>
      </c>
      <c r="S82" s="10">
        <v>12</v>
      </c>
      <c r="T82" s="10" t="s">
        <v>1085</v>
      </c>
      <c r="U82" s="10" t="s">
        <v>1094</v>
      </c>
    </row>
    <row r="83" spans="1:24" x14ac:dyDescent="0.2">
      <c r="A83" s="93" t="s">
        <v>1095</v>
      </c>
      <c r="B83" s="23" t="s">
        <v>1096</v>
      </c>
      <c r="C83" s="12" t="s">
        <v>917</v>
      </c>
      <c r="D83" s="12" t="s">
        <v>862</v>
      </c>
      <c r="E83" s="22">
        <v>1.1346650327120771</v>
      </c>
      <c r="F83" s="14">
        <v>628.15072585584903</v>
      </c>
      <c r="G83" s="13">
        <v>4.6211488773027038E-3</v>
      </c>
      <c r="H83" s="74">
        <v>1109.0928595990245</v>
      </c>
      <c r="I83" s="14">
        <v>682.97659515383805</v>
      </c>
      <c r="J83" s="64">
        <v>2.8213357435510247</v>
      </c>
      <c r="K83" s="16">
        <v>0.12804976203242849</v>
      </c>
      <c r="L83" s="17">
        <v>67.027962884510416</v>
      </c>
      <c r="M83" s="17">
        <v>3.8395040905227353</v>
      </c>
      <c r="N83" s="18">
        <v>0.75922849404941073</v>
      </c>
      <c r="O83" s="19">
        <v>1.5252939768183198E-2</v>
      </c>
      <c r="P83" s="49">
        <v>46.859000000000002</v>
      </c>
      <c r="Q83" s="49">
        <v>101.55705</v>
      </c>
      <c r="R83" s="10">
        <v>2105</v>
      </c>
      <c r="S83" s="10">
        <v>5</v>
      </c>
      <c r="T83" s="10" t="s">
        <v>1085</v>
      </c>
      <c r="U83" s="10" t="s">
        <v>1097</v>
      </c>
      <c r="V83" s="10">
        <f>R83-R82+S83</f>
        <v>98</v>
      </c>
      <c r="W83" s="10">
        <f>V83+2</f>
        <v>100</v>
      </c>
      <c r="X83" s="10">
        <f>W83/J83</f>
        <v>35.444204125148453</v>
      </c>
    </row>
    <row r="84" spans="1:24" x14ac:dyDescent="0.2">
      <c r="A84" s="93" t="s">
        <v>1098</v>
      </c>
      <c r="B84" s="23" t="s">
        <v>1099</v>
      </c>
      <c r="C84" s="12" t="s">
        <v>917</v>
      </c>
      <c r="D84" s="12" t="s">
        <v>862</v>
      </c>
      <c r="E84" s="22">
        <v>1.6783494188639185</v>
      </c>
      <c r="F84" s="14">
        <v>462.78713877348508</v>
      </c>
      <c r="G84" s="13">
        <v>0.12364643116230135</v>
      </c>
      <c r="H84" s="74">
        <v>205.39060029361556</v>
      </c>
      <c r="I84" s="14">
        <v>136.15811994526962</v>
      </c>
      <c r="J84" s="64">
        <v>3.0370638934686296</v>
      </c>
      <c r="K84" s="16">
        <v>0.19077735017084252</v>
      </c>
      <c r="L84" s="17">
        <v>21.536008424845431</v>
      </c>
      <c r="M84" s="17">
        <v>0.71102977821655311</v>
      </c>
      <c r="N84" s="18">
        <v>0.19083926653692646</v>
      </c>
      <c r="O84" s="19">
        <v>4.6507426832783499E-3</v>
      </c>
      <c r="P84" s="49">
        <v>46.900799999999997</v>
      </c>
      <c r="Q84" s="49">
        <v>101.5043</v>
      </c>
      <c r="R84" s="10">
        <v>2087</v>
      </c>
      <c r="S84" s="10">
        <v>2</v>
      </c>
      <c r="T84" s="10" t="s">
        <v>1100</v>
      </c>
      <c r="U84" s="10" t="s">
        <v>897</v>
      </c>
    </row>
    <row r="85" spans="1:24" x14ac:dyDescent="0.2">
      <c r="A85" s="93" t="s">
        <v>1101</v>
      </c>
      <c r="B85" s="23" t="s">
        <v>1102</v>
      </c>
      <c r="C85" s="12" t="s">
        <v>917</v>
      </c>
      <c r="D85" s="12" t="s">
        <v>862</v>
      </c>
      <c r="E85" s="22">
        <v>0.37152838051131853</v>
      </c>
      <c r="F85" s="14">
        <v>656.1545693760479</v>
      </c>
      <c r="G85" s="13">
        <v>7.5116630576239379E-2</v>
      </c>
      <c r="H85" s="74">
        <v>726.95561293818571</v>
      </c>
      <c r="I85" s="14">
        <v>3547.7211451721723</v>
      </c>
      <c r="J85" s="64">
        <v>22.239445662691459</v>
      </c>
      <c r="K85" s="16">
        <v>0.36300936687596985</v>
      </c>
      <c r="L85" s="17">
        <v>96.986651844324825</v>
      </c>
      <c r="M85" s="17">
        <v>2.5166053728934141</v>
      </c>
      <c r="N85" s="18">
        <v>0.47639828807512469</v>
      </c>
      <c r="O85" s="19">
        <v>9.571489068272895E-3</v>
      </c>
      <c r="P85" s="49">
        <v>46.903483299999998</v>
      </c>
      <c r="Q85" s="49">
        <v>101.51665</v>
      </c>
      <c r="R85" s="10">
        <v>2210</v>
      </c>
      <c r="S85" s="10">
        <v>5</v>
      </c>
      <c r="T85" s="10" t="s">
        <v>1103</v>
      </c>
      <c r="U85" s="10" t="s">
        <v>1104</v>
      </c>
    </row>
    <row r="86" spans="1:24" x14ac:dyDescent="0.2">
      <c r="A86" s="93" t="s">
        <v>1105</v>
      </c>
      <c r="B86" s="23" t="s">
        <v>1106</v>
      </c>
      <c r="C86" s="12" t="s">
        <v>917</v>
      </c>
      <c r="D86" s="12" t="s">
        <v>862</v>
      </c>
      <c r="E86" s="22">
        <v>0.36525175029931811</v>
      </c>
      <c r="F86" s="14">
        <v>1133.126635704044</v>
      </c>
      <c r="G86" s="13">
        <v>1.6593360054683248</v>
      </c>
      <c r="H86" s="74">
        <v>836.59530787612232</v>
      </c>
      <c r="I86" s="14">
        <v>3944.5679915363799</v>
      </c>
      <c r="J86" s="64">
        <v>21.490991645205657</v>
      </c>
      <c r="K86" s="16">
        <v>0.34170968869613993</v>
      </c>
      <c r="L86" s="17">
        <v>97.324512326343296</v>
      </c>
      <c r="M86" s="17">
        <v>2.8961606585978639</v>
      </c>
      <c r="N86" s="18">
        <v>0.31747200273270282</v>
      </c>
      <c r="O86" s="19">
        <v>6.3772263056498793E-3</v>
      </c>
      <c r="P86" s="49">
        <v>46.911700000000003</v>
      </c>
      <c r="Q86" s="49">
        <v>101.5331</v>
      </c>
      <c r="R86" s="10">
        <v>2267</v>
      </c>
      <c r="S86" s="10">
        <v>5</v>
      </c>
      <c r="T86" s="10" t="s">
        <v>1103</v>
      </c>
      <c r="U86" s="10" t="s">
        <v>1107</v>
      </c>
    </row>
    <row r="87" spans="1:24" x14ac:dyDescent="0.2">
      <c r="A87" s="93" t="s">
        <v>1108</v>
      </c>
      <c r="B87" s="23" t="s">
        <v>1109</v>
      </c>
      <c r="C87" s="12" t="s">
        <v>917</v>
      </c>
      <c r="D87" s="12" t="s">
        <v>862</v>
      </c>
      <c r="E87" s="22">
        <v>0.88907316992554764</v>
      </c>
      <c r="F87" s="14">
        <v>734.84881033984925</v>
      </c>
      <c r="G87" s="13">
        <v>9.7541820935180823E-2</v>
      </c>
      <c r="H87" s="74">
        <v>709.37011493716352</v>
      </c>
      <c r="I87" s="14">
        <v>3364.0347317746869</v>
      </c>
      <c r="J87" s="64">
        <v>21.614498120822841</v>
      </c>
      <c r="K87" s="16">
        <v>0.35039151773642402</v>
      </c>
      <c r="L87" s="17">
        <v>92.745067389332874</v>
      </c>
      <c r="M87" s="17">
        <v>2.4557271597443231</v>
      </c>
      <c r="N87" s="18">
        <v>0.4150910297887152</v>
      </c>
      <c r="O87" s="19">
        <v>8.3395817083408343E-3</v>
      </c>
      <c r="P87" s="49">
        <v>46.911900000000003</v>
      </c>
      <c r="Q87" s="49">
        <v>101.5305</v>
      </c>
      <c r="R87" s="10">
        <v>2333</v>
      </c>
      <c r="S87" s="10">
        <v>4</v>
      </c>
      <c r="T87" s="10" t="s">
        <v>1103</v>
      </c>
      <c r="U87" s="10" t="s">
        <v>1110</v>
      </c>
    </row>
    <row r="88" spans="1:24" x14ac:dyDescent="0.2">
      <c r="A88" s="93" t="s">
        <v>1111</v>
      </c>
      <c r="B88" s="23" t="s">
        <v>281</v>
      </c>
      <c r="C88" s="12" t="s">
        <v>917</v>
      </c>
      <c r="D88" s="12" t="s">
        <v>862</v>
      </c>
      <c r="E88" s="22">
        <v>0.3032229885536008</v>
      </c>
      <c r="F88" s="14">
        <v>659.39547532390077</v>
      </c>
      <c r="G88" s="13">
        <v>0.26215250236567988</v>
      </c>
      <c r="H88" s="74">
        <v>437.71523660216155</v>
      </c>
      <c r="I88" s="14">
        <v>1947.7140463000662</v>
      </c>
      <c r="J88" s="64">
        <v>20.288532669112019</v>
      </c>
      <c r="K88" s="16">
        <v>0.40545628029265446</v>
      </c>
      <c r="L88" s="17">
        <v>95.589556323023572</v>
      </c>
      <c r="M88" s="17">
        <v>1.5153009298299194</v>
      </c>
      <c r="N88" s="18">
        <v>0.28543955605166288</v>
      </c>
      <c r="O88" s="19">
        <v>5.7355189058148764E-3</v>
      </c>
      <c r="P88" s="49">
        <v>46.91375</v>
      </c>
      <c r="Q88" s="49">
        <v>101.5244833</v>
      </c>
      <c r="R88" s="10">
        <v>2403</v>
      </c>
      <c r="S88" s="10">
        <v>2</v>
      </c>
      <c r="T88" s="10" t="s">
        <v>1103</v>
      </c>
      <c r="U88" s="10" t="s">
        <v>1112</v>
      </c>
      <c r="V88" s="10">
        <f>R88-R84+S88</f>
        <v>318</v>
      </c>
      <c r="W88" s="10">
        <f>2405-2070</f>
        <v>335</v>
      </c>
      <c r="X88" s="10">
        <f>W88/(J88-3)</f>
        <v>19.377005927085797</v>
      </c>
    </row>
    <row r="89" spans="1:24" x14ac:dyDescent="0.2">
      <c r="A89" s="93" t="s">
        <v>1113</v>
      </c>
      <c r="B89" s="23" t="s">
        <v>1114</v>
      </c>
      <c r="C89" s="12" t="s">
        <v>917</v>
      </c>
      <c r="D89" s="12" t="s">
        <v>862</v>
      </c>
      <c r="E89" s="22">
        <v>0.71601471156808927</v>
      </c>
      <c r="F89" s="14">
        <v>641.32061019547496</v>
      </c>
      <c r="G89" s="13">
        <v>0.32128703986302026</v>
      </c>
      <c r="H89" s="74">
        <v>457.54576205700863</v>
      </c>
      <c r="I89" s="14">
        <v>2072.3087667916006</v>
      </c>
      <c r="J89" s="64">
        <v>20.648746691772239</v>
      </c>
      <c r="K89" s="16">
        <v>0.40540819067122036</v>
      </c>
      <c r="L89" s="17">
        <v>90.724928784463685</v>
      </c>
      <c r="M89" s="17">
        <v>1.5839510730006432</v>
      </c>
      <c r="N89" s="18">
        <v>0.30678053154185358</v>
      </c>
      <c r="O89" s="19">
        <v>6.1646373346810647E-3</v>
      </c>
      <c r="P89" s="49">
        <v>46.913699999999999</v>
      </c>
      <c r="Q89" s="49">
        <v>101.5244833</v>
      </c>
      <c r="R89" s="10">
        <f>R88-10</f>
        <v>2393</v>
      </c>
      <c r="S89" s="10">
        <v>10</v>
      </c>
      <c r="T89" s="10" t="s">
        <v>1103</v>
      </c>
      <c r="U89" s="10" t="s">
        <v>1115</v>
      </c>
    </row>
    <row r="90" spans="1:24" x14ac:dyDescent="0.2">
      <c r="A90" s="93" t="s">
        <v>1116</v>
      </c>
      <c r="B90" s="23" t="s">
        <v>1117</v>
      </c>
      <c r="C90" s="12" t="s">
        <v>917</v>
      </c>
      <c r="D90" s="12" t="s">
        <v>862</v>
      </c>
      <c r="E90" s="22">
        <v>151.76827603506649</v>
      </c>
      <c r="F90" s="14">
        <v>696.60291645899088</v>
      </c>
      <c r="G90" s="13">
        <v>0.54380163086367417</v>
      </c>
      <c r="H90" s="74">
        <v>397.73965606344359</v>
      </c>
      <c r="I90" s="14">
        <v>2834.0116711906571</v>
      </c>
      <c r="J90" s="64">
        <v>32.379076006239238</v>
      </c>
      <c r="K90" s="16">
        <v>0.56896226518809567</v>
      </c>
      <c r="L90" s="17">
        <v>5.9435949323855448</v>
      </c>
      <c r="M90" s="17">
        <v>1.3769117916517877</v>
      </c>
      <c r="N90" s="18">
        <v>0.24551727830348408</v>
      </c>
      <c r="O90" s="19">
        <v>5.8120324009337289E-3</v>
      </c>
      <c r="P90" s="49">
        <v>46.918550000000003</v>
      </c>
      <c r="Q90" s="49">
        <v>101.5297333</v>
      </c>
      <c r="R90" s="10">
        <v>2372</v>
      </c>
      <c r="S90" s="10">
        <v>5</v>
      </c>
      <c r="T90" s="10" t="s">
        <v>1103</v>
      </c>
      <c r="U90" s="10" t="s">
        <v>1118</v>
      </c>
    </row>
    <row r="91" spans="1:24" x14ac:dyDescent="0.2">
      <c r="A91" s="93" t="s">
        <v>1119</v>
      </c>
      <c r="B91" s="23" t="s">
        <v>1120</v>
      </c>
      <c r="C91" s="12" t="s">
        <v>917</v>
      </c>
      <c r="D91" s="12" t="s">
        <v>862</v>
      </c>
      <c r="E91" s="22">
        <v>0.50039888681961009</v>
      </c>
      <c r="F91" s="14">
        <v>535.06886792145031</v>
      </c>
      <c r="G91" s="13">
        <v>1.0437911424603773E-2</v>
      </c>
      <c r="H91" s="74">
        <v>364.98907691220364</v>
      </c>
      <c r="I91" s="14">
        <v>1698.7691292632032</v>
      </c>
      <c r="J91" s="64">
        <v>21.215830331873221</v>
      </c>
      <c r="K91" s="16">
        <v>0.31243297821633925</v>
      </c>
      <c r="L91" s="17">
        <v>91.98163900308532</v>
      </c>
      <c r="M91" s="17">
        <v>1.2635344657319041</v>
      </c>
      <c r="N91" s="18">
        <v>0.29331794929860805</v>
      </c>
      <c r="O91" s="19">
        <v>7.3882260236091393E-3</v>
      </c>
      <c r="P91" s="49">
        <v>46.918849999999999</v>
      </c>
      <c r="Q91" s="49">
        <v>101.51725</v>
      </c>
      <c r="R91" s="10">
        <v>2362</v>
      </c>
      <c r="S91" s="10">
        <v>15</v>
      </c>
      <c r="T91" s="10" t="s">
        <v>1103</v>
      </c>
      <c r="U91" s="10" t="s">
        <v>1121</v>
      </c>
    </row>
    <row r="92" spans="1:24" x14ac:dyDescent="0.2">
      <c r="A92" s="93" t="s">
        <v>1122</v>
      </c>
      <c r="B92" s="23" t="s">
        <v>1123</v>
      </c>
      <c r="C92" s="12" t="s">
        <v>917</v>
      </c>
      <c r="D92" s="12" t="s">
        <v>862</v>
      </c>
      <c r="E92" s="22">
        <v>0.23143072889561705</v>
      </c>
      <c r="F92" s="14">
        <v>467.24413828520733</v>
      </c>
      <c r="G92" s="13">
        <v>0</v>
      </c>
      <c r="H92" s="74">
        <v>888.97966111120513</v>
      </c>
      <c r="I92" s="14">
        <v>598.17951577299493</v>
      </c>
      <c r="J92" s="64">
        <v>3.0826568420557003</v>
      </c>
      <c r="K92" s="16">
        <v>5.5331117739978911E-2</v>
      </c>
      <c r="L92" s="17">
        <v>89.668347654210592</v>
      </c>
      <c r="M92" s="17">
        <v>3.0775070055558662</v>
      </c>
      <c r="N92" s="18">
        <v>0.81811888680021205</v>
      </c>
      <c r="O92" s="19">
        <v>2.0226125031679473E-2</v>
      </c>
      <c r="P92" s="49">
        <v>46.9176</v>
      </c>
      <c r="Q92" s="49">
        <v>101.536</v>
      </c>
      <c r="R92" s="10">
        <v>2288</v>
      </c>
      <c r="S92" s="10">
        <v>5</v>
      </c>
      <c r="T92" s="10" t="s">
        <v>1103</v>
      </c>
      <c r="U92" s="10" t="s">
        <v>1124</v>
      </c>
    </row>
    <row r="93" spans="1:24" x14ac:dyDescent="0.2">
      <c r="A93" s="93" t="s">
        <v>1125</v>
      </c>
      <c r="B93" s="23" t="s">
        <v>1126</v>
      </c>
      <c r="C93" s="12" t="s">
        <v>917</v>
      </c>
      <c r="D93" s="12" t="s">
        <v>862</v>
      </c>
      <c r="E93" s="22">
        <v>0.3600166096032224</v>
      </c>
      <c r="F93" s="14">
        <v>459.31552161177063</v>
      </c>
      <c r="G93" s="13">
        <v>0</v>
      </c>
      <c r="H93" s="74">
        <v>216.98396097547101</v>
      </c>
      <c r="I93" s="14">
        <v>143.03037545334155</v>
      </c>
      <c r="J93" s="64">
        <v>3.0199075880903519</v>
      </c>
      <c r="K93" s="16">
        <v>0.16559340141039039</v>
      </c>
      <c r="L93" s="17">
        <v>57.316284543676801</v>
      </c>
      <c r="M93" s="17">
        <v>0.75116415954958438</v>
      </c>
      <c r="N93" s="18">
        <v>0.20313509739894126</v>
      </c>
      <c r="O93" s="19">
        <v>5.2684691344121416E-3</v>
      </c>
      <c r="P93" s="49">
        <v>46.798283300000001</v>
      </c>
      <c r="Q93" s="49">
        <v>101.6876333</v>
      </c>
      <c r="R93" s="10">
        <v>1951</v>
      </c>
      <c r="S93" s="10">
        <v>12</v>
      </c>
      <c r="T93" s="10" t="s">
        <v>1127</v>
      </c>
      <c r="U93" s="10" t="s">
        <v>925</v>
      </c>
      <c r="V93" s="10">
        <v>30</v>
      </c>
    </row>
    <row r="94" spans="1:24" ht="18.75" x14ac:dyDescent="0.3">
      <c r="A94" s="93" t="s">
        <v>1128</v>
      </c>
      <c r="B94" s="23" t="s">
        <v>1129</v>
      </c>
      <c r="C94" s="12" t="s">
        <v>917</v>
      </c>
      <c r="D94" s="12" t="s">
        <v>862</v>
      </c>
      <c r="E94" s="22">
        <v>0.66772734093626573</v>
      </c>
      <c r="F94" s="14">
        <v>703.33253473750892</v>
      </c>
      <c r="G94" s="13">
        <v>0.99780335359210226</v>
      </c>
      <c r="H94" s="74">
        <v>631.34767110561768</v>
      </c>
      <c r="I94" s="14">
        <v>2994.0121761724095</v>
      </c>
      <c r="J94" s="64">
        <v>21.614369320773498</v>
      </c>
      <c r="K94" s="16">
        <v>0.30837483186187126</v>
      </c>
      <c r="L94" s="17">
        <v>93.806037067720055</v>
      </c>
      <c r="M94" s="17">
        <v>2.1856257974903959</v>
      </c>
      <c r="N94" s="18">
        <v>0.38599024667149034</v>
      </c>
      <c r="O94" s="19">
        <v>9.3056685793350847E-3</v>
      </c>
      <c r="P94" s="51">
        <v>46.821800000000003</v>
      </c>
      <c r="Q94" s="51">
        <v>101.69895</v>
      </c>
      <c r="R94" s="10">
        <v>1920</v>
      </c>
      <c r="S94" s="10">
        <v>2</v>
      </c>
      <c r="T94" s="10" t="s">
        <v>1130</v>
      </c>
      <c r="U94" s="10" t="s">
        <v>1094</v>
      </c>
    </row>
    <row r="95" spans="1:24" ht="18.75" x14ac:dyDescent="0.3">
      <c r="A95" s="93" t="s">
        <v>1131</v>
      </c>
      <c r="B95" s="23" t="s">
        <v>1132</v>
      </c>
      <c r="C95" s="12" t="s">
        <v>917</v>
      </c>
      <c r="D95" s="12" t="s">
        <v>862</v>
      </c>
      <c r="E95" s="22">
        <v>0.56474143434064672</v>
      </c>
      <c r="F95" s="14">
        <v>661.78005386996153</v>
      </c>
      <c r="G95" s="13">
        <v>0.44321180464443094</v>
      </c>
      <c r="H95" s="74">
        <v>484.73019466064869</v>
      </c>
      <c r="I95" s="14">
        <v>287.03401789656294</v>
      </c>
      <c r="J95" s="64">
        <v>2.713083489711634</v>
      </c>
      <c r="K95" s="16">
        <v>0.28330232301621727</v>
      </c>
      <c r="L95" s="17">
        <v>63.194605729499713</v>
      </c>
      <c r="M95" s="17">
        <v>1.6780592797904252</v>
      </c>
      <c r="N95" s="18">
        <v>0.31495960400316902</v>
      </c>
      <c r="O95" s="19">
        <v>6.3292043967210915E-3</v>
      </c>
      <c r="P95" s="51">
        <v>46.821800000000003</v>
      </c>
      <c r="Q95" s="51">
        <v>101.69895</v>
      </c>
      <c r="R95" s="10">
        <f>R94+2</f>
        <v>1922</v>
      </c>
      <c r="S95" s="10">
        <v>10</v>
      </c>
      <c r="T95" s="10" t="s">
        <v>1130</v>
      </c>
      <c r="U95" s="10" t="s">
        <v>1133</v>
      </c>
    </row>
    <row r="96" spans="1:24" ht="18.75" x14ac:dyDescent="0.3">
      <c r="A96" s="93" t="s">
        <v>1134</v>
      </c>
      <c r="B96" s="23" t="s">
        <v>1135</v>
      </c>
      <c r="C96" s="12" t="s">
        <v>917</v>
      </c>
      <c r="D96" s="12" t="s">
        <v>862</v>
      </c>
      <c r="E96" s="22">
        <v>0.19178720259949961</v>
      </c>
      <c r="F96" s="14">
        <v>813.26486597076803</v>
      </c>
      <c r="G96" s="13">
        <v>0.19766344773170305</v>
      </c>
      <c r="H96" s="74">
        <v>280.7129261437405</v>
      </c>
      <c r="I96" s="14">
        <v>200.64231295167082</v>
      </c>
      <c r="J96" s="64">
        <v>3.2743308580454227</v>
      </c>
      <c r="K96" s="16">
        <v>0.49969314384573804</v>
      </c>
      <c r="L96" s="17">
        <v>77.924144207255068</v>
      </c>
      <c r="M96" s="17">
        <v>0.97178375900928582</v>
      </c>
      <c r="N96" s="18">
        <v>0.14842219711252974</v>
      </c>
      <c r="O96" s="19">
        <v>2.9837147003897672E-3</v>
      </c>
      <c r="P96" s="51">
        <v>46.821800000000003</v>
      </c>
      <c r="Q96" s="51">
        <v>101.69895</v>
      </c>
      <c r="R96" s="10">
        <v>1932</v>
      </c>
      <c r="S96" s="10">
        <v>5</v>
      </c>
      <c r="T96" s="10" t="s">
        <v>1130</v>
      </c>
      <c r="U96" s="10" t="s">
        <v>1136</v>
      </c>
    </row>
    <row r="97" spans="1:22" ht="18.75" x14ac:dyDescent="0.3">
      <c r="A97" s="93" t="s">
        <v>1137</v>
      </c>
      <c r="B97" s="23" t="s">
        <v>1138</v>
      </c>
      <c r="C97" s="12" t="s">
        <v>917</v>
      </c>
      <c r="D97" s="12" t="s">
        <v>862</v>
      </c>
      <c r="E97" s="22">
        <v>1.9339925953555681</v>
      </c>
      <c r="F97" s="14">
        <v>565.34464416171591</v>
      </c>
      <c r="G97" s="13">
        <v>0.18510453454476872</v>
      </c>
      <c r="H97" s="74">
        <v>256.03856737472847</v>
      </c>
      <c r="I97" s="14">
        <v>139.46375624272738</v>
      </c>
      <c r="J97" s="64">
        <v>2.4958123431423909</v>
      </c>
      <c r="K97" s="16">
        <v>0.12943675472573607</v>
      </c>
      <c r="L97" s="17">
        <v>19.612055040247061</v>
      </c>
      <c r="M97" s="17">
        <v>0.88636503089764873</v>
      </c>
      <c r="N97" s="18">
        <v>0.19474241970467893</v>
      </c>
      <c r="O97" s="19">
        <v>4.819841843314872E-3</v>
      </c>
      <c r="P97" s="51">
        <v>46.821800000000003</v>
      </c>
      <c r="Q97" s="51">
        <v>101.69895</v>
      </c>
      <c r="R97" s="10">
        <f>R94+82</f>
        <v>2002</v>
      </c>
      <c r="S97" s="10">
        <v>2</v>
      </c>
      <c r="T97" s="10" t="s">
        <v>1130</v>
      </c>
      <c r="U97" s="10" t="s">
        <v>1097</v>
      </c>
      <c r="V97" s="10">
        <f>R97-R94+2</f>
        <v>84</v>
      </c>
    </row>
    <row r="98" spans="1:22" ht="18.75" x14ac:dyDescent="0.3">
      <c r="A98" s="93" t="s">
        <v>1139</v>
      </c>
      <c r="B98" s="23" t="s">
        <v>1140</v>
      </c>
      <c r="C98" s="12" t="s">
        <v>917</v>
      </c>
      <c r="D98" s="12" t="s">
        <v>862</v>
      </c>
      <c r="E98" s="22">
        <v>0.30057111105791018</v>
      </c>
      <c r="F98" s="14">
        <v>488.25120419281194</v>
      </c>
      <c r="G98" s="13">
        <v>0</v>
      </c>
      <c r="H98" s="74">
        <v>221.71262214202878</v>
      </c>
      <c r="I98" s="14">
        <v>141.97907173763892</v>
      </c>
      <c r="J98" s="64">
        <v>2.9338456317349579</v>
      </c>
      <c r="K98" s="16">
        <v>0.15224103386128249</v>
      </c>
      <c r="L98" s="17">
        <v>61.481157719271181</v>
      </c>
      <c r="M98" s="17">
        <v>0.7675340367285417</v>
      </c>
      <c r="N98" s="18">
        <v>0.19526101871819185</v>
      </c>
      <c r="O98" s="19">
        <v>5.0376441672229117E-3</v>
      </c>
      <c r="P98" s="51">
        <v>46.821800000000003</v>
      </c>
      <c r="Q98" s="51">
        <v>101.69895</v>
      </c>
      <c r="R98" s="10">
        <f>R95+55</f>
        <v>1977</v>
      </c>
      <c r="S98" s="10">
        <v>12</v>
      </c>
      <c r="T98" s="10" t="s">
        <v>1130</v>
      </c>
      <c r="U98" s="10" t="s">
        <v>1086</v>
      </c>
    </row>
    <row r="99" spans="1:22" ht="18.75" x14ac:dyDescent="0.3">
      <c r="A99" s="93" t="s">
        <v>1141</v>
      </c>
      <c r="B99" s="23" t="s">
        <v>1142</v>
      </c>
      <c r="C99" s="12" t="s">
        <v>917</v>
      </c>
      <c r="D99" s="12" t="s">
        <v>862</v>
      </c>
      <c r="E99" s="22">
        <v>1.740810438439208</v>
      </c>
      <c r="F99" s="14">
        <v>736.71760101238931</v>
      </c>
      <c r="G99" s="13">
        <v>0</v>
      </c>
      <c r="H99" s="74">
        <v>884.86527582107954</v>
      </c>
      <c r="I99" s="14">
        <v>3093.0470112018775</v>
      </c>
      <c r="J99" s="64">
        <v>15.956862582269899</v>
      </c>
      <c r="K99" s="16">
        <v>0.22837902407091717</v>
      </c>
      <c r="L99" s="17">
        <v>85.727751575793434</v>
      </c>
      <c r="M99" s="17">
        <v>3.0632636543209348</v>
      </c>
      <c r="N99" s="18">
        <v>0.51646936096028673</v>
      </c>
      <c r="O99" s="19">
        <v>1.2047872108249131E-2</v>
      </c>
      <c r="P99" s="51">
        <v>45.769666700000002</v>
      </c>
      <c r="Q99" s="51">
        <v>100.9152</v>
      </c>
      <c r="R99" s="10">
        <v>1896</v>
      </c>
      <c r="S99" s="10">
        <v>4</v>
      </c>
      <c r="T99" s="10" t="s">
        <v>1143</v>
      </c>
      <c r="U99" s="10" t="s">
        <v>1104</v>
      </c>
    </row>
    <row r="100" spans="1:22" ht="18.75" x14ac:dyDescent="0.3">
      <c r="A100" s="93" t="s">
        <v>1144</v>
      </c>
      <c r="B100" s="23" t="s">
        <v>1145</v>
      </c>
      <c r="C100" s="12" t="s">
        <v>917</v>
      </c>
      <c r="D100" s="12" t="s">
        <v>862</v>
      </c>
      <c r="E100" s="22">
        <v>1.1918753627017529</v>
      </c>
      <c r="F100" s="14">
        <v>690.11914494567156</v>
      </c>
      <c r="G100" s="13">
        <v>4.677663099032292E-2</v>
      </c>
      <c r="H100" s="74">
        <v>373.8546734283276</v>
      </c>
      <c r="I100" s="14">
        <v>1284.1208704865264</v>
      </c>
      <c r="J100" s="64">
        <v>15.681023270790206</v>
      </c>
      <c r="K100" s="16">
        <v>0.23807808929079838</v>
      </c>
      <c r="L100" s="17">
        <v>78.465374846453287</v>
      </c>
      <c r="M100" s="17">
        <v>1.2942257588855615</v>
      </c>
      <c r="N100" s="18">
        <v>0.23294167500140314</v>
      </c>
      <c r="O100" s="19">
        <v>5.492046752476199E-3</v>
      </c>
      <c r="P100" s="51">
        <v>45.769666700000002</v>
      </c>
      <c r="Q100" s="51">
        <v>100.9152</v>
      </c>
      <c r="R100" s="10">
        <v>1900</v>
      </c>
      <c r="S100" s="10">
        <v>9</v>
      </c>
      <c r="T100" s="10" t="s">
        <v>1146</v>
      </c>
      <c r="U100" s="10" t="s">
        <v>1107</v>
      </c>
      <c r="V100" s="10">
        <v>40</v>
      </c>
    </row>
    <row r="101" spans="1:22" ht="18.75" x14ac:dyDescent="0.3">
      <c r="A101" s="93" t="s">
        <v>1147</v>
      </c>
      <c r="B101" s="23" t="s">
        <v>1148</v>
      </c>
      <c r="C101" s="12" t="s">
        <v>917</v>
      </c>
      <c r="D101" s="12" t="s">
        <v>862</v>
      </c>
      <c r="E101" s="22">
        <v>0.33090921846474192</v>
      </c>
      <c r="F101" s="14">
        <v>481.07400135813378</v>
      </c>
      <c r="G101" s="13">
        <v>0</v>
      </c>
      <c r="H101" s="74">
        <v>755.52514706073646</v>
      </c>
      <c r="I101" s="14">
        <v>4631.5605943853616</v>
      </c>
      <c r="J101" s="64">
        <v>27.892050969347473</v>
      </c>
      <c r="K101" s="16">
        <v>0.39374237506571869</v>
      </c>
      <c r="L101" s="17">
        <v>97.923004616697838</v>
      </c>
      <c r="M101" s="17">
        <v>2.6155085821048778</v>
      </c>
      <c r="N101" s="18">
        <v>0.6753135948293828</v>
      </c>
      <c r="O101" s="19">
        <v>1.7676434265602951E-2</v>
      </c>
      <c r="P101" s="51">
        <v>45.505883300000001</v>
      </c>
      <c r="Q101" s="51">
        <v>101.10355</v>
      </c>
      <c r="R101" s="10">
        <v>1578</v>
      </c>
      <c r="S101" s="10">
        <v>3</v>
      </c>
      <c r="T101" s="10" t="s">
        <v>1149</v>
      </c>
      <c r="U101" s="10" t="s">
        <v>922</v>
      </c>
    </row>
    <row r="102" spans="1:22" ht="18.75" x14ac:dyDescent="0.3">
      <c r="A102" s="93" t="s">
        <v>1150</v>
      </c>
      <c r="B102" s="23" t="s">
        <v>1151</v>
      </c>
      <c r="C102" s="12" t="s">
        <v>917</v>
      </c>
      <c r="D102" s="12" t="s">
        <v>862</v>
      </c>
      <c r="E102" s="22">
        <v>0.70622044077102453</v>
      </c>
      <c r="F102" s="14">
        <v>674.29794121183352</v>
      </c>
      <c r="G102" s="13">
        <v>0</v>
      </c>
      <c r="H102" s="74">
        <v>472.4019432657949</v>
      </c>
      <c r="I102" s="14">
        <v>2906.1209691794661</v>
      </c>
      <c r="J102" s="64">
        <v>27.989318640685518</v>
      </c>
      <c r="K102" s="16">
        <v>0.39937523866159064</v>
      </c>
      <c r="L102" s="17">
        <v>93.291624757200282</v>
      </c>
      <c r="M102" s="17">
        <v>1.6353808230229308</v>
      </c>
      <c r="N102" s="18">
        <v>0.30125086136141233</v>
      </c>
      <c r="O102" s="19">
        <v>7.1792424497346408E-3</v>
      </c>
      <c r="P102" s="51">
        <v>45.506916699999998</v>
      </c>
      <c r="Q102" s="51">
        <v>101.0909333</v>
      </c>
      <c r="R102" s="10">
        <v>1542</v>
      </c>
      <c r="S102" s="10">
        <v>5</v>
      </c>
      <c r="T102" s="10" t="s">
        <v>1149</v>
      </c>
      <c r="U102" s="10" t="s">
        <v>925</v>
      </c>
      <c r="V102" s="10">
        <f>R101-R102+2</f>
        <v>38</v>
      </c>
    </row>
    <row r="103" spans="1:22" ht="18.75" x14ac:dyDescent="0.3">
      <c r="A103" s="93" t="s">
        <v>1152</v>
      </c>
      <c r="B103" s="23" t="s">
        <v>1153</v>
      </c>
      <c r="C103" s="12" t="s">
        <v>917</v>
      </c>
      <c r="D103" s="12" t="s">
        <v>862</v>
      </c>
      <c r="E103" s="22">
        <v>0.44073469933558129</v>
      </c>
      <c r="F103" s="14">
        <v>517.32094797226296</v>
      </c>
      <c r="G103" s="13">
        <v>0.55114516109749567</v>
      </c>
      <c r="H103" s="74">
        <v>487.61955992284237</v>
      </c>
      <c r="I103" s="14">
        <v>1680.1336113409016</v>
      </c>
      <c r="J103" s="64">
        <v>15.729978298146399</v>
      </c>
      <c r="K103" s="16">
        <v>0.2319061761924035</v>
      </c>
      <c r="L103" s="17">
        <v>92.791029432062444</v>
      </c>
      <c r="M103" s="17">
        <v>1.6880618054105232</v>
      </c>
      <c r="N103" s="18">
        <v>0.40531204388434</v>
      </c>
      <c r="O103" s="19">
        <v>1.0067956042912234E-2</v>
      </c>
      <c r="P103" s="51">
        <v>45.7220333</v>
      </c>
      <c r="Q103" s="51">
        <v>101.0643</v>
      </c>
      <c r="R103" s="10">
        <v>1895</v>
      </c>
      <c r="S103" s="10">
        <v>2</v>
      </c>
      <c r="T103" s="10" t="s">
        <v>1154</v>
      </c>
      <c r="U103" s="10" t="s">
        <v>995</v>
      </c>
      <c r="V103" s="10">
        <f>1936-R103</f>
        <v>41</v>
      </c>
    </row>
    <row r="104" spans="1:22" ht="18.75" x14ac:dyDescent="0.3">
      <c r="A104" s="93" t="s">
        <v>1155</v>
      </c>
      <c r="B104" s="23" t="s">
        <v>1156</v>
      </c>
      <c r="C104" s="12" t="s">
        <v>917</v>
      </c>
      <c r="D104" s="12" t="s">
        <v>862</v>
      </c>
      <c r="E104" s="22">
        <v>0.84066328362800591</v>
      </c>
      <c r="F104" s="14">
        <v>838.7845858619462</v>
      </c>
      <c r="G104" s="13">
        <v>0</v>
      </c>
      <c r="H104" s="74">
        <v>836.81508294927073</v>
      </c>
      <c r="I104" s="14">
        <v>3006.5133452130181</v>
      </c>
      <c r="J104" s="64">
        <v>16.399046421065201</v>
      </c>
      <c r="K104" s="16">
        <v>0.27831610821223179</v>
      </c>
      <c r="L104" s="17">
        <v>92.353589766614817</v>
      </c>
      <c r="M104" s="17">
        <v>2.8969214851463758</v>
      </c>
      <c r="N104" s="18">
        <v>0.42899034118327267</v>
      </c>
      <c r="O104" s="19">
        <v>8.6183081195670974E-3</v>
      </c>
      <c r="P104" s="51">
        <v>47.129016700000001</v>
      </c>
      <c r="Q104" s="51">
        <v>100.94796669999999</v>
      </c>
      <c r="R104" s="10">
        <v>2605</v>
      </c>
      <c r="S104" s="10">
        <v>15</v>
      </c>
      <c r="T104" s="10" t="s">
        <v>1157</v>
      </c>
      <c r="U104" s="10" t="s">
        <v>1158</v>
      </c>
      <c r="V104" s="10">
        <f>R104-2429+15</f>
        <v>191</v>
      </c>
    </row>
    <row r="105" spans="1:22" ht="18.75" x14ac:dyDescent="0.3">
      <c r="A105" s="93" t="s">
        <v>1159</v>
      </c>
      <c r="B105" s="23" t="s">
        <v>1160</v>
      </c>
      <c r="C105" s="12" t="s">
        <v>917</v>
      </c>
      <c r="D105" s="12" t="s">
        <v>862</v>
      </c>
      <c r="E105" s="22">
        <v>1.7735927709660086</v>
      </c>
      <c r="F105" s="14">
        <v>681.8085071373107</v>
      </c>
      <c r="G105" s="13">
        <v>0.39573513659306098</v>
      </c>
      <c r="H105" s="74">
        <v>665.69600479305086</v>
      </c>
      <c r="I105" s="14">
        <v>2466.7622355579992</v>
      </c>
      <c r="J105" s="64">
        <v>16.911210775802111</v>
      </c>
      <c r="K105" s="16">
        <v>0.24323513008106179</v>
      </c>
      <c r="L105" s="17">
        <v>82.46556350263856</v>
      </c>
      <c r="M105" s="17">
        <v>2.3045342969493308</v>
      </c>
      <c r="N105" s="18">
        <v>0.4198382376642355</v>
      </c>
      <c r="O105" s="19">
        <v>9.8990757707312169E-3</v>
      </c>
      <c r="P105" s="51">
        <v>47.132033300000003</v>
      </c>
      <c r="Q105" s="51">
        <v>100.9496333</v>
      </c>
      <c r="R105" s="10">
        <v>2600</v>
      </c>
      <c r="S105" s="10">
        <v>5</v>
      </c>
      <c r="T105" s="10" t="s">
        <v>1157</v>
      </c>
      <c r="U105" s="10" t="s">
        <v>1161</v>
      </c>
    </row>
    <row r="106" spans="1:22" ht="18.75" x14ac:dyDescent="0.3">
      <c r="A106" s="93" t="s">
        <v>1162</v>
      </c>
      <c r="B106" s="23" t="s">
        <v>1163</v>
      </c>
      <c r="C106" s="12" t="s">
        <v>917</v>
      </c>
      <c r="D106" s="12" t="s">
        <v>862</v>
      </c>
      <c r="E106" s="22">
        <v>4.7428198256023926</v>
      </c>
      <c r="F106" s="14">
        <v>622.64869706323282</v>
      </c>
      <c r="G106" s="13">
        <v>7.2119574796835326E-2</v>
      </c>
      <c r="H106" s="74">
        <v>446.27253520721888</v>
      </c>
      <c r="I106" s="14">
        <v>1611.1559911257157</v>
      </c>
      <c r="J106" s="64">
        <v>16.478317094011906</v>
      </c>
      <c r="K106" s="16">
        <v>0.24318689959267761</v>
      </c>
      <c r="L106" s="17">
        <v>53.474712695498937</v>
      </c>
      <c r="M106" s="17">
        <v>1.5449249443689912</v>
      </c>
      <c r="N106" s="18">
        <v>0.30819495976495409</v>
      </c>
      <c r="O106" s="19">
        <v>7.1630751010978641E-3</v>
      </c>
      <c r="P106" s="51">
        <v>47.132033300000003</v>
      </c>
      <c r="Q106" s="51">
        <v>100.9496333</v>
      </c>
      <c r="R106" s="10">
        <v>2590</v>
      </c>
      <c r="S106" s="10">
        <v>6</v>
      </c>
      <c r="T106" s="10" t="s">
        <v>1157</v>
      </c>
      <c r="U106" s="10" t="s">
        <v>1164</v>
      </c>
    </row>
    <row r="107" spans="1:22" ht="18.75" x14ac:dyDescent="0.3">
      <c r="A107" s="93" t="s">
        <v>1165</v>
      </c>
      <c r="B107" s="23" t="s">
        <v>1166</v>
      </c>
      <c r="C107" s="12" t="s">
        <v>917</v>
      </c>
      <c r="D107" s="12" t="s">
        <v>862</v>
      </c>
      <c r="E107" s="22">
        <v>1.4448788126136691</v>
      </c>
      <c r="F107" s="14">
        <v>621.73817788404779</v>
      </c>
      <c r="G107" s="13">
        <v>1.8073254050745297E-2</v>
      </c>
      <c r="H107" s="74">
        <v>585.54800831154819</v>
      </c>
      <c r="I107" s="14">
        <v>2114.9774460006233</v>
      </c>
      <c r="J107" s="64">
        <v>16.486092129993562</v>
      </c>
      <c r="K107" s="16">
        <v>0.23978770627340759</v>
      </c>
      <c r="L107" s="17">
        <v>83.191638421039372</v>
      </c>
      <c r="M107" s="17">
        <v>2.0270746075512891</v>
      </c>
      <c r="N107" s="18">
        <v>0.40497053668292338</v>
      </c>
      <c r="O107" s="19">
        <v>9.5194028765899323E-3</v>
      </c>
      <c r="P107" s="51">
        <v>47.135516699999997</v>
      </c>
      <c r="Q107" s="51">
        <v>100.9491</v>
      </c>
      <c r="R107" s="10">
        <v>2555</v>
      </c>
      <c r="S107" s="10">
        <v>5</v>
      </c>
      <c r="T107" s="10" t="s">
        <v>1157</v>
      </c>
      <c r="U107" s="10" t="s">
        <v>1167</v>
      </c>
    </row>
    <row r="108" spans="1:22" ht="18.75" x14ac:dyDescent="0.3">
      <c r="A108" s="93" t="s">
        <v>1168</v>
      </c>
      <c r="B108" s="23" t="s">
        <v>1169</v>
      </c>
      <c r="C108" s="12" t="s">
        <v>917</v>
      </c>
      <c r="D108" s="12" t="s">
        <v>862</v>
      </c>
      <c r="E108" s="22">
        <v>3.0922678200498286</v>
      </c>
      <c r="F108" s="14">
        <v>522.18463489714247</v>
      </c>
      <c r="G108" s="13">
        <v>0.50555217573354827</v>
      </c>
      <c r="H108" s="74">
        <v>432.50909677206255</v>
      </c>
      <c r="I108" s="14">
        <v>1567.647863528869</v>
      </c>
      <c r="J108" s="64">
        <v>16.543251967705491</v>
      </c>
      <c r="K108" s="16">
        <v>0.36655773513532752</v>
      </c>
      <c r="L108" s="17">
        <v>63.168905721348487</v>
      </c>
      <c r="M108" s="17">
        <v>1.4972780970251665</v>
      </c>
      <c r="N108" s="18">
        <v>0.35615546529556574</v>
      </c>
      <c r="O108" s="19">
        <v>7.1567098795841605E-3</v>
      </c>
      <c r="P108" s="51">
        <v>47.143633299999998</v>
      </c>
      <c r="Q108" s="51">
        <v>100.9546833</v>
      </c>
      <c r="R108" s="10">
        <v>2485</v>
      </c>
      <c r="S108" s="10">
        <v>4</v>
      </c>
      <c r="T108" s="10" t="s">
        <v>1157</v>
      </c>
      <c r="U108" s="10" t="s">
        <v>1170</v>
      </c>
    </row>
    <row r="109" spans="1:22" ht="18.75" x14ac:dyDescent="0.3">
      <c r="A109" s="93" t="s">
        <v>1171</v>
      </c>
      <c r="B109" s="23" t="s">
        <v>1172</v>
      </c>
      <c r="C109" s="12" t="s">
        <v>917</v>
      </c>
      <c r="D109" s="12" t="s">
        <v>862</v>
      </c>
      <c r="E109" s="22">
        <v>2.1534652052419467</v>
      </c>
      <c r="F109" s="14">
        <v>658.67389802117293</v>
      </c>
      <c r="G109" s="13">
        <v>8.9247893089587527E-2</v>
      </c>
      <c r="H109" s="74">
        <v>686.3700002867273</v>
      </c>
      <c r="I109" s="14">
        <v>2854.5161727257196</v>
      </c>
      <c r="J109" s="64">
        <v>18.969244423269583</v>
      </c>
      <c r="K109" s="16">
        <v>0.32024796968645336</v>
      </c>
      <c r="L109" s="17">
        <v>81.761226286219824</v>
      </c>
      <c r="M109" s="17">
        <v>2.3761044000100586</v>
      </c>
      <c r="N109" s="18">
        <v>0.44808075894606886</v>
      </c>
      <c r="O109" s="19">
        <v>9.0031620680998403E-3</v>
      </c>
      <c r="P109" s="51">
        <v>47.141366699999999</v>
      </c>
      <c r="Q109" s="51">
        <v>100.95941670000001</v>
      </c>
      <c r="R109" s="10">
        <v>2438</v>
      </c>
      <c r="S109" s="10">
        <v>1</v>
      </c>
      <c r="T109" s="10" t="s">
        <v>1157</v>
      </c>
      <c r="U109" s="10" t="s">
        <v>1173</v>
      </c>
    </row>
    <row r="110" spans="1:22" ht="18.75" x14ac:dyDescent="0.3">
      <c r="A110" s="94" t="s">
        <v>1174</v>
      </c>
      <c r="B110" s="21" t="s">
        <v>1175</v>
      </c>
      <c r="C110" s="21" t="s">
        <v>870</v>
      </c>
      <c r="D110" s="12" t="s">
        <v>862</v>
      </c>
      <c r="E110" s="13">
        <v>1.0347450255472501</v>
      </c>
      <c r="F110" s="14">
        <v>305.34156538676058</v>
      </c>
      <c r="G110" s="22">
        <v>0.97343951331229195</v>
      </c>
      <c r="H110" s="74">
        <v>148.72876642220166</v>
      </c>
      <c r="I110" s="14">
        <v>745.77237832380581</v>
      </c>
      <c r="J110" s="64">
        <v>12.063839086324789</v>
      </c>
      <c r="K110" s="16">
        <v>0.20276325819795235</v>
      </c>
      <c r="L110" s="17">
        <v>70.457112321976737</v>
      </c>
      <c r="M110" s="17">
        <v>1.1971200326261944</v>
      </c>
      <c r="N110" s="18">
        <v>0.20944862020517988</v>
      </c>
      <c r="O110" s="19">
        <v>4.1998464628063142E-3</v>
      </c>
      <c r="P110" s="51">
        <v>47.2331833</v>
      </c>
      <c r="Q110" s="51">
        <v>100.0963167</v>
      </c>
    </row>
    <row r="111" spans="1:22" ht="18.75" x14ac:dyDescent="0.3">
      <c r="A111" s="94" t="s">
        <v>1176</v>
      </c>
      <c r="B111" s="21" t="s">
        <v>1177</v>
      </c>
      <c r="C111" s="21" t="s">
        <v>870</v>
      </c>
      <c r="D111" s="12" t="s">
        <v>862</v>
      </c>
      <c r="E111" s="13">
        <v>0.56019479972606989</v>
      </c>
      <c r="F111" s="14">
        <v>206.50577588195245</v>
      </c>
      <c r="G111" s="22">
        <v>0.4841662070926207</v>
      </c>
      <c r="H111" s="74">
        <v>69.305201765004668</v>
      </c>
      <c r="I111" s="14">
        <v>328.47840078020647</v>
      </c>
      <c r="J111" s="64">
        <v>11.404976818241597</v>
      </c>
      <c r="K111" s="16">
        <v>0.27366894997452235</v>
      </c>
      <c r="L111" s="17">
        <v>66.059051473909648</v>
      </c>
      <c r="M111" s="17">
        <v>0.55783859030046001</v>
      </c>
      <c r="N111" s="18">
        <v>0.14431188005117918</v>
      </c>
      <c r="O111" s="19">
        <v>2.8947522942130203E-3</v>
      </c>
      <c r="P111" s="51">
        <v>47.233666700000001</v>
      </c>
      <c r="Q111" s="51">
        <v>100.0971833</v>
      </c>
    </row>
    <row r="112" spans="1:22" ht="18.75" x14ac:dyDescent="0.3">
      <c r="A112" s="94" t="s">
        <v>1178</v>
      </c>
      <c r="B112" s="21" t="s">
        <v>1179</v>
      </c>
      <c r="C112" s="21" t="s">
        <v>870</v>
      </c>
      <c r="D112" s="12" t="s">
        <v>862</v>
      </c>
      <c r="E112" s="13">
        <v>0.18426214308711736</v>
      </c>
      <c r="F112" s="14">
        <v>388.00928668068764</v>
      </c>
      <c r="G112" s="22">
        <v>3.1983778057987235</v>
      </c>
      <c r="H112" s="74">
        <v>113.86908867288128</v>
      </c>
      <c r="I112" s="14">
        <v>201.35261071901351</v>
      </c>
      <c r="J112" s="64">
        <v>4.263468284290691</v>
      </c>
      <c r="K112" s="16">
        <v>0.16587223343701096</v>
      </c>
      <c r="L112" s="17">
        <v>77.111398000939133</v>
      </c>
      <c r="M112" s="17">
        <v>0.91653397272342385</v>
      </c>
      <c r="N112" s="18">
        <v>0.12619210366898678</v>
      </c>
      <c r="O112" s="19">
        <v>2.5309954259827442E-3</v>
      </c>
      <c r="P112" s="51">
        <v>47.206066700000001</v>
      </c>
      <c r="Q112" s="51">
        <v>99.881866700000003</v>
      </c>
    </row>
    <row r="113" spans="1:26" ht="18.75" x14ac:dyDescent="0.3">
      <c r="A113" s="94" t="s">
        <v>1180</v>
      </c>
      <c r="B113" s="21" t="s">
        <v>1181</v>
      </c>
      <c r="C113" s="21" t="s">
        <v>870</v>
      </c>
      <c r="D113" s="12" t="s">
        <v>862</v>
      </c>
      <c r="E113" s="13">
        <v>0.26789097925076388</v>
      </c>
      <c r="F113" s="14">
        <v>262.6681702187974</v>
      </c>
      <c r="G113" s="22">
        <v>2.1105312638173332</v>
      </c>
      <c r="H113" s="74">
        <v>77.962875753655766</v>
      </c>
      <c r="I113" s="14">
        <v>137.45949386087369</v>
      </c>
      <c r="J113" s="64">
        <v>4.2510870106380088</v>
      </c>
      <c r="K113" s="16">
        <v>0.21249057614889338</v>
      </c>
      <c r="L113" s="17">
        <v>62.407132311079259</v>
      </c>
      <c r="M113" s="17">
        <v>0.62752433581615619</v>
      </c>
      <c r="N113" s="18">
        <v>0.12762885029483062</v>
      </c>
      <c r="O113" s="19">
        <v>2.560153609192557E-3</v>
      </c>
      <c r="P113" s="51">
        <v>47.204300000000003</v>
      </c>
      <c r="Q113" s="51">
        <v>99.882066699999996</v>
      </c>
    </row>
    <row r="114" spans="1:26" ht="18.75" x14ac:dyDescent="0.3">
      <c r="A114" s="94" t="s">
        <v>1182</v>
      </c>
      <c r="B114" s="21" t="s">
        <v>1183</v>
      </c>
      <c r="C114" s="21" t="s">
        <v>870</v>
      </c>
      <c r="D114" s="12" t="s">
        <v>862</v>
      </c>
      <c r="E114" s="13">
        <v>0.47612403046753798</v>
      </c>
      <c r="F114" s="14">
        <v>482.54868505662125</v>
      </c>
      <c r="G114" s="22">
        <v>2.6441862672764436</v>
      </c>
      <c r="H114" s="74">
        <v>220.69867543245897</v>
      </c>
      <c r="I114" s="14">
        <v>890.97906472728289</v>
      </c>
      <c r="J114" s="64">
        <v>9.7190505956420861</v>
      </c>
      <c r="K114" s="16">
        <v>0.15943399931577962</v>
      </c>
      <c r="L114" s="17">
        <v>85.508046400492262</v>
      </c>
      <c r="M114" s="17">
        <v>1.7764068908112989</v>
      </c>
      <c r="N114" s="18">
        <v>0.19666498609321034</v>
      </c>
      <c r="O114" s="19">
        <v>3.943872192906552E-3</v>
      </c>
      <c r="P114" s="51">
        <v>47.332333300000002</v>
      </c>
      <c r="Q114" s="51">
        <v>100.1070833</v>
      </c>
      <c r="R114" s="10">
        <f>2240+80</f>
        <v>2320</v>
      </c>
      <c r="S114" s="10">
        <v>8</v>
      </c>
      <c r="T114" s="10" t="s">
        <v>1033</v>
      </c>
      <c r="U114" s="10" t="s">
        <v>1184</v>
      </c>
    </row>
    <row r="115" spans="1:26" ht="18.75" x14ac:dyDescent="0.3">
      <c r="A115" s="94" t="s">
        <v>1185</v>
      </c>
      <c r="B115" s="21" t="s">
        <v>1186</v>
      </c>
      <c r="C115" s="21" t="s">
        <v>870</v>
      </c>
      <c r="D115" s="12" t="s">
        <v>862</v>
      </c>
      <c r="E115" s="13">
        <v>0.32166446142643668</v>
      </c>
      <c r="F115" s="14">
        <v>272.03738543298056</v>
      </c>
      <c r="G115" s="22">
        <v>1.231886469974782</v>
      </c>
      <c r="H115" s="74">
        <v>190.95150556345783</v>
      </c>
      <c r="I115" s="14">
        <v>703.81943928863109</v>
      </c>
      <c r="J115" s="64">
        <v>8.8755569949400268</v>
      </c>
      <c r="K115" s="16">
        <v>0.1518697504113479</v>
      </c>
      <c r="L115" s="17">
        <v>87.128793223795924</v>
      </c>
      <c r="M115" s="17">
        <v>1.5369714821760549</v>
      </c>
      <c r="N115" s="18">
        <v>0.30183037990017508</v>
      </c>
      <c r="O115" s="19">
        <v>6.0540023006265863E-3</v>
      </c>
      <c r="P115" s="51">
        <v>47.331383299999999</v>
      </c>
      <c r="Q115" s="51">
        <v>100.1069167</v>
      </c>
      <c r="R115" s="10">
        <f>2240+60</f>
        <v>2300</v>
      </c>
      <c r="S115" s="10">
        <v>8</v>
      </c>
      <c r="T115" s="10" t="s">
        <v>1033</v>
      </c>
      <c r="U115" s="10" t="s">
        <v>1187</v>
      </c>
    </row>
    <row r="116" spans="1:26" ht="18.75" x14ac:dyDescent="0.3">
      <c r="A116" s="93" t="s">
        <v>1188</v>
      </c>
      <c r="B116" s="23" t="s">
        <v>1189</v>
      </c>
      <c r="C116" s="12" t="s">
        <v>1190</v>
      </c>
      <c r="D116" s="12" t="s">
        <v>881</v>
      </c>
      <c r="E116" s="13">
        <v>52.683807857101336</v>
      </c>
      <c r="F116" s="25">
        <v>1927.3320897436815</v>
      </c>
      <c r="G116" s="24">
        <v>7.1044044313545411</v>
      </c>
      <c r="H116" s="76">
        <v>1504.8866395472419</v>
      </c>
      <c r="I116" s="25">
        <v>6690.7042109205131</v>
      </c>
      <c r="J116" s="26">
        <v>9.9856857844928797</v>
      </c>
      <c r="K116" s="27">
        <v>0.43388958741038602</v>
      </c>
      <c r="L116" s="17" t="s">
        <v>829</v>
      </c>
      <c r="M116" s="17"/>
      <c r="N116" s="28">
        <v>2.4546260543851901E-2</v>
      </c>
      <c r="O116" s="29">
        <v>3.1982393526015802E-3</v>
      </c>
      <c r="P116" s="51">
        <v>47.331883300000001</v>
      </c>
      <c r="Q116" s="51">
        <v>100.10643330000001</v>
      </c>
      <c r="Z116" s="17" t="s">
        <v>829</v>
      </c>
    </row>
    <row r="117" spans="1:26" ht="18.75" x14ac:dyDescent="0.3">
      <c r="A117" s="93" t="s">
        <v>1191</v>
      </c>
      <c r="B117" s="23" t="s">
        <v>1192</v>
      </c>
      <c r="C117" s="12" t="s">
        <v>1190</v>
      </c>
      <c r="D117" s="12" t="s">
        <v>881</v>
      </c>
      <c r="E117" s="13">
        <v>61.778075956895321</v>
      </c>
      <c r="F117" s="25">
        <v>2307.9749416090731</v>
      </c>
      <c r="G117" s="24">
        <v>8.4472228542456929</v>
      </c>
      <c r="H117" s="76">
        <v>1714.1062008894887</v>
      </c>
      <c r="I117" s="25">
        <v>7881.8196996743181</v>
      </c>
      <c r="J117" s="26">
        <v>10.480499893795001</v>
      </c>
      <c r="K117" s="27">
        <v>0.84982386874248905</v>
      </c>
      <c r="L117" s="17" t="s">
        <v>829</v>
      </c>
      <c r="M117" s="20"/>
      <c r="N117" s="28">
        <v>7.8609420447192692E-3</v>
      </c>
      <c r="O117" s="29">
        <v>3.1958916735082801E-3</v>
      </c>
      <c r="P117" s="51">
        <v>47.3322833</v>
      </c>
      <c r="Q117" s="51">
        <v>100.10595000000001</v>
      </c>
      <c r="Z117" s="17" t="s">
        <v>829</v>
      </c>
    </row>
    <row r="118" spans="1:26" ht="18.75" x14ac:dyDescent="0.3">
      <c r="A118" s="93" t="s">
        <v>1193</v>
      </c>
      <c r="B118" s="23" t="s">
        <v>1194</v>
      </c>
      <c r="C118" s="12" t="s">
        <v>112</v>
      </c>
      <c r="D118" s="12" t="s">
        <v>862</v>
      </c>
      <c r="E118" s="13">
        <v>0.23472615575037073</v>
      </c>
      <c r="F118" s="14">
        <v>424.69687735905995</v>
      </c>
      <c r="G118" s="22">
        <v>2.1804453989336685</v>
      </c>
      <c r="H118" s="74">
        <v>336.45409426403324</v>
      </c>
      <c r="I118" s="14">
        <v>853.68138904107354</v>
      </c>
      <c r="J118" s="64">
        <v>7.9714260785992179</v>
      </c>
      <c r="K118" s="16">
        <v>0.12846297731957171</v>
      </c>
      <c r="L118" s="17">
        <v>91.424096700918852</v>
      </c>
      <c r="M118" s="17">
        <v>3.2622020758472625</v>
      </c>
      <c r="N118" s="18">
        <v>0.34065534324901242</v>
      </c>
      <c r="O118" s="19">
        <v>6.8371700505218246E-3</v>
      </c>
      <c r="P118" s="51">
        <v>47.269583300000001</v>
      </c>
      <c r="Q118" s="51">
        <v>100.0152667</v>
      </c>
      <c r="R118" s="10">
        <v>2469</v>
      </c>
      <c r="S118" s="10">
        <v>9</v>
      </c>
      <c r="T118" s="10" t="s">
        <v>1048</v>
      </c>
      <c r="U118" s="10" t="s">
        <v>1187</v>
      </c>
    </row>
    <row r="119" spans="1:26" ht="18.75" x14ac:dyDescent="0.3">
      <c r="A119" s="94" t="s">
        <v>1195</v>
      </c>
      <c r="B119" s="21" t="s">
        <v>1196</v>
      </c>
      <c r="C119" s="21" t="s">
        <v>870</v>
      </c>
      <c r="D119" s="12" t="s">
        <v>862</v>
      </c>
      <c r="E119" s="13">
        <v>0.22626536019168031</v>
      </c>
      <c r="F119" s="14">
        <v>398.64006053590816</v>
      </c>
      <c r="G119" s="22">
        <v>1.2440588187019401</v>
      </c>
      <c r="H119" s="74">
        <v>229.60405530039185</v>
      </c>
      <c r="I119" s="14">
        <v>836.3380176398648</v>
      </c>
      <c r="J119" s="64">
        <v>8.7714671389872585</v>
      </c>
      <c r="K119" s="16">
        <v>0.1433653487293525</v>
      </c>
      <c r="L119" s="17">
        <v>91.511233081651625</v>
      </c>
      <c r="M119" s="17">
        <v>1.8480864245995725</v>
      </c>
      <c r="N119" s="18">
        <v>0.24766638768427349</v>
      </c>
      <c r="O119" s="19">
        <v>4.9659629269639023E-3</v>
      </c>
      <c r="P119" s="51">
        <v>47.268633299999998</v>
      </c>
      <c r="Q119" s="51">
        <v>100.01523330000001</v>
      </c>
      <c r="R119" s="10">
        <v>2449</v>
      </c>
      <c r="S119" s="10">
        <v>13</v>
      </c>
      <c r="T119" s="10" t="s">
        <v>1048</v>
      </c>
      <c r="U119" s="10" t="s">
        <v>1184</v>
      </c>
    </row>
    <row r="120" spans="1:26" ht="18.75" x14ac:dyDescent="0.3">
      <c r="A120" s="94" t="s">
        <v>1197</v>
      </c>
      <c r="B120" s="21" t="s">
        <v>1198</v>
      </c>
      <c r="C120" s="21" t="s">
        <v>870</v>
      </c>
      <c r="D120" s="12" t="s">
        <v>862</v>
      </c>
      <c r="E120" s="13">
        <v>0.52026808529650681</v>
      </c>
      <c r="F120" s="14">
        <v>258.240932201237</v>
      </c>
      <c r="G120" s="22">
        <v>1.358281036073675</v>
      </c>
      <c r="H120" s="74">
        <v>154.68482324641326</v>
      </c>
      <c r="I120" s="14">
        <v>288.53697236721604</v>
      </c>
      <c r="J120" s="64">
        <v>4.4971493324885676</v>
      </c>
      <c r="K120" s="16">
        <v>0.13120091965318931</v>
      </c>
      <c r="L120" s="17">
        <v>64.19012854693031</v>
      </c>
      <c r="M120" s="17">
        <v>1.2450604217737997</v>
      </c>
      <c r="N120" s="18">
        <v>0.25756751042133624</v>
      </c>
      <c r="O120" s="19">
        <v>5.1656701844679555E-3</v>
      </c>
      <c r="P120" s="51">
        <v>47.268016699999997</v>
      </c>
      <c r="Q120" s="51">
        <v>100.01779999999999</v>
      </c>
      <c r="R120" s="10">
        <v>2425</v>
      </c>
      <c r="S120" s="10">
        <v>14</v>
      </c>
      <c r="T120" s="10" t="s">
        <v>1048</v>
      </c>
      <c r="U120" s="10" t="s">
        <v>1199</v>
      </c>
    </row>
    <row r="121" spans="1:26" ht="18.75" x14ac:dyDescent="0.3">
      <c r="A121" s="93" t="s">
        <v>1200</v>
      </c>
      <c r="B121" s="23" t="s">
        <v>1518</v>
      </c>
      <c r="C121" s="12" t="s">
        <v>112</v>
      </c>
      <c r="D121" s="12" t="s">
        <v>862</v>
      </c>
      <c r="E121" s="13">
        <v>0.17107594776145757</v>
      </c>
      <c r="F121" s="14">
        <v>250.71583113955151</v>
      </c>
      <c r="G121" s="22">
        <v>1.5803992113381578</v>
      </c>
      <c r="H121" s="74">
        <v>419.54706728630333</v>
      </c>
      <c r="I121" s="14">
        <v>1801.3883627197824</v>
      </c>
      <c r="J121" s="64">
        <v>13.468892421432699</v>
      </c>
      <c r="K121" s="16">
        <v>0.19701006859706152</v>
      </c>
      <c r="L121" s="17">
        <v>96.506176535409367</v>
      </c>
      <c r="M121" s="17">
        <v>4.067857509092935</v>
      </c>
      <c r="N121" s="18">
        <v>0.71956062013768352</v>
      </c>
      <c r="O121" s="19">
        <v>1.4444491309861276E-2</v>
      </c>
      <c r="P121" s="51">
        <v>46.306649999999998</v>
      </c>
      <c r="Q121" s="51">
        <v>99.126383300000001</v>
      </c>
    </row>
    <row r="122" spans="1:26" ht="18.75" x14ac:dyDescent="0.3">
      <c r="A122" s="94" t="s">
        <v>1201</v>
      </c>
      <c r="B122" s="21" t="s">
        <v>1202</v>
      </c>
      <c r="C122" s="21" t="s">
        <v>870</v>
      </c>
      <c r="D122" s="12" t="s">
        <v>862</v>
      </c>
      <c r="E122" s="13">
        <v>1.9896538586048702</v>
      </c>
      <c r="F122" s="14">
        <v>285.12461054750543</v>
      </c>
      <c r="G122" s="22">
        <v>2.3238428406798812</v>
      </c>
      <c r="H122" s="74">
        <v>432.48184876658513</v>
      </c>
      <c r="I122" s="14">
        <v>2381.6598856328906</v>
      </c>
      <c r="J122" s="64">
        <v>13.244760216806498</v>
      </c>
      <c r="K122" s="16">
        <v>0.1916376184436957</v>
      </c>
      <c r="L122" s="17">
        <v>79.65913162520944</v>
      </c>
      <c r="M122" s="17">
        <v>3.4810527738526718</v>
      </c>
      <c r="N122" s="18">
        <v>0.65223129849272365</v>
      </c>
      <c r="O122" s="19">
        <v>1.3083359821927359E-2</v>
      </c>
      <c r="P122" s="51">
        <v>46.306649999999998</v>
      </c>
      <c r="Q122" s="51">
        <v>99.126383300000001</v>
      </c>
    </row>
    <row r="123" spans="1:26" ht="18.75" x14ac:dyDescent="0.3">
      <c r="A123" s="93" t="s">
        <v>1203</v>
      </c>
      <c r="B123" s="23" t="s">
        <v>1204</v>
      </c>
      <c r="C123" s="12" t="s">
        <v>1190</v>
      </c>
      <c r="D123" s="12" t="s">
        <v>881</v>
      </c>
      <c r="E123" s="24">
        <v>0.76770535932169759</v>
      </c>
      <c r="F123" s="25">
        <v>1367.9092684743159</v>
      </c>
      <c r="G123" s="24">
        <v>5.6488191303907449</v>
      </c>
      <c r="H123" s="76">
        <v>1651.3686827289951</v>
      </c>
      <c r="I123" s="25">
        <v>8099.6637787278751</v>
      </c>
      <c r="J123" s="26">
        <v>11.836942830095101</v>
      </c>
      <c r="K123" s="27">
        <v>0.145638605737681</v>
      </c>
      <c r="L123" s="17" t="s">
        <v>829</v>
      </c>
      <c r="M123" s="20"/>
      <c r="N123" s="28">
        <v>9.1771497270458306E-3</v>
      </c>
      <c r="O123" s="29">
        <v>1.50053418909775E-3</v>
      </c>
      <c r="P123" s="51">
        <v>46.315449999999998</v>
      </c>
      <c r="Q123" s="51">
        <v>98.839699999999993</v>
      </c>
      <c r="Z123" s="17" t="s">
        <v>829</v>
      </c>
    </row>
    <row r="124" spans="1:26" ht="18.75" x14ac:dyDescent="0.3">
      <c r="A124" s="93" t="s">
        <v>1205</v>
      </c>
      <c r="B124" s="23" t="s">
        <v>1519</v>
      </c>
      <c r="C124" s="12" t="s">
        <v>112</v>
      </c>
      <c r="D124" s="12" t="s">
        <v>862</v>
      </c>
      <c r="E124" s="13">
        <v>0.88564864861484827</v>
      </c>
      <c r="F124" s="14">
        <v>264.40827583719965</v>
      </c>
      <c r="G124" s="22">
        <v>0.99344779130739858</v>
      </c>
      <c r="H124" s="74">
        <v>378.17898402995814</v>
      </c>
      <c r="I124" s="14">
        <v>1420.3701325316297</v>
      </c>
      <c r="J124" s="64">
        <v>11.787224003591042</v>
      </c>
      <c r="K124" s="16">
        <v>0.17613668533183877</v>
      </c>
      <c r="L124" s="17">
        <v>83.780580572161455</v>
      </c>
      <c r="M124" s="17">
        <v>3.666759560298861</v>
      </c>
      <c r="N124" s="18">
        <v>0.61502221372604782</v>
      </c>
      <c r="O124" s="19">
        <v>1.2345304347357007E-2</v>
      </c>
      <c r="P124" s="51">
        <v>46.315449999999998</v>
      </c>
      <c r="Q124" s="51">
        <v>98.839699999999993</v>
      </c>
    </row>
    <row r="125" spans="1:26" ht="18.75" x14ac:dyDescent="0.3">
      <c r="A125" s="94" t="s">
        <v>1206</v>
      </c>
      <c r="B125" s="21" t="s">
        <v>1207</v>
      </c>
      <c r="C125" s="21" t="s">
        <v>870</v>
      </c>
      <c r="D125" s="12" t="s">
        <v>862</v>
      </c>
      <c r="E125" s="13">
        <v>0.39981185113958162</v>
      </c>
      <c r="F125" s="14">
        <v>246.66328111610105</v>
      </c>
      <c r="G125" s="22">
        <v>1.3040041542732927</v>
      </c>
      <c r="H125" s="74">
        <v>443.16565970060952</v>
      </c>
      <c r="I125" s="14">
        <v>2163.0251304690082</v>
      </c>
      <c r="J125" s="64">
        <v>11.743786781677878</v>
      </c>
      <c r="K125" s="16">
        <v>0.16937313080414501</v>
      </c>
      <c r="L125" s="17">
        <v>93.968872853411057</v>
      </c>
      <c r="M125" s="17">
        <v>3.5670469254991968</v>
      </c>
      <c r="N125" s="18">
        <v>0.77255614540198836</v>
      </c>
      <c r="O125" s="19">
        <v>1.5490907927307344E-2</v>
      </c>
      <c r="P125" s="51">
        <v>46.315449999999998</v>
      </c>
      <c r="Q125" s="51">
        <v>98.839699999999993</v>
      </c>
    </row>
    <row r="126" spans="1:26" ht="18.75" x14ac:dyDescent="0.3">
      <c r="A126" s="94" t="s">
        <v>1208</v>
      </c>
      <c r="B126" s="21" t="s">
        <v>1209</v>
      </c>
      <c r="C126" s="21" t="s">
        <v>870</v>
      </c>
      <c r="D126" s="12" t="s">
        <v>862</v>
      </c>
      <c r="E126" s="13">
        <v>0.19599592998578461</v>
      </c>
      <c r="F126" s="14">
        <v>157.73769214439363</v>
      </c>
      <c r="G126" s="22">
        <v>0.6473827201768162</v>
      </c>
      <c r="H126" s="74">
        <v>124.72921916829492</v>
      </c>
      <c r="I126" s="14">
        <v>4546.5627928219383</v>
      </c>
      <c r="J126" s="64">
        <v>85.917295416313138</v>
      </c>
      <c r="K126" s="16">
        <v>1.1933698793386249</v>
      </c>
      <c r="L126" s="17">
        <v>98.617319496951964</v>
      </c>
      <c r="M126" s="17">
        <v>1.0039473231178475</v>
      </c>
      <c r="N126" s="18">
        <v>0.34001742711735927</v>
      </c>
      <c r="O126" s="19">
        <v>6.8203502822655037E-3</v>
      </c>
      <c r="P126" s="51">
        <v>46.696183300000001</v>
      </c>
      <c r="Q126" s="51">
        <v>96.529333300000005</v>
      </c>
    </row>
    <row r="127" spans="1:26" ht="18.75" x14ac:dyDescent="0.3">
      <c r="A127" s="94" t="s">
        <v>1210</v>
      </c>
      <c r="B127" s="21" t="s">
        <v>1211</v>
      </c>
      <c r="C127" s="21" t="s">
        <v>870</v>
      </c>
      <c r="D127" s="12" t="s">
        <v>862</v>
      </c>
      <c r="E127" s="13">
        <v>3.4253253692940473</v>
      </c>
      <c r="F127" s="14">
        <v>204.83055893357255</v>
      </c>
      <c r="G127" s="22">
        <v>1.1356965189295292</v>
      </c>
      <c r="H127" s="74">
        <v>117.67799895155565</v>
      </c>
      <c r="I127" s="14">
        <v>4157.5961543340036</v>
      </c>
      <c r="J127" s="64">
        <v>83.334569443747966</v>
      </c>
      <c r="K127" s="16">
        <v>1.1597539680227207</v>
      </c>
      <c r="L127" s="17">
        <v>80.335686297026044</v>
      </c>
      <c r="M127" s="17">
        <v>0.94719194768526194</v>
      </c>
      <c r="N127" s="18">
        <v>0.24704096797187</v>
      </c>
      <c r="O127" s="19">
        <v>4.9557246926136955E-3</v>
      </c>
      <c r="P127" s="51">
        <v>46.708449999999999</v>
      </c>
      <c r="Q127" s="51">
        <v>96.546683299999998</v>
      </c>
    </row>
    <row r="128" spans="1:26" ht="18.75" x14ac:dyDescent="0.3">
      <c r="A128" s="93" t="s">
        <v>1212</v>
      </c>
      <c r="B128" s="23" t="s">
        <v>1213</v>
      </c>
      <c r="C128" s="12" t="s">
        <v>112</v>
      </c>
      <c r="D128" s="12" t="s">
        <v>862</v>
      </c>
      <c r="E128" s="13">
        <v>4.0478941091469665</v>
      </c>
      <c r="F128" s="14">
        <v>309.75545850572854</v>
      </c>
      <c r="G128" s="22">
        <v>1.6470842761898976</v>
      </c>
      <c r="H128" s="74">
        <v>175.94731745211442</v>
      </c>
      <c r="I128" s="14">
        <v>4759.4496501424883</v>
      </c>
      <c r="J128" s="64">
        <v>83.227179275437024</v>
      </c>
      <c r="K128" s="16">
        <v>1.1582186225670958</v>
      </c>
      <c r="L128" s="17">
        <v>79.832383776203272</v>
      </c>
      <c r="M128" s="17">
        <v>1.7059554751074477</v>
      </c>
      <c r="N128" s="31">
        <v>0.24424863041762995</v>
      </c>
      <c r="O128" s="19">
        <v>4.903042237753708E-3</v>
      </c>
      <c r="P128" s="51">
        <v>46.708449999999999</v>
      </c>
      <c r="Q128" s="51">
        <v>96.546683299999998</v>
      </c>
    </row>
    <row r="129" spans="1:24" ht="18.75" x14ac:dyDescent="0.3">
      <c r="A129" s="93" t="s">
        <v>1214</v>
      </c>
      <c r="B129" s="11" t="s">
        <v>1215</v>
      </c>
      <c r="C129" s="12" t="s">
        <v>395</v>
      </c>
      <c r="D129" s="12" t="s">
        <v>862</v>
      </c>
      <c r="E129" s="13">
        <v>0.4215563310882699</v>
      </c>
      <c r="F129" s="14">
        <v>485.79017322675077</v>
      </c>
      <c r="G129" s="13">
        <v>0.42988424537697073</v>
      </c>
      <c r="H129" s="74">
        <v>502.71767649624564</v>
      </c>
      <c r="I129" s="15">
        <v>790.42934086728201</v>
      </c>
      <c r="J129" s="64">
        <v>5.7903534950611322</v>
      </c>
      <c r="K129" s="16">
        <v>0.10058519062147614</v>
      </c>
      <c r="L129" s="17">
        <v>86.281568633996585</v>
      </c>
      <c r="M129" s="17">
        <v>1.6256289904324637</v>
      </c>
      <c r="N129" s="18">
        <v>0.44498347806736155</v>
      </c>
      <c r="O129" s="19">
        <v>9.1999762155503331E-3</v>
      </c>
      <c r="P129" s="51">
        <v>48.994399999999999</v>
      </c>
      <c r="Q129" s="51">
        <v>103.24469999999999</v>
      </c>
    </row>
    <row r="130" spans="1:24" x14ac:dyDescent="0.2">
      <c r="A130" s="93" t="s">
        <v>1216</v>
      </c>
      <c r="B130" s="11" t="s">
        <v>1217</v>
      </c>
      <c r="C130" s="12" t="s">
        <v>395</v>
      </c>
      <c r="D130" s="12" t="s">
        <v>862</v>
      </c>
      <c r="E130" s="13">
        <v>0.21653747700943837</v>
      </c>
      <c r="F130" s="14">
        <v>234.84278760289919</v>
      </c>
      <c r="G130" s="13">
        <v>0.16708854112324703</v>
      </c>
      <c r="H130" s="74">
        <v>217.28179557089609</v>
      </c>
      <c r="I130" s="15">
        <v>182.07084407127459</v>
      </c>
      <c r="J130" s="64">
        <v>3.0882173540156628</v>
      </c>
      <c r="K130" s="16">
        <v>0.12759625840757235</v>
      </c>
      <c r="L130" s="17">
        <v>73.851419484872679</v>
      </c>
      <c r="M130" s="17">
        <v>0.70262018323102804</v>
      </c>
      <c r="N130" s="18">
        <v>0.39784561003197655</v>
      </c>
      <c r="O130" s="19">
        <v>8.3649459422105513E-3</v>
      </c>
      <c r="P130" s="49">
        <v>48.624299999999998</v>
      </c>
      <c r="Q130" s="49">
        <v>103.5466</v>
      </c>
    </row>
    <row r="131" spans="1:24" x14ac:dyDescent="0.2">
      <c r="A131" s="93" t="s">
        <v>1218</v>
      </c>
      <c r="B131" s="11" t="s">
        <v>1219</v>
      </c>
      <c r="C131" s="12" t="s">
        <v>395</v>
      </c>
      <c r="D131" s="12" t="s">
        <v>862</v>
      </c>
      <c r="E131" s="13">
        <v>0.45118068506746611</v>
      </c>
      <c r="F131" s="14">
        <v>416.69772036631957</v>
      </c>
      <c r="G131" s="13">
        <v>0.3885327281485208</v>
      </c>
      <c r="H131" s="74">
        <v>548.47025731422673</v>
      </c>
      <c r="I131" s="15">
        <v>1559.3807852812399</v>
      </c>
      <c r="J131" s="64">
        <v>10.456936716252788</v>
      </c>
      <c r="K131" s="16">
        <v>0.18675822658157015</v>
      </c>
      <c r="L131" s="17">
        <v>92.058061261920656</v>
      </c>
      <c r="M131" s="17">
        <v>1.7735782773626396</v>
      </c>
      <c r="N131" s="18">
        <v>0.5659791237585563</v>
      </c>
      <c r="O131" s="19">
        <v>1.1697698076907506E-2</v>
      </c>
      <c r="P131" s="49">
        <v>48.195399999999999</v>
      </c>
      <c r="Q131" s="49">
        <v>103.92140000000001</v>
      </c>
    </row>
    <row r="132" spans="1:24" ht="18.75" x14ac:dyDescent="0.3">
      <c r="A132" s="93" t="s">
        <v>1220</v>
      </c>
      <c r="B132" s="11" t="s">
        <v>393</v>
      </c>
      <c r="C132" s="12" t="s">
        <v>395</v>
      </c>
      <c r="D132" s="12" t="s">
        <v>862</v>
      </c>
      <c r="E132" s="13">
        <v>0.86155952006208236</v>
      </c>
      <c r="F132" s="14">
        <v>415.95859533097524</v>
      </c>
      <c r="G132" s="13">
        <v>0.39179494382431035</v>
      </c>
      <c r="H132" s="74">
        <v>563.16193329038333</v>
      </c>
      <c r="I132" s="15">
        <v>2047.1721315409864</v>
      </c>
      <c r="J132" s="64">
        <v>13.35911126852927</v>
      </c>
      <c r="K132" s="16">
        <v>0.19531998484547883</v>
      </c>
      <c r="L132" s="17">
        <v>88.891013563464369</v>
      </c>
      <c r="M132" s="17">
        <v>1.8210864822686961</v>
      </c>
      <c r="N132" s="18">
        <v>0.58217244224074793</v>
      </c>
      <c r="O132" s="19">
        <v>1.2018413377626993E-2</v>
      </c>
      <c r="P132" s="51">
        <v>47.8774333</v>
      </c>
      <c r="Q132" s="51">
        <v>103.8233333</v>
      </c>
      <c r="R132" s="10">
        <v>1050</v>
      </c>
      <c r="S132" s="10">
        <v>7</v>
      </c>
      <c r="T132" s="10" t="s">
        <v>1221</v>
      </c>
      <c r="U132" s="10" t="s">
        <v>1222</v>
      </c>
    </row>
    <row r="133" spans="1:24" ht="18.75" x14ac:dyDescent="0.3">
      <c r="A133" s="93" t="s">
        <v>1223</v>
      </c>
      <c r="B133" s="11" t="s">
        <v>398</v>
      </c>
      <c r="C133" s="12" t="s">
        <v>395</v>
      </c>
      <c r="D133" s="12" t="s">
        <v>862</v>
      </c>
      <c r="E133" s="13">
        <v>0.45949800292730869</v>
      </c>
      <c r="F133" s="14">
        <v>589.36838050104484</v>
      </c>
      <c r="G133" s="13">
        <v>0.49750527378682952</v>
      </c>
      <c r="H133" s="74">
        <v>311.17357822755201</v>
      </c>
      <c r="I133" s="15">
        <v>341.72417803407711</v>
      </c>
      <c r="J133" s="64">
        <v>4.0462127258735689</v>
      </c>
      <c r="K133" s="16">
        <v>0.16247646471275023</v>
      </c>
      <c r="L133" s="17">
        <v>71.461561902981046</v>
      </c>
      <c r="M133" s="17">
        <v>1.0062363299992108</v>
      </c>
      <c r="N133" s="18">
        <v>0.22703056876599806</v>
      </c>
      <c r="O133" s="19">
        <v>4.6762724011310888E-3</v>
      </c>
      <c r="P133" s="51">
        <v>48.860183300000003</v>
      </c>
      <c r="Q133" s="51">
        <v>101.7553667</v>
      </c>
      <c r="R133" s="10">
        <f>1368+5</f>
        <v>1373</v>
      </c>
      <c r="S133" s="10">
        <v>6</v>
      </c>
      <c r="T133" s="10" t="s">
        <v>1224</v>
      </c>
      <c r="U133" s="10" t="s">
        <v>1016</v>
      </c>
    </row>
    <row r="134" spans="1:24" ht="18.75" x14ac:dyDescent="0.3">
      <c r="A134" s="93" t="s">
        <v>1225</v>
      </c>
      <c r="B134" s="11" t="s">
        <v>401</v>
      </c>
      <c r="C134" s="12" t="s">
        <v>395</v>
      </c>
      <c r="D134" s="12" t="s">
        <v>862</v>
      </c>
      <c r="E134" s="13">
        <v>2.4998443844235041</v>
      </c>
      <c r="F134" s="14">
        <v>596.70926729845235</v>
      </c>
      <c r="G134" s="13">
        <v>0.41747892809879295</v>
      </c>
      <c r="H134" s="74">
        <v>244.63110284695406</v>
      </c>
      <c r="I134" s="15">
        <v>274.19596460994745</v>
      </c>
      <c r="J134" s="64">
        <v>4.129667429321179</v>
      </c>
      <c r="K134" s="16">
        <v>0.1407296752187778</v>
      </c>
      <c r="L134" s="17">
        <v>27.055856470779499</v>
      </c>
      <c r="M134" s="17">
        <v>0.79105913983600307</v>
      </c>
      <c r="N134" s="18">
        <v>0.17628580615218992</v>
      </c>
      <c r="O134" s="19">
        <v>3.6357585778140755E-3</v>
      </c>
      <c r="P134" s="51">
        <v>48.860183300000003</v>
      </c>
      <c r="Q134" s="51">
        <v>101.7553667</v>
      </c>
      <c r="R134" s="10">
        <f>1368+18</f>
        <v>1386</v>
      </c>
      <c r="S134" s="10">
        <v>5</v>
      </c>
      <c r="T134" s="10" t="s">
        <v>1224</v>
      </c>
      <c r="U134" s="10" t="s">
        <v>1226</v>
      </c>
    </row>
    <row r="135" spans="1:24" ht="18.75" x14ac:dyDescent="0.3">
      <c r="A135" s="93" t="s">
        <v>1227</v>
      </c>
      <c r="B135" s="11" t="s">
        <v>404</v>
      </c>
      <c r="C135" s="12" t="s">
        <v>395</v>
      </c>
      <c r="D135" s="12" t="s">
        <v>862</v>
      </c>
      <c r="E135" s="13">
        <v>2.8306483295543305</v>
      </c>
      <c r="F135" s="14">
        <v>575.81294943079968</v>
      </c>
      <c r="G135" s="13">
        <v>0.39305773819015832</v>
      </c>
      <c r="H135" s="74">
        <v>263.62033162309507</v>
      </c>
      <c r="I135" s="15">
        <v>302.41297437623155</v>
      </c>
      <c r="J135" s="64">
        <v>4.2264485266917173</v>
      </c>
      <c r="K135" s="16">
        <v>0.12780100239725206</v>
      </c>
      <c r="L135" s="17">
        <v>26.540218010285873</v>
      </c>
      <c r="M135" s="17">
        <v>0.85246426292536348</v>
      </c>
      <c r="N135" s="18">
        <v>0.19686383001630275</v>
      </c>
      <c r="O135" s="19">
        <v>4.0599990918807633E-3</v>
      </c>
      <c r="P135" s="51">
        <v>48.860033299999998</v>
      </c>
      <c r="Q135" s="51">
        <v>101.7547833</v>
      </c>
      <c r="R135" s="10">
        <f>1368+29</f>
        <v>1397</v>
      </c>
      <c r="S135" s="10">
        <v>4</v>
      </c>
      <c r="T135" s="10" t="s">
        <v>1224</v>
      </c>
      <c r="U135" s="10" t="s">
        <v>1228</v>
      </c>
    </row>
    <row r="136" spans="1:24" ht="18.75" x14ac:dyDescent="0.3">
      <c r="A136" s="93" t="s">
        <v>1229</v>
      </c>
      <c r="B136" s="11" t="s">
        <v>407</v>
      </c>
      <c r="C136" s="12" t="s">
        <v>395</v>
      </c>
      <c r="D136" s="12" t="s">
        <v>862</v>
      </c>
      <c r="E136" s="13">
        <v>0.59373538676296367</v>
      </c>
      <c r="F136" s="14">
        <v>509.00350344657124</v>
      </c>
      <c r="G136" s="13">
        <v>0.2455501777226316</v>
      </c>
      <c r="H136" s="74">
        <v>330.85869221328329</v>
      </c>
      <c r="I136" s="15">
        <v>366.51400279721054</v>
      </c>
      <c r="J136" s="64">
        <v>4.0814971938747435</v>
      </c>
      <c r="K136" s="16">
        <v>0.10385120365253633</v>
      </c>
      <c r="L136" s="17">
        <v>67.537513617840148</v>
      </c>
      <c r="M136" s="17">
        <v>1.0698917244110506</v>
      </c>
      <c r="N136" s="18">
        <v>0.27950541929156963</v>
      </c>
      <c r="O136" s="19">
        <v>5.767282641522627E-3</v>
      </c>
      <c r="P136" s="51">
        <v>48.859566700000002</v>
      </c>
      <c r="Q136" s="51">
        <v>101.75369999999999</v>
      </c>
      <c r="R136" s="10">
        <f>1368+61</f>
        <v>1429</v>
      </c>
      <c r="S136" s="10">
        <v>6</v>
      </c>
      <c r="T136" s="10" t="s">
        <v>1224</v>
      </c>
      <c r="U136" s="10" t="s">
        <v>1230</v>
      </c>
    </row>
    <row r="137" spans="1:24" ht="18.75" x14ac:dyDescent="0.3">
      <c r="A137" s="93" t="s">
        <v>1231</v>
      </c>
      <c r="B137" s="32" t="s">
        <v>410</v>
      </c>
      <c r="C137" s="12" t="s">
        <v>1232</v>
      </c>
      <c r="D137" s="12" t="s">
        <v>862</v>
      </c>
      <c r="E137" s="13">
        <v>1.0625031823403883</v>
      </c>
      <c r="F137" s="14">
        <v>446.22724522114254</v>
      </c>
      <c r="G137" s="13">
        <v>0.27224183563808418</v>
      </c>
      <c r="H137" s="74">
        <v>334.81483294934714</v>
      </c>
      <c r="I137" s="15">
        <v>372.56809612261321</v>
      </c>
      <c r="J137" s="64">
        <v>4.099871496740878</v>
      </c>
      <c r="K137" s="16">
        <v>0.11338497757681797</v>
      </c>
      <c r="L137" s="17">
        <v>54.210833799195875</v>
      </c>
      <c r="M137" s="17">
        <v>1.0826846246241471</v>
      </c>
      <c r="N137" s="18">
        <v>0.3226391479006846</v>
      </c>
      <c r="O137" s="19">
        <v>1.5669108579492877E-3</v>
      </c>
      <c r="P137" s="51">
        <v>48.859349999999999</v>
      </c>
      <c r="Q137" s="51">
        <v>101.7533667</v>
      </c>
      <c r="R137" s="10">
        <f>1368+82</f>
        <v>1450</v>
      </c>
      <c r="S137" s="10">
        <v>8</v>
      </c>
      <c r="T137" s="10" t="s">
        <v>1224</v>
      </c>
      <c r="U137" s="10" t="s">
        <v>1233</v>
      </c>
    </row>
    <row r="138" spans="1:24" ht="18.75" x14ac:dyDescent="0.3">
      <c r="A138" s="93" t="s">
        <v>1234</v>
      </c>
      <c r="B138" s="11" t="s">
        <v>413</v>
      </c>
      <c r="C138" s="12" t="s">
        <v>395</v>
      </c>
      <c r="D138" s="12" t="s">
        <v>862</v>
      </c>
      <c r="E138" s="13">
        <v>0.43465828955127067</v>
      </c>
      <c r="F138" s="14">
        <v>524.27325024506354</v>
      </c>
      <c r="G138" s="13">
        <v>0.33122390172521421</v>
      </c>
      <c r="H138" s="74">
        <v>381.11126405777867</v>
      </c>
      <c r="I138" s="15">
        <v>415.65189237554284</v>
      </c>
      <c r="J138" s="64">
        <v>4.0184357790096312</v>
      </c>
      <c r="K138" s="16">
        <v>0.11456632986801912</v>
      </c>
      <c r="L138" s="17">
        <v>76.277889041965622</v>
      </c>
      <c r="M138" s="17">
        <v>1.232392550329019</v>
      </c>
      <c r="N138" s="18">
        <v>0.31258097465060947</v>
      </c>
      <c r="O138" s="19">
        <v>6.4295000001369212E-3</v>
      </c>
      <c r="P138" s="51">
        <v>48.859200000000001</v>
      </c>
      <c r="Q138" s="51">
        <v>101.75285</v>
      </c>
      <c r="R138" s="10">
        <f>1368+98</f>
        <v>1466</v>
      </c>
      <c r="S138" s="10">
        <v>5</v>
      </c>
      <c r="T138" s="10" t="s">
        <v>1224</v>
      </c>
      <c r="U138" s="10" t="s">
        <v>1235</v>
      </c>
      <c r="V138" s="10">
        <f>1521-1368</f>
        <v>153</v>
      </c>
      <c r="W138" s="10">
        <v>170</v>
      </c>
      <c r="X138" s="10">
        <f>W138/J138</f>
        <v>42.305018506951868</v>
      </c>
    </row>
    <row r="139" spans="1:24" ht="18.75" x14ac:dyDescent="0.3">
      <c r="A139" s="93" t="s">
        <v>1236</v>
      </c>
      <c r="B139" s="11" t="s">
        <v>422</v>
      </c>
      <c r="C139" s="12" t="s">
        <v>395</v>
      </c>
      <c r="D139" s="12" t="s">
        <v>862</v>
      </c>
      <c r="E139" s="13">
        <v>2.7185842211373852</v>
      </c>
      <c r="F139" s="14">
        <v>354.3702753120624</v>
      </c>
      <c r="G139" s="13">
        <v>0.30595642921421756</v>
      </c>
      <c r="H139" s="74">
        <v>354.82821731213926</v>
      </c>
      <c r="I139" s="15">
        <v>365.25952605658864</v>
      </c>
      <c r="J139" s="64">
        <v>3.7930584101489693</v>
      </c>
      <c r="K139" s="16">
        <v>0.12198683075404008</v>
      </c>
      <c r="L139" s="17">
        <v>31.234999871403549</v>
      </c>
      <c r="M139" s="17">
        <v>1.1474015409728515</v>
      </c>
      <c r="N139" s="18">
        <v>0.43055567600826467</v>
      </c>
      <c r="O139" s="19">
        <v>8.8692807829127539E-3</v>
      </c>
      <c r="P139" s="51">
        <v>48.629733299999998</v>
      </c>
      <c r="Q139" s="51">
        <v>102.8668833</v>
      </c>
      <c r="R139" s="10">
        <v>1230</v>
      </c>
      <c r="S139" s="10">
        <v>20</v>
      </c>
      <c r="T139" s="10" t="s">
        <v>1237</v>
      </c>
      <c r="U139" s="10" t="s">
        <v>1238</v>
      </c>
    </row>
    <row r="140" spans="1:24" ht="18.75" x14ac:dyDescent="0.3">
      <c r="A140" s="93" t="s">
        <v>1239</v>
      </c>
      <c r="B140" s="11" t="s">
        <v>425</v>
      </c>
      <c r="C140" s="12" t="s">
        <v>395</v>
      </c>
      <c r="D140" s="12" t="s">
        <v>862</v>
      </c>
      <c r="E140" s="13">
        <v>0.15259886219106605</v>
      </c>
      <c r="F140" s="14">
        <v>185.45629662370155</v>
      </c>
      <c r="G140" s="13">
        <v>0.12855286889432266</v>
      </c>
      <c r="H140" s="74">
        <v>183.09580967676499</v>
      </c>
      <c r="I140" s="15">
        <v>156.25483611845715</v>
      </c>
      <c r="J140" s="64">
        <v>3.1451330407289961</v>
      </c>
      <c r="K140" s="16">
        <v>0.13742941335893141</v>
      </c>
      <c r="L140" s="17">
        <v>77.448022345349443</v>
      </c>
      <c r="M140" s="17">
        <v>0.59207358355038231</v>
      </c>
      <c r="N140" s="18">
        <v>0.42452696184674593</v>
      </c>
      <c r="O140" s="19">
        <v>8.853899976302225E-3</v>
      </c>
      <c r="P140" s="51">
        <v>48.629733299999998</v>
      </c>
      <c r="Q140" s="51">
        <v>102.8653333</v>
      </c>
      <c r="R140" s="10">
        <f>R139+80</f>
        <v>1310</v>
      </c>
      <c r="S140" s="10">
        <v>15</v>
      </c>
      <c r="T140" s="10" t="s">
        <v>1237</v>
      </c>
      <c r="U140" s="10" t="s">
        <v>1240</v>
      </c>
    </row>
    <row r="141" spans="1:24" ht="18.75" x14ac:dyDescent="0.3">
      <c r="A141" s="93" t="s">
        <v>1241</v>
      </c>
      <c r="B141" s="11" t="s">
        <v>429</v>
      </c>
      <c r="C141" s="12" t="s">
        <v>395</v>
      </c>
      <c r="D141" s="12" t="s">
        <v>862</v>
      </c>
      <c r="E141" s="13">
        <v>0.456321608623459</v>
      </c>
      <c r="F141" s="14">
        <v>405.34942572151039</v>
      </c>
      <c r="G141" s="13">
        <v>0.37863905676247783</v>
      </c>
      <c r="H141" s="74">
        <v>503.31898196046484</v>
      </c>
      <c r="I141" s="15">
        <v>422.84463299558712</v>
      </c>
      <c r="J141" s="64">
        <v>3.0961881972437642</v>
      </c>
      <c r="K141" s="16">
        <v>0.13148902399804857</v>
      </c>
      <c r="L141" s="17">
        <v>75.670346179863046</v>
      </c>
      <c r="M141" s="17">
        <v>1.6275734209556809</v>
      </c>
      <c r="N141" s="18">
        <v>0.53392739327992322</v>
      </c>
      <c r="O141" s="19">
        <v>1.1041598162295788E-2</v>
      </c>
      <c r="P141" s="51">
        <v>48.630716700000001</v>
      </c>
      <c r="Q141" s="51">
        <v>102.86453330000001</v>
      </c>
      <c r="R141" s="10">
        <f>R139+164</f>
        <v>1394</v>
      </c>
      <c r="S141" s="10">
        <v>16</v>
      </c>
      <c r="T141" s="10" t="s">
        <v>1237</v>
      </c>
      <c r="U141" s="10" t="s">
        <v>1242</v>
      </c>
      <c r="V141" s="10">
        <f>1465-R139</f>
        <v>235</v>
      </c>
      <c r="W141" s="10">
        <f>R141-R139+16</f>
        <v>180</v>
      </c>
      <c r="X141" s="10">
        <f>W141/J141</f>
        <v>58.136000957640924</v>
      </c>
    </row>
    <row r="142" spans="1:24" ht="18.75" x14ac:dyDescent="0.3">
      <c r="A142" s="94" t="s">
        <v>1243</v>
      </c>
      <c r="B142" s="21" t="s">
        <v>434</v>
      </c>
      <c r="C142" s="21" t="s">
        <v>870</v>
      </c>
      <c r="D142" s="12" t="s">
        <v>862</v>
      </c>
      <c r="E142" s="13">
        <v>0.37580311614708239</v>
      </c>
      <c r="F142" s="14">
        <v>159.09886597435701</v>
      </c>
      <c r="G142" s="22">
        <v>1.2533574040582722</v>
      </c>
      <c r="H142" s="74">
        <v>227.25072478537052</v>
      </c>
      <c r="I142" s="14">
        <v>25.536723272946652</v>
      </c>
      <c r="J142" s="64">
        <v>0.27123829772707636</v>
      </c>
      <c r="K142" s="16">
        <v>8.2296554846362974E-2</v>
      </c>
      <c r="L142" s="17">
        <v>17.437540666379203</v>
      </c>
      <c r="M142" s="17">
        <v>1.8291444326050634</v>
      </c>
      <c r="N142" s="18">
        <v>0.61419552590311444</v>
      </c>
      <c r="O142" s="19">
        <v>1.2333718576043885E-2</v>
      </c>
      <c r="P142" s="51">
        <v>48.927199999999999</v>
      </c>
      <c r="Q142" s="51">
        <v>102.75203329999999</v>
      </c>
      <c r="R142" s="10">
        <v>1558</v>
      </c>
      <c r="S142" s="10" t="s">
        <v>1244</v>
      </c>
      <c r="T142" s="10" t="s">
        <v>1245</v>
      </c>
      <c r="U142" s="10" t="s">
        <v>1246</v>
      </c>
    </row>
    <row r="143" spans="1:24" ht="18.75" x14ac:dyDescent="0.3">
      <c r="A143" s="93" t="s">
        <v>1247</v>
      </c>
      <c r="B143" s="11" t="s">
        <v>440</v>
      </c>
      <c r="C143" s="12" t="s">
        <v>395</v>
      </c>
      <c r="D143" s="12" t="s">
        <v>862</v>
      </c>
      <c r="E143" s="13">
        <v>0.15411654607876565</v>
      </c>
      <c r="F143" s="14">
        <v>354.33199114292904</v>
      </c>
      <c r="G143" s="13">
        <v>0.3128816243476979</v>
      </c>
      <c r="H143" s="74">
        <v>354.51771188487129</v>
      </c>
      <c r="I143" s="15">
        <v>567.1328744988158</v>
      </c>
      <c r="J143" s="64">
        <v>5.8911618407362809</v>
      </c>
      <c r="K143" s="16">
        <v>0.13418334133690196</v>
      </c>
      <c r="L143" s="17">
        <v>92.447458842166057</v>
      </c>
      <c r="M143" s="17">
        <v>1.1463974652304361</v>
      </c>
      <c r="N143" s="18">
        <v>0.43022538162240886</v>
      </c>
      <c r="O143" s="19">
        <v>8.8660802827458304E-3</v>
      </c>
      <c r="P143" s="51">
        <v>49.322083300000003</v>
      </c>
      <c r="Q143" s="51">
        <v>103.07825</v>
      </c>
      <c r="R143" s="10">
        <v>985</v>
      </c>
      <c r="S143" s="10">
        <v>3</v>
      </c>
      <c r="T143" s="10" t="s">
        <v>1248</v>
      </c>
      <c r="U143" s="10" t="s">
        <v>1094</v>
      </c>
    </row>
    <row r="144" spans="1:24" ht="18.75" x14ac:dyDescent="0.3">
      <c r="A144" s="93" t="s">
        <v>1249</v>
      </c>
      <c r="B144" s="11" t="s">
        <v>446</v>
      </c>
      <c r="C144" s="12" t="s">
        <v>395</v>
      </c>
      <c r="D144" s="12" t="s">
        <v>862</v>
      </c>
      <c r="E144" s="13">
        <v>0.29406201057323184</v>
      </c>
      <c r="F144" s="14">
        <v>454.05147814254195</v>
      </c>
      <c r="G144" s="13">
        <v>1.8265842853519989</v>
      </c>
      <c r="H144" s="74">
        <v>604.96592184955227</v>
      </c>
      <c r="I144" s="15">
        <v>946.39047945687571</v>
      </c>
      <c r="J144" s="64">
        <v>5.7611494467996804</v>
      </c>
      <c r="K144" s="16">
        <v>0.13124680158312835</v>
      </c>
      <c r="L144" s="17">
        <v>91.471843404486634</v>
      </c>
      <c r="M144" s="17">
        <v>1.9562672783591226</v>
      </c>
      <c r="N144" s="18">
        <v>0.57292038219869479</v>
      </c>
      <c r="O144" s="19">
        <v>1.183233032739806E-2</v>
      </c>
      <c r="P144" s="51">
        <v>49.320916699999998</v>
      </c>
      <c r="Q144" s="51">
        <v>103.0779167</v>
      </c>
      <c r="R144" s="10">
        <f>R143+45</f>
        <v>1030</v>
      </c>
      <c r="S144" s="10">
        <v>12</v>
      </c>
      <c r="T144" s="10" t="s">
        <v>1248</v>
      </c>
      <c r="U144" s="10" t="s">
        <v>1086</v>
      </c>
    </row>
    <row r="145" spans="1:24" ht="18.75" x14ac:dyDescent="0.3">
      <c r="A145" s="93" t="s">
        <v>1250</v>
      </c>
      <c r="B145" s="11" t="s">
        <v>449</v>
      </c>
      <c r="C145" s="12" t="s">
        <v>395</v>
      </c>
      <c r="D145" s="12" t="s">
        <v>862</v>
      </c>
      <c r="E145" s="13">
        <v>0.44693498901627882</v>
      </c>
      <c r="F145" s="14">
        <v>671.01648871277905</v>
      </c>
      <c r="G145" s="13">
        <v>0.59558884912777288</v>
      </c>
      <c r="H145" s="74">
        <v>619.51648520948436</v>
      </c>
      <c r="I145" s="15">
        <v>983.97016926372135</v>
      </c>
      <c r="J145" s="64">
        <v>5.8490884515253514</v>
      </c>
      <c r="K145" s="16">
        <v>9.5652121520849689E-2</v>
      </c>
      <c r="L145" s="17">
        <v>88.057618749845616</v>
      </c>
      <c r="M145" s="17">
        <v>2.0033191699693171</v>
      </c>
      <c r="N145" s="18">
        <v>0.39699782810270756</v>
      </c>
      <c r="O145" s="19">
        <v>8.1845681027936708E-3</v>
      </c>
      <c r="P145" s="51">
        <v>49.320416700000003</v>
      </c>
      <c r="Q145" s="51">
        <v>103.0770833</v>
      </c>
      <c r="R145" s="10">
        <f>R143+90</f>
        <v>1075</v>
      </c>
      <c r="S145" s="10">
        <v>9</v>
      </c>
      <c r="T145" s="10" t="s">
        <v>1248</v>
      </c>
      <c r="U145" s="10" t="s">
        <v>1097</v>
      </c>
      <c r="V145" s="10">
        <f>R145-R143+9</f>
        <v>99</v>
      </c>
      <c r="W145" s="10">
        <f>V145+100</f>
        <v>199</v>
      </c>
      <c r="X145" s="10">
        <f>W145/J145</f>
        <v>34.022395395320771</v>
      </c>
    </row>
    <row r="146" spans="1:24" ht="18.75" x14ac:dyDescent="0.3">
      <c r="A146" s="94" t="s">
        <v>1251</v>
      </c>
      <c r="B146" s="21" t="s">
        <v>453</v>
      </c>
      <c r="C146" s="21" t="s">
        <v>870</v>
      </c>
      <c r="D146" s="12" t="s">
        <v>862</v>
      </c>
      <c r="E146" s="13">
        <v>0.19391511584474191</v>
      </c>
      <c r="F146" s="14">
        <v>327.30719322565284</v>
      </c>
      <c r="G146" s="22">
        <v>0.45164029384146209</v>
      </c>
      <c r="H146" s="74">
        <v>142.93521282505154</v>
      </c>
      <c r="I146" s="14">
        <v>589.13248779140338</v>
      </c>
      <c r="J146" s="64">
        <v>9.9221411337667789</v>
      </c>
      <c r="K146" s="16">
        <v>0.19227201844500932</v>
      </c>
      <c r="L146" s="17">
        <v>90.269006225359618</v>
      </c>
      <c r="M146" s="17">
        <v>1.1504876343478836</v>
      </c>
      <c r="N146" s="18">
        <v>0.1877812122277398</v>
      </c>
      <c r="O146" s="19">
        <v>3.7694487886620592E-3</v>
      </c>
      <c r="P146" s="51">
        <v>50.787027799999997</v>
      </c>
      <c r="Q146" s="51">
        <v>100.5323889</v>
      </c>
      <c r="R146" s="10">
        <v>1670</v>
      </c>
      <c r="S146" s="10">
        <v>9</v>
      </c>
      <c r="T146" s="10" t="s">
        <v>1252</v>
      </c>
      <c r="U146" s="10" t="s">
        <v>960</v>
      </c>
    </row>
    <row r="147" spans="1:24" ht="18.75" x14ac:dyDescent="0.3">
      <c r="A147" s="93" t="s">
        <v>1253</v>
      </c>
      <c r="B147" s="11" t="s">
        <v>456</v>
      </c>
      <c r="C147" s="12" t="s">
        <v>395</v>
      </c>
      <c r="D147" s="12" t="s">
        <v>862</v>
      </c>
      <c r="E147" s="13">
        <v>0.69788270660380747</v>
      </c>
      <c r="F147" s="14">
        <v>555.80599763326643</v>
      </c>
      <c r="G147" s="13">
        <v>0.26614535442904064</v>
      </c>
      <c r="H147" s="74">
        <v>318.74526879907006</v>
      </c>
      <c r="I147" s="15">
        <v>822.67090668217168</v>
      </c>
      <c r="J147" s="64">
        <v>9.4951836962323917</v>
      </c>
      <c r="K147" s="16">
        <v>0.16005154641435479</v>
      </c>
      <c r="L147" s="17">
        <v>79.902833718642512</v>
      </c>
      <c r="M147" s="17">
        <v>1.0307207678360326</v>
      </c>
      <c r="N147" s="18">
        <v>0.24659767287008616</v>
      </c>
      <c r="O147" s="19">
        <v>5.0925967381329111E-3</v>
      </c>
      <c r="P147" s="51">
        <v>50.787300000000002</v>
      </c>
      <c r="Q147" s="51">
        <v>100.53319999999999</v>
      </c>
      <c r="R147" s="10">
        <v>1684</v>
      </c>
      <c r="S147" s="10">
        <v>6</v>
      </c>
      <c r="T147" s="10" t="s">
        <v>1252</v>
      </c>
      <c r="U147" s="10" t="s">
        <v>1254</v>
      </c>
      <c r="V147" s="10">
        <f>R147-1663+6+5</f>
        <v>32</v>
      </c>
    </row>
    <row r="148" spans="1:24" ht="18.75" x14ac:dyDescent="0.3">
      <c r="A148" s="94" t="s">
        <v>1255</v>
      </c>
      <c r="B148" s="21" t="s">
        <v>459</v>
      </c>
      <c r="C148" s="21" t="s">
        <v>1256</v>
      </c>
      <c r="D148" s="12" t="s">
        <v>862</v>
      </c>
      <c r="E148" s="13">
        <v>1.5052546915360809</v>
      </c>
      <c r="F148" s="14">
        <v>271.85192750070877</v>
      </c>
      <c r="G148" s="22">
        <v>0.84315031647312488</v>
      </c>
      <c r="H148" s="74">
        <v>146.78486209561157</v>
      </c>
      <c r="I148" s="14">
        <v>1497.3822582367527</v>
      </c>
      <c r="J148" s="64">
        <v>24.45877497906886</v>
      </c>
      <c r="K148" s="16">
        <v>0.29684200482006806</v>
      </c>
      <c r="L148" s="17">
        <v>76.845122652987186</v>
      </c>
      <c r="M148" s="17">
        <v>1.1814735180557463</v>
      </c>
      <c r="N148" s="18">
        <v>0.2321759911043795</v>
      </c>
      <c r="O148" s="19">
        <v>5.2730189779180887E-4</v>
      </c>
      <c r="P148" s="51">
        <v>51.216250000000002</v>
      </c>
      <c r="Q148" s="51">
        <v>100.75735</v>
      </c>
      <c r="R148" s="10">
        <v>1645</v>
      </c>
      <c r="S148" s="10">
        <v>11</v>
      </c>
      <c r="T148" s="10" t="s">
        <v>1257</v>
      </c>
      <c r="U148" s="10" t="s">
        <v>1062</v>
      </c>
    </row>
    <row r="149" spans="1:24" ht="18.75" x14ac:dyDescent="0.3">
      <c r="A149" s="93" t="s">
        <v>1258</v>
      </c>
      <c r="B149" s="11" t="s">
        <v>462</v>
      </c>
      <c r="C149" s="12" t="s">
        <v>395</v>
      </c>
      <c r="D149" s="12" t="s">
        <v>862</v>
      </c>
      <c r="E149" s="13">
        <v>1.6292483872199024</v>
      </c>
      <c r="F149" s="14">
        <v>588.13319097881606</v>
      </c>
      <c r="G149" s="13">
        <v>0.36187468949643525</v>
      </c>
      <c r="H149" s="74">
        <v>460.23975750875059</v>
      </c>
      <c r="I149" s="15">
        <v>3015.0196324536219</v>
      </c>
      <c r="J149" s="64">
        <v>24.0039131026254</v>
      </c>
      <c r="K149" s="16">
        <v>0.3433638714390686</v>
      </c>
      <c r="L149" s="17">
        <v>86.205889885973463</v>
      </c>
      <c r="M149" s="17">
        <v>1.4882689177956916</v>
      </c>
      <c r="N149" s="18">
        <v>0.33649366974068806</v>
      </c>
      <c r="O149" s="19">
        <v>6.9459677218223041E-3</v>
      </c>
      <c r="P149" s="51">
        <v>51.2166833</v>
      </c>
      <c r="Q149" s="51">
        <v>100.76063329999999</v>
      </c>
      <c r="R149" s="10">
        <f>R148+55</f>
        <v>1700</v>
      </c>
      <c r="S149" s="10">
        <v>7</v>
      </c>
      <c r="T149" s="10" t="s">
        <v>1257</v>
      </c>
      <c r="U149" s="10" t="s">
        <v>1259</v>
      </c>
    </row>
    <row r="150" spans="1:24" ht="18.75" x14ac:dyDescent="0.3">
      <c r="A150" s="93" t="s">
        <v>1260</v>
      </c>
      <c r="B150" s="11" t="s">
        <v>465</v>
      </c>
      <c r="C150" s="12" t="s">
        <v>395</v>
      </c>
      <c r="D150" s="12" t="s">
        <v>862</v>
      </c>
      <c r="E150" s="13">
        <v>3.1245407028511405</v>
      </c>
      <c r="F150" s="14">
        <v>588.42634921257093</v>
      </c>
      <c r="G150" s="13">
        <v>0.25149843882378847</v>
      </c>
      <c r="H150" s="74">
        <v>300.6908162548437</v>
      </c>
      <c r="I150" s="15">
        <v>1964.5280438341376</v>
      </c>
      <c r="J150" s="64">
        <v>23.939871216042924</v>
      </c>
      <c r="K150" s="16">
        <v>0.39715394877825794</v>
      </c>
      <c r="L150" s="17">
        <v>68.012303064918981</v>
      </c>
      <c r="M150" s="17">
        <v>0.97233841361519247</v>
      </c>
      <c r="N150" s="18">
        <v>0.21973361859578083</v>
      </c>
      <c r="O150" s="19">
        <v>4.5370457124740129E-3</v>
      </c>
      <c r="P150" s="51">
        <v>51.216766700000001</v>
      </c>
      <c r="Q150" s="51">
        <v>100.74655</v>
      </c>
      <c r="R150" s="10">
        <f>R149+7</f>
        <v>1707</v>
      </c>
      <c r="S150" s="10">
        <v>10</v>
      </c>
      <c r="T150" s="10" t="s">
        <v>1257</v>
      </c>
      <c r="U150" s="10" t="s">
        <v>1261</v>
      </c>
    </row>
    <row r="151" spans="1:24" ht="18.75" x14ac:dyDescent="0.3">
      <c r="A151" s="93" t="s">
        <v>1262</v>
      </c>
      <c r="B151" s="11" t="s">
        <v>468</v>
      </c>
      <c r="C151" s="12" t="s">
        <v>395</v>
      </c>
      <c r="D151" s="12" t="s">
        <v>862</v>
      </c>
      <c r="E151" s="13">
        <v>0.18384848007907237</v>
      </c>
      <c r="F151" s="14">
        <v>418.75637939153745</v>
      </c>
      <c r="G151" s="13">
        <v>0.18575241028596068</v>
      </c>
      <c r="H151" s="74">
        <v>307.14208789417211</v>
      </c>
      <c r="I151" s="15">
        <v>2050.4277425730525</v>
      </c>
      <c r="J151" s="64">
        <v>24.458312136990148</v>
      </c>
      <c r="K151" s="16">
        <v>0.40023379844165097</v>
      </c>
      <c r="L151" s="17">
        <v>97.38761358839632</v>
      </c>
      <c r="M151" s="17">
        <v>0.99319977316622343</v>
      </c>
      <c r="N151" s="18">
        <v>0.31538886162497703</v>
      </c>
      <c r="O151" s="19">
        <v>6.530470572493236E-3</v>
      </c>
      <c r="P151" s="51">
        <v>51.215866699999999</v>
      </c>
      <c r="Q151" s="51">
        <v>100.77763330000001</v>
      </c>
      <c r="R151" s="10">
        <v>1809</v>
      </c>
      <c r="S151" s="10">
        <v>18</v>
      </c>
      <c r="T151" s="10" t="s">
        <v>1257</v>
      </c>
      <c r="U151" s="10" t="s">
        <v>1263</v>
      </c>
      <c r="V151" s="10">
        <f>R151-R148+18</f>
        <v>182</v>
      </c>
    </row>
    <row r="152" spans="1:24" ht="18.75" x14ac:dyDescent="0.3">
      <c r="A152" s="93" t="s">
        <v>1264</v>
      </c>
      <c r="B152" s="11" t="s">
        <v>471</v>
      </c>
      <c r="C152" s="12" t="s">
        <v>395</v>
      </c>
      <c r="D152" s="12" t="s">
        <v>862</v>
      </c>
      <c r="E152" s="13">
        <v>0.44093072518310439</v>
      </c>
      <c r="F152" s="14">
        <v>372.36402301468354</v>
      </c>
      <c r="G152" s="13">
        <v>0.19039821653623584</v>
      </c>
      <c r="H152" s="74">
        <v>235.10353828272994</v>
      </c>
      <c r="I152" s="15">
        <v>653.48128399848554</v>
      </c>
      <c r="J152" s="64">
        <v>10.223683764427026</v>
      </c>
      <c r="K152" s="16">
        <v>0.30224059146209892</v>
      </c>
      <c r="L152" s="17">
        <v>83.320535043898246</v>
      </c>
      <c r="M152" s="17">
        <v>0.7602500279070824</v>
      </c>
      <c r="N152" s="18">
        <v>0.27149379427987164</v>
      </c>
      <c r="O152" s="19">
        <v>5.6339528646727147E-3</v>
      </c>
      <c r="P152" s="51">
        <v>50.9985</v>
      </c>
      <c r="Q152" s="51">
        <v>100.7176333</v>
      </c>
      <c r="R152" s="10">
        <v>1763</v>
      </c>
      <c r="S152" s="10">
        <v>5</v>
      </c>
      <c r="T152" s="10" t="s">
        <v>1265</v>
      </c>
      <c r="U152" s="10" t="s">
        <v>1254</v>
      </c>
    </row>
    <row r="153" spans="1:24" ht="18.75" x14ac:dyDescent="0.3">
      <c r="A153" s="93" t="s">
        <v>1266</v>
      </c>
      <c r="B153" s="11" t="s">
        <v>474</v>
      </c>
      <c r="C153" s="12" t="s">
        <v>395</v>
      </c>
      <c r="D153" s="12" t="s">
        <v>862</v>
      </c>
      <c r="E153" s="13">
        <v>0.57837848375125034</v>
      </c>
      <c r="F153" s="14">
        <v>615.18606575370268</v>
      </c>
      <c r="G153" s="13">
        <v>0.31566871815232733</v>
      </c>
      <c r="H153" s="74">
        <v>391.29627705786697</v>
      </c>
      <c r="I153" s="15">
        <v>1027.2107282947429</v>
      </c>
      <c r="J153" s="64">
        <v>9.6572911858498216</v>
      </c>
      <c r="K153" s="16">
        <v>0.16587482006175661</v>
      </c>
      <c r="L153" s="17">
        <v>85.67272236469374</v>
      </c>
      <c r="M153" s="17">
        <v>1.2653276412855803</v>
      </c>
      <c r="N153" s="18">
        <v>0.27350651859895464</v>
      </c>
      <c r="O153" s="19">
        <v>5.6280672242906681E-3</v>
      </c>
      <c r="P153" s="51">
        <v>50.9985</v>
      </c>
      <c r="Q153" s="51">
        <v>100.7176333</v>
      </c>
      <c r="R153" s="10">
        <v>1773</v>
      </c>
      <c r="S153" s="10">
        <v>5</v>
      </c>
      <c r="T153" s="10" t="s">
        <v>1265</v>
      </c>
      <c r="U153" s="10" t="s">
        <v>966</v>
      </c>
    </row>
    <row r="154" spans="1:24" ht="18.75" x14ac:dyDescent="0.3">
      <c r="A154" s="93" t="s">
        <v>1267</v>
      </c>
      <c r="B154" s="11" t="s">
        <v>477</v>
      </c>
      <c r="C154" s="12" t="s">
        <v>395</v>
      </c>
      <c r="D154" s="12" t="s">
        <v>862</v>
      </c>
      <c r="E154" s="13">
        <v>0.48881955827197499</v>
      </c>
      <c r="F154" s="14">
        <v>468.79571267387217</v>
      </c>
      <c r="G154" s="13">
        <v>0.22138276305658713</v>
      </c>
      <c r="H154" s="74">
        <v>315.45557978917003</v>
      </c>
      <c r="I154" s="15">
        <v>867.79277717761113</v>
      </c>
      <c r="J154" s="64">
        <v>10.118679904732323</v>
      </c>
      <c r="K154" s="16">
        <v>0.24374936170204142</v>
      </c>
      <c r="L154" s="17">
        <v>85.671201222157322</v>
      </c>
      <c r="M154" s="17">
        <v>1.0200829604263693</v>
      </c>
      <c r="N154" s="18">
        <v>0.28934970103642588</v>
      </c>
      <c r="O154" s="19">
        <v>5.9819770096934599E-3</v>
      </c>
      <c r="P154" s="51">
        <v>50.997149999999998</v>
      </c>
      <c r="Q154" s="51">
        <v>100.71778329999999</v>
      </c>
      <c r="R154" s="10">
        <v>1725</v>
      </c>
      <c r="S154" s="10">
        <v>3</v>
      </c>
      <c r="T154" s="10" t="s">
        <v>1265</v>
      </c>
      <c r="U154" s="10" t="s">
        <v>960</v>
      </c>
    </row>
    <row r="155" spans="1:24" ht="18.75" x14ac:dyDescent="0.3">
      <c r="A155" s="94" t="s">
        <v>1268</v>
      </c>
      <c r="B155" s="21" t="s">
        <v>480</v>
      </c>
      <c r="C155" s="21" t="s">
        <v>870</v>
      </c>
      <c r="D155" s="12" t="s">
        <v>862</v>
      </c>
      <c r="E155" s="13">
        <v>27.595552629785434</v>
      </c>
      <c r="F155" s="14">
        <v>77.065609379028757</v>
      </c>
      <c r="G155" s="22">
        <v>1.0824061302688901</v>
      </c>
      <c r="H155" s="74">
        <v>186.13996249957452</v>
      </c>
      <c r="I155" s="14">
        <v>1947.315902952151</v>
      </c>
      <c r="J155" s="64">
        <v>25.078725418697928</v>
      </c>
      <c r="K155" s="16">
        <v>0.36647571676891111</v>
      </c>
      <c r="L155" s="17">
        <v>19.260334511026372</v>
      </c>
      <c r="M155" s="17">
        <v>1.4982433011510932</v>
      </c>
      <c r="N155" s="18">
        <v>1.0385979494583448</v>
      </c>
      <c r="O155" s="19">
        <v>2.0854222323284505E-2</v>
      </c>
      <c r="P155" s="51">
        <v>50.994549999999997</v>
      </c>
      <c r="Q155" s="51">
        <v>100.7122667</v>
      </c>
      <c r="R155" s="10">
        <v>1670</v>
      </c>
      <c r="S155" s="10">
        <v>2</v>
      </c>
      <c r="T155" s="10" t="s">
        <v>1265</v>
      </c>
      <c r="U155" s="10" t="s">
        <v>1269</v>
      </c>
    </row>
    <row r="156" spans="1:24" ht="18.75" x14ac:dyDescent="0.3">
      <c r="A156" s="93" t="s">
        <v>1270</v>
      </c>
      <c r="B156" s="11" t="s">
        <v>482</v>
      </c>
      <c r="C156" s="12" t="s">
        <v>395</v>
      </c>
      <c r="D156" s="12" t="s">
        <v>862</v>
      </c>
      <c r="E156" s="13">
        <v>0.6797649555172478</v>
      </c>
      <c r="F156" s="14">
        <v>531.22373909324131</v>
      </c>
      <c r="G156" s="13">
        <v>0.87080104719529539</v>
      </c>
      <c r="H156" s="74">
        <v>410.60317459335778</v>
      </c>
      <c r="I156" s="15">
        <v>1386.9471718893349</v>
      </c>
      <c r="J156" s="64">
        <v>12.416734989505949</v>
      </c>
      <c r="K156" s="16">
        <v>0.19138794318175581</v>
      </c>
      <c r="L156" s="17">
        <v>87.300134644546873</v>
      </c>
      <c r="M156" s="17">
        <v>1.3277600040537856</v>
      </c>
      <c r="N156" s="18">
        <v>0.33236346963055019</v>
      </c>
      <c r="O156" s="19">
        <v>6.8572519132142507E-3</v>
      </c>
      <c r="P156" s="51">
        <v>50.549316699999999</v>
      </c>
      <c r="Q156" s="51">
        <v>101.3896167</v>
      </c>
      <c r="R156" s="10">
        <v>1276</v>
      </c>
      <c r="S156" s="10">
        <v>2</v>
      </c>
      <c r="T156" s="10" t="s">
        <v>1271</v>
      </c>
      <c r="U156" s="10" t="s">
        <v>1062</v>
      </c>
    </row>
    <row r="157" spans="1:24" ht="18.75" x14ac:dyDescent="0.3">
      <c r="A157" s="93" t="s">
        <v>1272</v>
      </c>
      <c r="B157" s="11" t="s">
        <v>485</v>
      </c>
      <c r="C157" s="12" t="s">
        <v>395</v>
      </c>
      <c r="D157" s="12" t="s">
        <v>862</v>
      </c>
      <c r="E157" s="13">
        <v>1.070840633507377</v>
      </c>
      <c r="F157" s="14">
        <v>378.58876102424722</v>
      </c>
      <c r="G157" s="13">
        <v>0.55918879709432601</v>
      </c>
      <c r="H157" s="74">
        <v>251.69898153527114</v>
      </c>
      <c r="I157" s="15">
        <v>847.48405445591868</v>
      </c>
      <c r="J157" s="64">
        <v>12.377262973753812</v>
      </c>
      <c r="K157" s="16">
        <v>0.20675700546531439</v>
      </c>
      <c r="L157" s="17">
        <v>72.778256848863194</v>
      </c>
      <c r="M157" s="17">
        <v>0.81391441036610912</v>
      </c>
      <c r="N157" s="18">
        <v>0.28587896208898506</v>
      </c>
      <c r="O157" s="19">
        <v>5.9042058819933716E-3</v>
      </c>
      <c r="P157" s="51">
        <v>50.534999999999997</v>
      </c>
      <c r="Q157" s="51">
        <v>101.3896167</v>
      </c>
      <c r="R157" s="10">
        <v>1340</v>
      </c>
      <c r="S157" s="10">
        <v>12</v>
      </c>
      <c r="T157" s="10" t="s">
        <v>1271</v>
      </c>
      <c r="U157" s="10" t="s">
        <v>1065</v>
      </c>
    </row>
    <row r="158" spans="1:24" ht="18.75" x14ac:dyDescent="0.3">
      <c r="A158" s="94" t="s">
        <v>1273</v>
      </c>
      <c r="B158" s="21" t="s">
        <v>488</v>
      </c>
      <c r="C158" s="21" t="s">
        <v>870</v>
      </c>
      <c r="D158" s="12" t="s">
        <v>862</v>
      </c>
      <c r="E158" s="13">
        <v>0.72653953622890477</v>
      </c>
      <c r="F158" s="14">
        <v>184.97025587210041</v>
      </c>
      <c r="G158" s="22">
        <v>0.33949641452818818</v>
      </c>
      <c r="H158" s="74">
        <v>73.098542241043205</v>
      </c>
      <c r="I158" s="14">
        <v>382.69454778432578</v>
      </c>
      <c r="J158" s="64">
        <v>12.593721179717182</v>
      </c>
      <c r="K158" s="16">
        <v>0.3074327613844422</v>
      </c>
      <c r="L158" s="17">
        <v>63.697288423745476</v>
      </c>
      <c r="M158" s="17">
        <v>0.58837124369144278</v>
      </c>
      <c r="N158" s="18">
        <v>0.16993204131902601</v>
      </c>
      <c r="O158" s="19">
        <v>3.4099733703366196E-3</v>
      </c>
      <c r="P158" s="51">
        <v>50.552416700000002</v>
      </c>
      <c r="Q158" s="51">
        <v>101.39019999999999</v>
      </c>
      <c r="R158" s="10">
        <f>R157+30</f>
        <v>1370</v>
      </c>
      <c r="S158" s="10">
        <v>12</v>
      </c>
      <c r="T158" s="10" t="s">
        <v>1271</v>
      </c>
      <c r="U158" s="10" t="s">
        <v>1274</v>
      </c>
    </row>
    <row r="159" spans="1:24" ht="18.75" x14ac:dyDescent="0.3">
      <c r="A159" s="93" t="s">
        <v>1275</v>
      </c>
      <c r="B159" s="11" t="s">
        <v>490</v>
      </c>
      <c r="C159" s="12" t="s">
        <v>395</v>
      </c>
      <c r="D159" s="12" t="s">
        <v>862</v>
      </c>
      <c r="E159" s="13">
        <v>0.98820945640412583</v>
      </c>
      <c r="F159" s="14">
        <v>603.92288769094796</v>
      </c>
      <c r="G159" s="13">
        <v>0.26445610104471229</v>
      </c>
      <c r="H159" s="74">
        <v>342.5143240526109</v>
      </c>
      <c r="I159" s="15">
        <v>1147.1859507171264</v>
      </c>
      <c r="J159" s="64">
        <v>12.312250356679375</v>
      </c>
      <c r="K159" s="16">
        <v>0.19185179848280776</v>
      </c>
      <c r="L159" s="17">
        <v>79.668148493756277</v>
      </c>
      <c r="M159" s="17">
        <v>1.1075823287118129</v>
      </c>
      <c r="N159" s="18">
        <v>0.24387411430247447</v>
      </c>
      <c r="O159" s="19">
        <v>5.0334357319928398E-3</v>
      </c>
      <c r="P159" s="51">
        <v>50.553150000000002</v>
      </c>
      <c r="Q159" s="51">
        <v>101.3912167</v>
      </c>
      <c r="R159" s="10">
        <f>R157+77</f>
        <v>1417</v>
      </c>
      <c r="S159" s="10">
        <v>15</v>
      </c>
      <c r="T159" s="10" t="s">
        <v>1271</v>
      </c>
      <c r="U159" s="10" t="s">
        <v>1071</v>
      </c>
    </row>
    <row r="160" spans="1:24" ht="18.75" x14ac:dyDescent="0.3">
      <c r="A160" s="93" t="s">
        <v>1276</v>
      </c>
      <c r="B160" s="11" t="s">
        <v>493</v>
      </c>
      <c r="C160" s="12" t="s">
        <v>395</v>
      </c>
      <c r="D160" s="12" t="s">
        <v>862</v>
      </c>
      <c r="E160" s="13">
        <v>0.16208303250106218</v>
      </c>
      <c r="F160" s="14">
        <v>326.548381415557</v>
      </c>
      <c r="G160" s="13">
        <v>0.17301019287017422</v>
      </c>
      <c r="H160" s="74">
        <v>201.39796499252324</v>
      </c>
      <c r="I160" s="15">
        <v>644.00070827204161</v>
      </c>
      <c r="J160" s="64">
        <v>11.756564378175611</v>
      </c>
      <c r="K160" s="16">
        <v>0.20789603191212561</v>
      </c>
      <c r="L160" s="17">
        <v>93.018004706276756</v>
      </c>
      <c r="M160" s="17">
        <v>0.65125692971011584</v>
      </c>
      <c r="N160" s="18">
        <v>0.26520151339099318</v>
      </c>
      <c r="O160" s="19">
        <v>5.5204029241592593E-3</v>
      </c>
      <c r="P160" s="51">
        <v>50.553150000000002</v>
      </c>
      <c r="Q160" s="51">
        <v>101.3912167</v>
      </c>
      <c r="R160" s="10">
        <f>R157+102</f>
        <v>1442</v>
      </c>
      <c r="S160" s="10">
        <v>10</v>
      </c>
      <c r="T160" s="10" t="s">
        <v>1271</v>
      </c>
      <c r="U160" s="10" t="s">
        <v>1277</v>
      </c>
    </row>
    <row r="161" spans="1:24" ht="18.75" x14ac:dyDescent="0.3">
      <c r="A161" s="94" t="s">
        <v>1278</v>
      </c>
      <c r="B161" s="21" t="s">
        <v>496</v>
      </c>
      <c r="C161" s="21" t="s">
        <v>870</v>
      </c>
      <c r="D161" s="12" t="s">
        <v>862</v>
      </c>
      <c r="E161" s="13">
        <v>0.18190430147836034</v>
      </c>
      <c r="F161" s="14">
        <v>375.89788857299612</v>
      </c>
      <c r="G161" s="22">
        <v>0.61433266754751026</v>
      </c>
      <c r="H161" s="74">
        <v>201.8637240261136</v>
      </c>
      <c r="I161" s="14">
        <v>992.2801283874594</v>
      </c>
      <c r="J161" s="64">
        <v>11.827111443448445</v>
      </c>
      <c r="K161" s="16">
        <v>0.18772968293643313</v>
      </c>
      <c r="L161" s="17">
        <v>94.013520459848507</v>
      </c>
      <c r="M161" s="17">
        <v>1.6248040893863882</v>
      </c>
      <c r="N161" s="18">
        <v>0.23091750172034489</v>
      </c>
      <c r="O161" s="19">
        <v>4.632174582488457E-3</v>
      </c>
      <c r="P161" s="51">
        <v>50.553266700000002</v>
      </c>
      <c r="Q161" s="51">
        <v>101.3913833</v>
      </c>
      <c r="R161" s="10">
        <f>R157+120</f>
        <v>1460</v>
      </c>
      <c r="S161" s="10">
        <v>3</v>
      </c>
      <c r="T161" s="10" t="s">
        <v>1271</v>
      </c>
      <c r="U161" s="10" t="s">
        <v>1074</v>
      </c>
      <c r="V161" s="10">
        <f>R161-R156+3</f>
        <v>187</v>
      </c>
      <c r="W161" s="10">
        <f>R161-1143+3</f>
        <v>320</v>
      </c>
      <c r="X161" s="10">
        <f>W161/J161</f>
        <v>27.056479642564121</v>
      </c>
    </row>
    <row r="162" spans="1:24" ht="18.75" x14ac:dyDescent="0.3">
      <c r="A162" s="94" t="s">
        <v>1279</v>
      </c>
      <c r="B162" s="21" t="s">
        <v>498</v>
      </c>
      <c r="C162" s="21" t="s">
        <v>870</v>
      </c>
      <c r="D162" s="12" t="s">
        <v>862</v>
      </c>
      <c r="E162" s="13">
        <v>1.2342357369982875</v>
      </c>
      <c r="F162" s="14">
        <v>204.58967896354403</v>
      </c>
      <c r="G162" s="22">
        <v>0.34803129315391323</v>
      </c>
      <c r="H162" s="74">
        <v>91.297578105006238</v>
      </c>
      <c r="I162" s="14">
        <v>397.81684132729282</v>
      </c>
      <c r="J162" s="64">
        <v>10.487876598833294</v>
      </c>
      <c r="K162" s="16">
        <v>0.25762248872331495</v>
      </c>
      <c r="L162" s="17">
        <v>51.910176076109323</v>
      </c>
      <c r="M162" s="17">
        <v>0.73485555154475191</v>
      </c>
      <c r="N162" s="18">
        <v>0.19188631012099139</v>
      </c>
      <c r="O162" s="19">
        <v>3.856829349206066E-3</v>
      </c>
      <c r="P162" s="51">
        <v>50.616100000000003</v>
      </c>
      <c r="Q162" s="51">
        <v>100.7158167</v>
      </c>
      <c r="R162" s="10">
        <v>1655</v>
      </c>
      <c r="S162" s="10">
        <v>10</v>
      </c>
      <c r="T162" s="10" t="s">
        <v>1280</v>
      </c>
      <c r="U162" s="10" t="s">
        <v>938</v>
      </c>
    </row>
    <row r="163" spans="1:24" ht="18.75" x14ac:dyDescent="0.3">
      <c r="A163" s="93" t="s">
        <v>1281</v>
      </c>
      <c r="B163" s="11" t="s">
        <v>500</v>
      </c>
      <c r="C163" s="12" t="s">
        <v>395</v>
      </c>
      <c r="D163" s="12" t="s">
        <v>862</v>
      </c>
      <c r="E163" s="13">
        <v>2.2526233112160816</v>
      </c>
      <c r="F163" s="14">
        <v>322.08565169157725</v>
      </c>
      <c r="G163" s="13">
        <v>0.14708267424043914</v>
      </c>
      <c r="H163" s="74">
        <v>159.85432008950491</v>
      </c>
      <c r="I163" s="15">
        <v>455.94235396441729</v>
      </c>
      <c r="J163" s="64">
        <v>10.490276483611007</v>
      </c>
      <c r="K163" s="16">
        <v>0.22432870519956308</v>
      </c>
      <c r="L163" s="17">
        <v>40.63876601395112</v>
      </c>
      <c r="M163" s="17">
        <v>0.51691800215684369</v>
      </c>
      <c r="N163" s="18">
        <v>0.21341328704797016</v>
      </c>
      <c r="O163" s="19">
        <v>4.4152843459117769E-3</v>
      </c>
      <c r="P163" s="51">
        <v>50.616583300000002</v>
      </c>
      <c r="Q163" s="51">
        <v>100.71546669999999</v>
      </c>
      <c r="R163" s="10">
        <v>1685</v>
      </c>
      <c r="S163" s="10">
        <v>5</v>
      </c>
      <c r="T163" s="10" t="s">
        <v>1280</v>
      </c>
      <c r="U163" s="10" t="s">
        <v>1282</v>
      </c>
      <c r="V163" s="10">
        <f>R163-R162+15</f>
        <v>45</v>
      </c>
    </row>
    <row r="164" spans="1:24" ht="18.75" x14ac:dyDescent="0.3">
      <c r="A164" s="93" t="s">
        <v>1283</v>
      </c>
      <c r="B164" s="11" t="s">
        <v>503</v>
      </c>
      <c r="C164" s="12" t="s">
        <v>395</v>
      </c>
      <c r="D164" s="12" t="s">
        <v>862</v>
      </c>
      <c r="E164" s="13">
        <v>0.47221684892162052</v>
      </c>
      <c r="F164" s="14">
        <v>155.47387576465687</v>
      </c>
      <c r="G164" s="13">
        <v>8.3429763914341412E-2</v>
      </c>
      <c r="H164" s="74">
        <v>122.06899515398709</v>
      </c>
      <c r="I164" s="15">
        <v>834.54684791216073</v>
      </c>
      <c r="J164" s="64">
        <v>25.043571107139719</v>
      </c>
      <c r="K164" s="16">
        <v>0.41616907287635374</v>
      </c>
      <c r="L164" s="17">
        <v>85.651395717259675</v>
      </c>
      <c r="M164" s="17">
        <v>0.39473228540187072</v>
      </c>
      <c r="N164" s="18">
        <v>0.33761085364379062</v>
      </c>
      <c r="O164" s="19">
        <v>7.0746804035978703E-3</v>
      </c>
      <c r="P164" s="51">
        <v>49.846766700000003</v>
      </c>
      <c r="Q164" s="51">
        <v>100.05151669999999</v>
      </c>
      <c r="R164" s="10">
        <v>1862</v>
      </c>
      <c r="S164" s="10">
        <v>10</v>
      </c>
      <c r="T164" s="10" t="s">
        <v>1284</v>
      </c>
      <c r="U164" s="10" t="s">
        <v>1285</v>
      </c>
    </row>
    <row r="165" spans="1:24" ht="18.75" x14ac:dyDescent="0.3">
      <c r="A165" s="94" t="s">
        <v>1286</v>
      </c>
      <c r="B165" s="21" t="s">
        <v>506</v>
      </c>
      <c r="C165" s="21" t="s">
        <v>1256</v>
      </c>
      <c r="D165" s="12" t="s">
        <v>862</v>
      </c>
      <c r="E165" s="13">
        <v>0.41277269509111691</v>
      </c>
      <c r="F165" s="14">
        <v>172.70506463275532</v>
      </c>
      <c r="G165" s="22">
        <v>0.40466955561524265</v>
      </c>
      <c r="H165" s="74">
        <v>277.20366571365315</v>
      </c>
      <c r="I165" s="14">
        <v>3018.6274392165619</v>
      </c>
      <c r="J165" s="64">
        <v>26.09736193527009</v>
      </c>
      <c r="K165" s="16">
        <v>0.37259235590537387</v>
      </c>
      <c r="L165" s="17">
        <v>95.748582334227962</v>
      </c>
      <c r="M165" s="17">
        <v>2.2312163902523459</v>
      </c>
      <c r="N165" s="18">
        <v>0.69017996959345562</v>
      </c>
      <c r="O165" s="19">
        <v>1.3857100527034307E-2</v>
      </c>
      <c r="P165" s="51">
        <v>49.848133300000001</v>
      </c>
      <c r="Q165" s="51">
        <v>100.05151669999999</v>
      </c>
      <c r="R165" s="10">
        <v>1900</v>
      </c>
      <c r="S165" s="10">
        <v>10</v>
      </c>
      <c r="T165" s="10" t="s">
        <v>1284</v>
      </c>
      <c r="U165" s="10" t="s">
        <v>1287</v>
      </c>
    </row>
    <row r="166" spans="1:24" ht="18.75" x14ac:dyDescent="0.3">
      <c r="A166" s="93" t="s">
        <v>1288</v>
      </c>
      <c r="B166" s="11" t="s">
        <v>509</v>
      </c>
      <c r="C166" s="12" t="s">
        <v>395</v>
      </c>
      <c r="D166" s="12" t="s">
        <v>862</v>
      </c>
      <c r="E166" s="13">
        <v>1.0607648452670577</v>
      </c>
      <c r="F166" s="14">
        <v>420.48709524104896</v>
      </c>
      <c r="G166" s="13">
        <v>0.30420917086005611</v>
      </c>
      <c r="H166" s="74">
        <v>381.24562847280885</v>
      </c>
      <c r="I166" s="15">
        <v>2550.539568474238</v>
      </c>
      <c r="J166" s="64">
        <v>24.509944328890501</v>
      </c>
      <c r="K166" s="16">
        <v>0.35097508236801328</v>
      </c>
      <c r="L166" s="17">
        <v>89.029619681894474</v>
      </c>
      <c r="M166" s="17">
        <v>1.2328270420896386</v>
      </c>
      <c r="N166" s="18">
        <v>0.38987075251222597</v>
      </c>
      <c r="O166" s="19">
        <v>8.0515579085516775E-3</v>
      </c>
      <c r="P166" s="51">
        <v>49.846383299999999</v>
      </c>
      <c r="Q166" s="51">
        <v>100.0515667</v>
      </c>
      <c r="R166" s="10">
        <v>1936</v>
      </c>
      <c r="S166" s="10">
        <v>5</v>
      </c>
      <c r="T166" s="10" t="s">
        <v>1284</v>
      </c>
      <c r="U166" s="10" t="s">
        <v>1254</v>
      </c>
      <c r="V166" s="10">
        <f>R166-R164+45</f>
        <v>119</v>
      </c>
    </row>
    <row r="167" spans="1:24" ht="18.75" x14ac:dyDescent="0.3">
      <c r="A167" s="94" t="s">
        <v>1289</v>
      </c>
      <c r="B167" s="21" t="s">
        <v>512</v>
      </c>
      <c r="C167" s="21" t="s">
        <v>870</v>
      </c>
      <c r="D167" s="12" t="s">
        <v>862</v>
      </c>
      <c r="E167" s="13">
        <v>0.19690285140235589</v>
      </c>
      <c r="F167" s="14">
        <v>292.94730261120543</v>
      </c>
      <c r="G167" s="22">
        <v>0.6908944607844778</v>
      </c>
      <c r="H167" s="74">
        <v>167.79303278031378</v>
      </c>
      <c r="I167" s="14">
        <v>396.47583346722172</v>
      </c>
      <c r="J167" s="64">
        <v>5.6948520966362839</v>
      </c>
      <c r="K167" s="16">
        <v>0.13143338838148519</v>
      </c>
      <c r="L167" s="17">
        <v>85.864317080158727</v>
      </c>
      <c r="M167" s="17">
        <v>1.3505685934771019</v>
      </c>
      <c r="N167" s="18">
        <v>0.24629345773936853</v>
      </c>
      <c r="O167" s="19">
        <v>4.9403208870141919E-3</v>
      </c>
      <c r="P167" s="51">
        <v>51.438650000000003</v>
      </c>
      <c r="Q167" s="51">
        <v>99.216800000000006</v>
      </c>
      <c r="R167" s="10">
        <v>1545</v>
      </c>
      <c r="S167" s="10">
        <v>10</v>
      </c>
      <c r="T167" s="10" t="s">
        <v>1290</v>
      </c>
      <c r="U167" s="10" t="s">
        <v>1062</v>
      </c>
    </row>
    <row r="168" spans="1:24" ht="18.75" x14ac:dyDescent="0.3">
      <c r="A168" s="93" t="s">
        <v>1291</v>
      </c>
      <c r="B168" s="11" t="s">
        <v>514</v>
      </c>
      <c r="C168" s="12" t="s">
        <v>395</v>
      </c>
      <c r="D168" s="12" t="s">
        <v>862</v>
      </c>
      <c r="E168" s="13">
        <v>0.3297596887196485</v>
      </c>
      <c r="F168" s="14">
        <v>631.35717098000384</v>
      </c>
      <c r="G168" s="13">
        <v>0.30894363548356202</v>
      </c>
      <c r="H168" s="74">
        <v>401.41977116787422</v>
      </c>
      <c r="I168" s="15">
        <v>626.18427476456975</v>
      </c>
      <c r="J168" s="64">
        <v>5.7448018272108579</v>
      </c>
      <c r="K168" s="16">
        <v>0.17622879781277428</v>
      </c>
      <c r="L168" s="17">
        <v>86.427686976319606</v>
      </c>
      <c r="M168" s="17">
        <v>1.2980637997282265</v>
      </c>
      <c r="N168" s="18">
        <v>0.27339596275473804</v>
      </c>
      <c r="O168" s="19">
        <v>5.6380359725784791E-3</v>
      </c>
      <c r="P168" s="51">
        <v>51.438866699999998</v>
      </c>
      <c r="Q168" s="51">
        <v>99.217150000000004</v>
      </c>
      <c r="R168" s="10">
        <v>1555</v>
      </c>
      <c r="S168" s="10">
        <v>10</v>
      </c>
      <c r="T168" s="10" t="s">
        <v>1290</v>
      </c>
      <c r="U168" s="10" t="s">
        <v>1065</v>
      </c>
    </row>
    <row r="169" spans="1:24" ht="18.75" x14ac:dyDescent="0.3">
      <c r="A169" s="93" t="s">
        <v>1292</v>
      </c>
      <c r="B169" s="11" t="s">
        <v>517</v>
      </c>
      <c r="C169" s="12" t="s">
        <v>395</v>
      </c>
      <c r="D169" s="12" t="s">
        <v>862</v>
      </c>
      <c r="E169" s="13">
        <v>0.34652705470343076</v>
      </c>
      <c r="F169" s="14">
        <v>559.25025817282324</v>
      </c>
      <c r="G169" s="13">
        <v>0.17658875823531497</v>
      </c>
      <c r="H169" s="74">
        <v>219.49901254293798</v>
      </c>
      <c r="I169" s="15">
        <v>336.99520996326078</v>
      </c>
      <c r="J169" s="64">
        <v>5.6542328883386066</v>
      </c>
      <c r="K169" s="16">
        <v>0.29908146011609377</v>
      </c>
      <c r="L169" s="17">
        <v>76.61145769833044</v>
      </c>
      <c r="M169" s="17">
        <v>0.70978995735345651</v>
      </c>
      <c r="N169" s="18">
        <v>0.16876983785726921</v>
      </c>
      <c r="O169" s="19">
        <v>3.4912891526667263E-3</v>
      </c>
      <c r="P169" s="51">
        <v>51.439216700000003</v>
      </c>
      <c r="Q169" s="51">
        <v>99.217316699999998</v>
      </c>
      <c r="R169" s="10">
        <f>R167+43</f>
        <v>1588</v>
      </c>
      <c r="S169" s="10">
        <v>4</v>
      </c>
      <c r="T169" s="10" t="s">
        <v>1290</v>
      </c>
      <c r="U169" s="10" t="s">
        <v>1259</v>
      </c>
    </row>
    <row r="170" spans="1:24" ht="18.75" x14ac:dyDescent="0.3">
      <c r="A170" s="93" t="s">
        <v>1293</v>
      </c>
      <c r="B170" s="11" t="s">
        <v>520</v>
      </c>
      <c r="C170" s="12" t="s">
        <v>395</v>
      </c>
      <c r="D170" s="12" t="s">
        <v>862</v>
      </c>
      <c r="E170" s="13">
        <v>0.218352638407322</v>
      </c>
      <c r="F170" s="14">
        <v>313.20512472901356</v>
      </c>
      <c r="G170" s="13">
        <v>0.11190808253717775</v>
      </c>
      <c r="H170" s="74">
        <v>107.83958856756112</v>
      </c>
      <c r="I170" s="15">
        <v>166.74351805923374</v>
      </c>
      <c r="J170" s="64">
        <v>5.6944062414944536</v>
      </c>
      <c r="K170" s="16">
        <v>0.23660399754234965</v>
      </c>
      <c r="L170" s="17">
        <v>72.026836681607051</v>
      </c>
      <c r="M170" s="17">
        <v>0.34871891259834353</v>
      </c>
      <c r="N170" s="18">
        <v>0.14805320674165753</v>
      </c>
      <c r="O170" s="19">
        <v>3.0696884583927015E-3</v>
      </c>
      <c r="P170" s="51">
        <v>51.439483299999999</v>
      </c>
      <c r="Q170" s="51">
        <v>99.217583300000001</v>
      </c>
      <c r="R170" s="10">
        <f>R167+59</f>
        <v>1604</v>
      </c>
      <c r="S170" s="10">
        <v>7</v>
      </c>
      <c r="T170" s="10" t="s">
        <v>1290</v>
      </c>
      <c r="U170" s="10" t="s">
        <v>1071</v>
      </c>
    </row>
    <row r="171" spans="1:24" ht="18.75" x14ac:dyDescent="0.3">
      <c r="A171" s="93" t="s">
        <v>1294</v>
      </c>
      <c r="B171" s="11" t="s">
        <v>523</v>
      </c>
      <c r="C171" s="12" t="s">
        <v>395</v>
      </c>
      <c r="D171" s="12" t="s">
        <v>862</v>
      </c>
      <c r="E171" s="13">
        <v>0.561288366281262</v>
      </c>
      <c r="F171" s="14">
        <v>638.509932989145</v>
      </c>
      <c r="G171" s="13">
        <v>0.36811985867867325</v>
      </c>
      <c r="H171" s="74">
        <v>356.87823040156974</v>
      </c>
      <c r="I171" s="15">
        <v>516.27619887659216</v>
      </c>
      <c r="J171" s="64">
        <v>5.3282396326570032</v>
      </c>
      <c r="K171" s="16">
        <v>0.13099967490400929</v>
      </c>
      <c r="L171" s="17">
        <v>75.597047310313073</v>
      </c>
      <c r="M171" s="17">
        <v>1.1540306309467132</v>
      </c>
      <c r="N171" s="18">
        <v>0.24033712107542712</v>
      </c>
      <c r="O171" s="19">
        <v>4.9432512545011078E-3</v>
      </c>
      <c r="P171" s="51">
        <v>51.440049999999999</v>
      </c>
      <c r="Q171" s="51">
        <v>99.217799999999997</v>
      </c>
      <c r="R171" s="10">
        <f>R167+76</f>
        <v>1621</v>
      </c>
      <c r="S171" s="10">
        <v>7</v>
      </c>
      <c r="T171" s="10" t="s">
        <v>1290</v>
      </c>
      <c r="U171" s="10" t="s">
        <v>1074</v>
      </c>
      <c r="V171" s="10">
        <f>R171-R167+7</f>
        <v>83</v>
      </c>
      <c r="W171" s="10">
        <v>83</v>
      </c>
    </row>
    <row r="172" spans="1:24" s="20" customFormat="1" ht="18.75" x14ac:dyDescent="0.3">
      <c r="A172" s="93" t="s">
        <v>1295</v>
      </c>
      <c r="B172" s="11" t="s">
        <v>526</v>
      </c>
      <c r="C172" s="12" t="s">
        <v>395</v>
      </c>
      <c r="D172" s="12" t="s">
        <v>862</v>
      </c>
      <c r="E172" s="13">
        <v>3.6393092412777905</v>
      </c>
      <c r="F172" s="14">
        <v>455.52619651319753</v>
      </c>
      <c r="G172" s="13">
        <v>0.42739680121053053</v>
      </c>
      <c r="H172" s="74">
        <v>662.70497037474206</v>
      </c>
      <c r="I172" s="15">
        <v>4165.5160450891799</v>
      </c>
      <c r="J172" s="64">
        <v>23.03779363946709</v>
      </c>
      <c r="K172" s="16">
        <v>0.33854378839396454</v>
      </c>
      <c r="L172" s="17">
        <v>79.458240628344001</v>
      </c>
      <c r="M172" s="17">
        <v>2.1429769875078448</v>
      </c>
      <c r="N172" s="18">
        <v>0.62556915374434041</v>
      </c>
      <c r="O172" s="19">
        <v>1.2920854410306368E-2</v>
      </c>
      <c r="P172" s="51">
        <v>50.139783299999998</v>
      </c>
      <c r="Q172" s="51">
        <v>99.320583299999996</v>
      </c>
      <c r="R172" s="20">
        <v>1960</v>
      </c>
      <c r="S172" s="20">
        <v>14</v>
      </c>
      <c r="T172" s="20" t="s">
        <v>1296</v>
      </c>
      <c r="U172" s="20" t="s">
        <v>969</v>
      </c>
    </row>
    <row r="173" spans="1:24" ht="18.75" x14ac:dyDescent="0.3">
      <c r="A173" s="93" t="s">
        <v>1297</v>
      </c>
      <c r="B173" s="11" t="s">
        <v>529</v>
      </c>
      <c r="C173" s="12" t="s">
        <v>395</v>
      </c>
      <c r="D173" s="12" t="s">
        <v>862</v>
      </c>
      <c r="E173" s="13">
        <v>4.7690908780413963</v>
      </c>
      <c r="F173" s="14">
        <v>450.75379143787683</v>
      </c>
      <c r="G173" s="13">
        <v>0.35366271821484357</v>
      </c>
      <c r="H173" s="74">
        <v>486.92825380487909</v>
      </c>
      <c r="I173" s="15">
        <v>3066.0774340704716</v>
      </c>
      <c r="J173" s="64">
        <v>23.0783926540851</v>
      </c>
      <c r="K173" s="16">
        <v>0.33010969959345621</v>
      </c>
      <c r="L173" s="17">
        <v>68.494184659798719</v>
      </c>
      <c r="M173" s="17">
        <v>1.5745710219755511</v>
      </c>
      <c r="N173" s="18">
        <v>0.46450890289395325</v>
      </c>
      <c r="O173" s="19">
        <v>9.6132601562557568E-3</v>
      </c>
      <c r="P173" s="51">
        <v>50.140033299999999</v>
      </c>
      <c r="Q173" s="51">
        <v>99.303849999999997</v>
      </c>
      <c r="R173" s="10">
        <v>1974</v>
      </c>
      <c r="S173" s="10">
        <v>10</v>
      </c>
      <c r="T173" s="10" t="s">
        <v>1296</v>
      </c>
      <c r="U173" s="10" t="s">
        <v>960</v>
      </c>
    </row>
    <row r="174" spans="1:24" ht="18.75" x14ac:dyDescent="0.3">
      <c r="A174" s="93" t="s">
        <v>1298</v>
      </c>
      <c r="B174" s="11" t="s">
        <v>535</v>
      </c>
      <c r="C174" s="12" t="s">
        <v>395</v>
      </c>
      <c r="D174" s="12" t="s">
        <v>862</v>
      </c>
      <c r="E174" s="13">
        <v>0.59839024107523076</v>
      </c>
      <c r="F174" s="14">
        <v>440.19542901113726</v>
      </c>
      <c r="G174" s="13">
        <v>0.53109293515987521</v>
      </c>
      <c r="H174" s="74">
        <v>686.52646260710867</v>
      </c>
      <c r="I174" s="15">
        <v>4329.9415058456689</v>
      </c>
      <c r="J174" s="64">
        <v>23.115732933496364</v>
      </c>
      <c r="K174" s="16">
        <v>0.32770612306647662</v>
      </c>
      <c r="L174" s="17">
        <v>96.044443079415515</v>
      </c>
      <c r="M174" s="17">
        <v>2.2200081128865961</v>
      </c>
      <c r="N174" s="18">
        <v>0.67062572545156485</v>
      </c>
      <c r="O174" s="19">
        <v>1.3877993067914566E-2</v>
      </c>
      <c r="P174" s="51">
        <v>50.139933300000003</v>
      </c>
      <c r="Q174" s="51">
        <v>99.318683300000004</v>
      </c>
      <c r="R174" s="10">
        <v>2011</v>
      </c>
      <c r="S174" s="10">
        <v>7</v>
      </c>
      <c r="T174" s="10" t="s">
        <v>1296</v>
      </c>
      <c r="U174" s="10" t="s">
        <v>966</v>
      </c>
      <c r="V174" s="10">
        <f>2065-R172</f>
        <v>105</v>
      </c>
    </row>
    <row r="175" spans="1:24" ht="18.75" x14ac:dyDescent="0.3">
      <c r="A175" s="93" t="s">
        <v>1299</v>
      </c>
      <c r="B175" s="11" t="s">
        <v>538</v>
      </c>
      <c r="C175" s="12" t="s">
        <v>395</v>
      </c>
      <c r="D175" s="12" t="s">
        <v>862</v>
      </c>
      <c r="E175" s="13">
        <v>0.5391998200915783</v>
      </c>
      <c r="F175" s="14">
        <v>429.66998147224513</v>
      </c>
      <c r="G175" s="13">
        <v>0.42492826766104391</v>
      </c>
      <c r="H175" s="74">
        <v>697.482019487446</v>
      </c>
      <c r="I175" s="15">
        <v>4407.3957683697581</v>
      </c>
      <c r="J175" s="64">
        <v>23.159368010009366</v>
      </c>
      <c r="K175" s="16">
        <v>0.32793308805142041</v>
      </c>
      <c r="L175" s="17">
        <v>96.478280258336</v>
      </c>
      <c r="M175" s="17">
        <v>2.2554348975485854</v>
      </c>
      <c r="N175" s="18">
        <v>0.69801773759467334</v>
      </c>
      <c r="O175" s="19">
        <v>1.444919851585043E-2</v>
      </c>
      <c r="P175" s="51">
        <v>50.100083300000001</v>
      </c>
      <c r="Q175" s="51">
        <v>99.397316700000005</v>
      </c>
      <c r="R175" s="10">
        <v>1932</v>
      </c>
      <c r="S175" s="10">
        <v>8</v>
      </c>
      <c r="T175" s="10" t="s">
        <v>1300</v>
      </c>
      <c r="U175" s="10" t="s">
        <v>1094</v>
      </c>
    </row>
    <row r="176" spans="1:24" ht="18.75" x14ac:dyDescent="0.3">
      <c r="A176" s="93" t="s">
        <v>1301</v>
      </c>
      <c r="B176" s="11" t="s">
        <v>541</v>
      </c>
      <c r="C176" s="12" t="s">
        <v>395</v>
      </c>
      <c r="D176" s="12" t="s">
        <v>862</v>
      </c>
      <c r="E176" s="13">
        <v>0.40354001468905354</v>
      </c>
      <c r="F176" s="14">
        <v>384.03115489770499</v>
      </c>
      <c r="G176" s="13">
        <v>0.2449603870595802</v>
      </c>
      <c r="H176" s="74">
        <v>350.59474277657671</v>
      </c>
      <c r="I176" s="15">
        <v>2006.001232687476</v>
      </c>
      <c r="J176" s="64">
        <v>20.982892513404341</v>
      </c>
      <c r="K176" s="16">
        <v>0.30483487484872701</v>
      </c>
      <c r="L176" s="17">
        <v>94.354455077925806</v>
      </c>
      <c r="M176" s="17">
        <v>1.1337118315056345</v>
      </c>
      <c r="N176" s="18">
        <v>0.39256122184692294</v>
      </c>
      <c r="O176" s="19">
        <v>8.1073820001879779E-3</v>
      </c>
      <c r="P176" s="51">
        <v>50.100900000000003</v>
      </c>
      <c r="Q176" s="51">
        <v>99.372916700000005</v>
      </c>
      <c r="R176" s="10">
        <v>2021</v>
      </c>
      <c r="S176" s="10">
        <v>11</v>
      </c>
      <c r="T176" s="10" t="s">
        <v>1300</v>
      </c>
      <c r="U176" s="10" t="s">
        <v>1302</v>
      </c>
      <c r="V176" s="10">
        <f>R176-R175+11</f>
        <v>100</v>
      </c>
    </row>
    <row r="177" spans="1:24" ht="18.75" x14ac:dyDescent="0.3">
      <c r="A177" s="93" t="s">
        <v>1303</v>
      </c>
      <c r="B177" s="11" t="s">
        <v>544</v>
      </c>
      <c r="C177" s="12" t="s">
        <v>395</v>
      </c>
      <c r="D177" s="12" t="s">
        <v>862</v>
      </c>
      <c r="E177" s="13">
        <v>0.36153516238401739</v>
      </c>
      <c r="F177" s="14">
        <v>470.99473752678978</v>
      </c>
      <c r="G177" s="13">
        <v>0.38263322641358455</v>
      </c>
      <c r="H177" s="74">
        <v>539.5230961480629</v>
      </c>
      <c r="I177" s="15">
        <v>3081.9978484360267</v>
      </c>
      <c r="J177" s="64">
        <v>20.94912618871496</v>
      </c>
      <c r="K177" s="16">
        <v>0.31643966467324547</v>
      </c>
      <c r="L177" s="17">
        <v>96.613710904944284</v>
      </c>
      <c r="M177" s="17">
        <v>1.7446460053264561</v>
      </c>
      <c r="N177" s="18">
        <v>0.49256374404920261</v>
      </c>
      <c r="O177" s="19">
        <v>1.0173633922204493E-2</v>
      </c>
      <c r="P177" s="51">
        <v>50.104133300000001</v>
      </c>
      <c r="Q177" s="51">
        <v>99.377883299999993</v>
      </c>
      <c r="R177" s="10">
        <v>2000</v>
      </c>
      <c r="S177" s="10">
        <v>11</v>
      </c>
      <c r="T177" s="10" t="s">
        <v>1300</v>
      </c>
      <c r="U177" s="10" t="s">
        <v>1086</v>
      </c>
    </row>
    <row r="178" spans="1:24" ht="18.75" x14ac:dyDescent="0.3">
      <c r="A178" s="93" t="s">
        <v>1304</v>
      </c>
      <c r="B178" s="11" t="s">
        <v>547</v>
      </c>
      <c r="C178" s="12" t="s">
        <v>395</v>
      </c>
      <c r="D178" s="12" t="s">
        <v>862</v>
      </c>
      <c r="E178" s="13">
        <v>1.8103413998961391</v>
      </c>
      <c r="F178" s="14">
        <v>415.94395048361173</v>
      </c>
      <c r="G178" s="13">
        <v>3.3005023314079764</v>
      </c>
      <c r="H178" s="74">
        <v>397.45216477464038</v>
      </c>
      <c r="I178" s="15">
        <v>2257.0182970674705</v>
      </c>
      <c r="J178" s="64">
        <v>20.826132800166647</v>
      </c>
      <c r="K178" s="16">
        <v>0.30161992249062552</v>
      </c>
      <c r="L178" s="17">
        <v>80.814020810424793</v>
      </c>
      <c r="M178" s="17">
        <v>1.2852338232284559</v>
      </c>
      <c r="N178" s="18">
        <v>0.41088331890483648</v>
      </c>
      <c r="O178" s="19">
        <v>8.510555754934623E-3</v>
      </c>
      <c r="P178" s="51">
        <v>50.108750000000001</v>
      </c>
      <c r="Q178" s="51">
        <v>99.3779167</v>
      </c>
      <c r="R178" s="10">
        <v>1979</v>
      </c>
      <c r="S178" s="10">
        <v>7</v>
      </c>
      <c r="T178" s="10" t="s">
        <v>1300</v>
      </c>
      <c r="U178" s="10" t="s">
        <v>1091</v>
      </c>
    </row>
    <row r="179" spans="1:24" ht="18.75" x14ac:dyDescent="0.3">
      <c r="A179" s="94" t="s">
        <v>1305</v>
      </c>
      <c r="B179" s="21" t="s">
        <v>550</v>
      </c>
      <c r="C179" s="21" t="s">
        <v>870</v>
      </c>
      <c r="D179" s="12" t="s">
        <v>862</v>
      </c>
      <c r="E179" s="13">
        <v>0.61118107762946405</v>
      </c>
      <c r="F179" s="14">
        <v>135.70906109917209</v>
      </c>
      <c r="G179" s="22">
        <v>10.925056796948265</v>
      </c>
      <c r="H179" s="74">
        <v>437.48976368519675</v>
      </c>
      <c r="I179" s="14">
        <v>2410.0413441780584</v>
      </c>
      <c r="J179" s="64">
        <v>13.249158981276844</v>
      </c>
      <c r="K179" s="16">
        <v>0.197394385700357</v>
      </c>
      <c r="L179" s="17">
        <v>92.300526221044876</v>
      </c>
      <c r="M179" s="17">
        <v>3.5213615548301131</v>
      </c>
      <c r="N179" s="18">
        <v>1.3862051425376949</v>
      </c>
      <c r="O179" s="19">
        <v>2.7851578215770192E-2</v>
      </c>
      <c r="P179" s="51">
        <v>49.5401667</v>
      </c>
      <c r="Q179" s="51">
        <v>98.025316700000005</v>
      </c>
      <c r="R179" s="10">
        <v>1970</v>
      </c>
      <c r="S179" s="10">
        <v>8</v>
      </c>
      <c r="T179" s="10" t="s">
        <v>1306</v>
      </c>
      <c r="U179" s="10" t="s">
        <v>1307</v>
      </c>
    </row>
    <row r="180" spans="1:24" ht="18.75" x14ac:dyDescent="0.3">
      <c r="A180" s="93" t="s">
        <v>1308</v>
      </c>
      <c r="B180" s="11" t="s">
        <v>552</v>
      </c>
      <c r="C180" s="12" t="s">
        <v>395</v>
      </c>
      <c r="D180" s="12" t="s">
        <v>862</v>
      </c>
      <c r="E180" s="13">
        <v>0.43262719947880901</v>
      </c>
      <c r="F180" s="14">
        <v>294.82639409653166</v>
      </c>
      <c r="G180" s="13">
        <v>0.43160312839289855</v>
      </c>
      <c r="H180" s="74">
        <v>602.97429331420437</v>
      </c>
      <c r="I180" s="15">
        <v>2006.7153844289974</v>
      </c>
      <c r="J180" s="64">
        <v>12.23428835141581</v>
      </c>
      <c r="K180" s="16">
        <v>0.20158418378902052</v>
      </c>
      <c r="L180" s="17">
        <v>93.952722953127036</v>
      </c>
      <c r="M180" s="17">
        <v>1.9498269854539692</v>
      </c>
      <c r="N180" s="18">
        <v>0.87942922111720812</v>
      </c>
      <c r="O180" s="19">
        <v>1.8280515574875818E-2</v>
      </c>
      <c r="P180" s="51">
        <v>49.523533299999997</v>
      </c>
      <c r="Q180" s="51">
        <v>98.0273167</v>
      </c>
      <c r="R180" s="10">
        <f>R179+33</f>
        <v>2003</v>
      </c>
      <c r="S180" s="10">
        <v>19</v>
      </c>
      <c r="T180" s="10" t="s">
        <v>1306</v>
      </c>
      <c r="U180" s="10" t="s">
        <v>1309</v>
      </c>
    </row>
    <row r="181" spans="1:24" ht="18.75" x14ac:dyDescent="0.3">
      <c r="A181" s="93" t="s">
        <v>1310</v>
      </c>
      <c r="B181" s="11" t="s">
        <v>555</v>
      </c>
      <c r="C181" s="12" t="s">
        <v>395</v>
      </c>
      <c r="D181" s="12" t="s">
        <v>862</v>
      </c>
      <c r="E181" s="13">
        <v>0.37109941348844028</v>
      </c>
      <c r="F181" s="14">
        <v>320.16303426305336</v>
      </c>
      <c r="G181" s="13">
        <v>0.36286689724228116</v>
      </c>
      <c r="H181" s="74">
        <v>455.83009218007732</v>
      </c>
      <c r="I181" s="15">
        <v>1520.8419958332402</v>
      </c>
      <c r="J181" s="64">
        <v>12.265044715812259</v>
      </c>
      <c r="K181" s="16">
        <v>0.18201086557162041</v>
      </c>
      <c r="L181" s="17">
        <v>93.217510075505501</v>
      </c>
      <c r="M181" s="17">
        <v>1.4740094633711771</v>
      </c>
      <c r="N181" s="18">
        <v>0.61220977646154306</v>
      </c>
      <c r="O181" s="19">
        <v>1.2658401156287748E-2</v>
      </c>
      <c r="P181" s="51">
        <v>49.52375</v>
      </c>
      <c r="Q181" s="51">
        <v>98.02825</v>
      </c>
      <c r="R181" s="10">
        <f>R179+83</f>
        <v>2053</v>
      </c>
      <c r="S181" s="10">
        <v>5</v>
      </c>
      <c r="T181" s="10" t="s">
        <v>1306</v>
      </c>
      <c r="U181" s="10" t="s">
        <v>1311</v>
      </c>
    </row>
    <row r="182" spans="1:24" ht="18.75" x14ac:dyDescent="0.3">
      <c r="A182" s="93" t="s">
        <v>1312</v>
      </c>
      <c r="B182" s="23" t="s">
        <v>558</v>
      </c>
      <c r="C182" s="12" t="s">
        <v>395</v>
      </c>
      <c r="D182" s="12" t="s">
        <v>862</v>
      </c>
      <c r="E182" s="13">
        <v>0.50514881790341082</v>
      </c>
      <c r="F182" s="14">
        <v>285.00835624615053</v>
      </c>
      <c r="G182" s="13">
        <v>1.0355267942471864</v>
      </c>
      <c r="H182" s="74">
        <v>865.87289178148683</v>
      </c>
      <c r="I182" s="15">
        <v>2708.192464278136</v>
      </c>
      <c r="J182" s="64">
        <v>11.500199108591202</v>
      </c>
      <c r="K182" s="16">
        <v>0.16732074592565965</v>
      </c>
      <c r="L182" s="17">
        <v>94.712039383812098</v>
      </c>
      <c r="M182" s="17">
        <v>2.799957393024131</v>
      </c>
      <c r="N182" s="18">
        <v>1.3063664110412136</v>
      </c>
      <c r="O182" s="19">
        <v>2.6948755201701483E-2</v>
      </c>
      <c r="P182" s="51">
        <v>49.5249667</v>
      </c>
      <c r="Q182" s="51">
        <v>98.029949999999999</v>
      </c>
      <c r="R182" s="10">
        <f>R179+100</f>
        <v>2070</v>
      </c>
      <c r="S182" s="10">
        <v>8</v>
      </c>
      <c r="T182" s="10" t="s">
        <v>1306</v>
      </c>
      <c r="U182" s="10" t="s">
        <v>1313</v>
      </c>
    </row>
    <row r="183" spans="1:24" ht="18.75" x14ac:dyDescent="0.3">
      <c r="A183" s="93" t="s">
        <v>1314</v>
      </c>
      <c r="B183" s="11" t="s">
        <v>561</v>
      </c>
      <c r="C183" s="12" t="s">
        <v>395</v>
      </c>
      <c r="D183" s="12" t="s">
        <v>862</v>
      </c>
      <c r="E183" s="13">
        <v>1.974719127679313</v>
      </c>
      <c r="F183" s="14">
        <v>464.54345891410298</v>
      </c>
      <c r="G183" s="13">
        <v>0.48048994020440911</v>
      </c>
      <c r="H183" s="74">
        <v>705.70648956202876</v>
      </c>
      <c r="I183" s="15">
        <v>2216.6557997977407</v>
      </c>
      <c r="J183" s="64">
        <v>11.549102853951592</v>
      </c>
      <c r="K183" s="16">
        <v>0.16787915186155461</v>
      </c>
      <c r="L183" s="17">
        <v>79.117595540362572</v>
      </c>
      <c r="M183" s="17">
        <v>2.2820302165701274</v>
      </c>
      <c r="N183" s="18">
        <v>0.6532301438944228</v>
      </c>
      <c r="O183" s="19">
        <v>1.3514752578291548E-2</v>
      </c>
      <c r="P183" s="51">
        <v>49.525316699999998</v>
      </c>
      <c r="Q183" s="51">
        <v>98.029616700000005</v>
      </c>
      <c r="R183" s="10">
        <f>R179+116</f>
        <v>2086</v>
      </c>
      <c r="S183" s="10">
        <v>5</v>
      </c>
      <c r="T183" s="10" t="s">
        <v>1306</v>
      </c>
      <c r="U183" s="10" t="s">
        <v>1315</v>
      </c>
    </row>
    <row r="184" spans="1:24" ht="18.75" x14ac:dyDescent="0.3">
      <c r="A184" s="93" t="s">
        <v>1316</v>
      </c>
      <c r="B184" s="11" t="s">
        <v>564</v>
      </c>
      <c r="C184" s="12" t="s">
        <v>1232</v>
      </c>
      <c r="D184" s="12" t="s">
        <v>862</v>
      </c>
      <c r="E184" s="13">
        <v>0.79481706876959834</v>
      </c>
      <c r="F184" s="14">
        <v>370.24526953456717</v>
      </c>
      <c r="G184" s="13">
        <v>0.3875839444984901</v>
      </c>
      <c r="H184" s="74">
        <v>528.41752126431265</v>
      </c>
      <c r="I184" s="15">
        <v>1627.3020347631063</v>
      </c>
      <c r="J184" s="64">
        <v>11.323798701426449</v>
      </c>
      <c r="K184" s="16">
        <v>0.17507993134919453</v>
      </c>
      <c r="L184" s="17">
        <v>87.333956620679544</v>
      </c>
      <c r="M184" s="17">
        <v>1.7087341101803186</v>
      </c>
      <c r="N184" s="18">
        <v>0.61370003303294218</v>
      </c>
      <c r="O184" s="19">
        <v>1.2642016611690917E-2</v>
      </c>
      <c r="P184" s="51">
        <v>49.525633300000003</v>
      </c>
      <c r="Q184" s="51">
        <v>98.029033299999995</v>
      </c>
      <c r="R184" s="10">
        <f>R179+132</f>
        <v>2102</v>
      </c>
      <c r="S184" s="10">
        <v>2</v>
      </c>
      <c r="T184" s="10" t="s">
        <v>1306</v>
      </c>
      <c r="U184" s="10" t="s">
        <v>1158</v>
      </c>
      <c r="V184" s="10">
        <f>R184-R179+2</f>
        <v>134</v>
      </c>
    </row>
    <row r="185" spans="1:24" ht="18.75" x14ac:dyDescent="0.3">
      <c r="A185" s="93" t="s">
        <v>1317</v>
      </c>
      <c r="B185" s="23" t="s">
        <v>567</v>
      </c>
      <c r="C185" s="12" t="s">
        <v>395</v>
      </c>
      <c r="D185" s="12" t="s">
        <v>862</v>
      </c>
      <c r="E185" s="13">
        <v>1.1511547388558283</v>
      </c>
      <c r="F185" s="14">
        <v>412.70292166161994</v>
      </c>
      <c r="G185" s="13">
        <v>0.51191053451098545</v>
      </c>
      <c r="H185" s="74">
        <v>713.0962965320191</v>
      </c>
      <c r="I185" s="15">
        <v>2336.0408798577173</v>
      </c>
      <c r="J185" s="64">
        <v>12.043339858790336</v>
      </c>
      <c r="K185" s="16">
        <v>0.17913497267590914</v>
      </c>
      <c r="L185" s="17">
        <v>87.237341054909294</v>
      </c>
      <c r="M185" s="17">
        <v>2.3059265007188028</v>
      </c>
      <c r="N185" s="18">
        <v>0.74298336991221736</v>
      </c>
      <c r="O185" s="19">
        <v>1.5292583834225671E-2</v>
      </c>
      <c r="P185" s="51">
        <v>49.471066700000002</v>
      </c>
      <c r="Q185" s="51">
        <v>97.782266699999994</v>
      </c>
      <c r="R185" s="10">
        <v>1715</v>
      </c>
      <c r="S185" s="10">
        <v>2</v>
      </c>
      <c r="T185" s="10" t="s">
        <v>1318</v>
      </c>
      <c r="U185" s="10" t="s">
        <v>969</v>
      </c>
    </row>
    <row r="186" spans="1:24" ht="18.75" x14ac:dyDescent="0.3">
      <c r="A186" s="93" t="s">
        <v>1319</v>
      </c>
      <c r="B186" s="11" t="s">
        <v>570</v>
      </c>
      <c r="C186" s="12" t="s">
        <v>395</v>
      </c>
      <c r="D186" s="12" t="s">
        <v>862</v>
      </c>
      <c r="E186" s="13">
        <v>0.25161932025432038</v>
      </c>
      <c r="F186" s="14">
        <v>253.11572500379773</v>
      </c>
      <c r="G186" s="13">
        <v>0.25421936535335643</v>
      </c>
      <c r="H186" s="74">
        <v>335.54519306471087</v>
      </c>
      <c r="I186" s="15">
        <v>741.32085682342313</v>
      </c>
      <c r="J186" s="64">
        <v>8.1309283502743224</v>
      </c>
      <c r="K186" s="16">
        <v>0.13672157348497435</v>
      </c>
      <c r="L186" s="17">
        <v>90.801413204470066</v>
      </c>
      <c r="M186" s="17">
        <v>1.0850463768212568</v>
      </c>
      <c r="N186" s="18">
        <v>0.57003346202872551</v>
      </c>
      <c r="O186" s="19">
        <v>1.1820586002769261E-2</v>
      </c>
      <c r="P186" s="51">
        <v>49.471066700000002</v>
      </c>
      <c r="Q186" s="51">
        <v>97.782266699999994</v>
      </c>
      <c r="R186" s="10">
        <f>R185+42</f>
        <v>1757</v>
      </c>
      <c r="S186" s="10">
        <v>16</v>
      </c>
      <c r="T186" s="10" t="s">
        <v>1318</v>
      </c>
      <c r="U186" s="10" t="s">
        <v>1320</v>
      </c>
    </row>
    <row r="187" spans="1:24" ht="18.75" x14ac:dyDescent="0.3">
      <c r="A187" s="93" t="s">
        <v>1321</v>
      </c>
      <c r="B187" s="11" t="s">
        <v>573</v>
      </c>
      <c r="C187" s="12" t="s">
        <v>395</v>
      </c>
      <c r="D187" s="12" t="s">
        <v>862</v>
      </c>
      <c r="E187" s="13">
        <v>0.6738412625867829</v>
      </c>
      <c r="F187" s="14">
        <v>199.27011925333943</v>
      </c>
      <c r="G187" s="13">
        <v>0.2103432611403169</v>
      </c>
      <c r="H187" s="74">
        <v>264.93814382335785</v>
      </c>
      <c r="I187" s="15">
        <v>585.03603933691841</v>
      </c>
      <c r="J187" s="64">
        <v>8.1268745305080152</v>
      </c>
      <c r="K187" s="16">
        <v>0.15127453646602759</v>
      </c>
      <c r="L187" s="17">
        <v>74.552471006285188</v>
      </c>
      <c r="M187" s="17">
        <v>0.8567256482254062</v>
      </c>
      <c r="N187" s="18">
        <v>0.57170338569029944</v>
      </c>
      <c r="O187" s="19">
        <v>1.19156853458392E-2</v>
      </c>
      <c r="P187" s="51">
        <v>49.471066700000002</v>
      </c>
      <c r="Q187" s="51">
        <v>97.782266699999994</v>
      </c>
      <c r="R187" s="10">
        <f>R186+16</f>
        <v>1773</v>
      </c>
      <c r="S187" s="10">
        <v>8</v>
      </c>
      <c r="T187" s="10" t="s">
        <v>1318</v>
      </c>
      <c r="U187" s="10" t="s">
        <v>1254</v>
      </c>
      <c r="V187" s="10">
        <v>68</v>
      </c>
      <c r="W187" s="10">
        <v>68</v>
      </c>
      <c r="X187" s="10">
        <f>W187/J187</f>
        <v>8.3673003372613017</v>
      </c>
    </row>
    <row r="188" spans="1:24" ht="18.75" x14ac:dyDescent="0.3">
      <c r="A188" s="93" t="s">
        <v>1322</v>
      </c>
      <c r="B188" s="11" t="s">
        <v>576</v>
      </c>
      <c r="C188" s="12" t="s">
        <v>395</v>
      </c>
      <c r="D188" s="12" t="s">
        <v>862</v>
      </c>
      <c r="E188" s="13">
        <v>0.23341631183151215</v>
      </c>
      <c r="F188" s="14">
        <v>336.79841732975206</v>
      </c>
      <c r="G188" s="13">
        <v>0.42130174852733293</v>
      </c>
      <c r="H188" s="74">
        <v>540.5007210442584</v>
      </c>
      <c r="I188" s="15">
        <v>1376.278211445102</v>
      </c>
      <c r="J188" s="64">
        <v>9.3679857981009693</v>
      </c>
      <c r="K188" s="16">
        <v>0.14764677490213782</v>
      </c>
      <c r="L188" s="17">
        <v>95.150585757432083</v>
      </c>
      <c r="M188" s="17">
        <v>1.7478073331399127</v>
      </c>
      <c r="N188" s="18">
        <v>0.69007245310621013</v>
      </c>
      <c r="O188" s="19">
        <v>1.423046041418569E-2</v>
      </c>
      <c r="P188" s="51">
        <v>49.163400000000003</v>
      </c>
      <c r="Q188" s="51">
        <v>97.657833299999993</v>
      </c>
      <c r="R188" s="10">
        <v>2081</v>
      </c>
      <c r="S188" s="10">
        <v>14</v>
      </c>
      <c r="T188" s="10" t="s">
        <v>1323</v>
      </c>
      <c r="U188" s="10" t="s">
        <v>969</v>
      </c>
    </row>
    <row r="189" spans="1:24" ht="18.75" x14ac:dyDescent="0.3">
      <c r="A189" s="93" t="s">
        <v>1324</v>
      </c>
      <c r="B189" s="11" t="s">
        <v>582</v>
      </c>
      <c r="C189" s="12" t="s">
        <v>395</v>
      </c>
      <c r="D189" s="12" t="s">
        <v>862</v>
      </c>
      <c r="E189" s="13">
        <v>0.37043325550397854</v>
      </c>
      <c r="F189" s="14">
        <v>502.9734034577528</v>
      </c>
      <c r="G189" s="13">
        <v>0.43008594075750173</v>
      </c>
      <c r="H189" s="74">
        <v>630.39638333711162</v>
      </c>
      <c r="I189" s="15">
        <v>1616.0628255833067</v>
      </c>
      <c r="J189" s="64">
        <v>9.4313352019095742</v>
      </c>
      <c r="K189" s="16">
        <v>0.14082161982533095</v>
      </c>
      <c r="L189" s="17">
        <v>93.581479981248066</v>
      </c>
      <c r="M189" s="17">
        <v>2.0385012983012514</v>
      </c>
      <c r="N189" s="18">
        <v>0.53893594168488979</v>
      </c>
      <c r="O189" s="19">
        <v>1.1136363940909029E-2</v>
      </c>
      <c r="P189" s="51">
        <v>49.163633300000001</v>
      </c>
      <c r="Q189" s="51">
        <v>97.657966700000003</v>
      </c>
      <c r="R189" s="10">
        <f>R188+14</f>
        <v>2095</v>
      </c>
      <c r="S189" s="10">
        <v>12</v>
      </c>
      <c r="T189" s="10" t="s">
        <v>1323</v>
      </c>
      <c r="U189" s="10" t="s">
        <v>960</v>
      </c>
    </row>
    <row r="190" spans="1:24" ht="18.75" x14ac:dyDescent="0.3">
      <c r="A190" s="94" t="s">
        <v>1325</v>
      </c>
      <c r="B190" s="21" t="s">
        <v>585</v>
      </c>
      <c r="C190" s="21" t="s">
        <v>870</v>
      </c>
      <c r="D190" s="12" t="s">
        <v>862</v>
      </c>
      <c r="E190" s="13">
        <v>0.19315407464094911</v>
      </c>
      <c r="F190" s="14">
        <v>226.33967841130476</v>
      </c>
      <c r="G190" s="22">
        <v>0.48793426055500566</v>
      </c>
      <c r="H190" s="74">
        <v>302.59978367378307</v>
      </c>
      <c r="I190" s="14">
        <v>1212.1037404298906</v>
      </c>
      <c r="J190" s="64">
        <v>9.6435364064475486</v>
      </c>
      <c r="K190" s="16">
        <v>0.14860458436237459</v>
      </c>
      <c r="L190" s="17">
        <v>94.556042739151366</v>
      </c>
      <c r="M190" s="17">
        <v>2.4356301179552009</v>
      </c>
      <c r="N190" s="18">
        <v>0.57487890719397539</v>
      </c>
      <c r="O190" s="19">
        <v>1.1538319638567803E-2</v>
      </c>
      <c r="P190" s="51">
        <v>49.165266699999997</v>
      </c>
      <c r="Q190" s="51">
        <v>97.658299999999997</v>
      </c>
      <c r="R190" s="10">
        <v>2142</v>
      </c>
      <c r="S190" s="10">
        <v>2</v>
      </c>
      <c r="T190" s="10" t="s">
        <v>1323</v>
      </c>
      <c r="U190" s="10" t="s">
        <v>1254</v>
      </c>
      <c r="V190" s="10">
        <f>R190-R188+2</f>
        <v>63</v>
      </c>
    </row>
    <row r="191" spans="1:24" ht="18.75" x14ac:dyDescent="0.3">
      <c r="A191" s="93" t="s">
        <v>1326</v>
      </c>
      <c r="B191" s="11" t="s">
        <v>586</v>
      </c>
      <c r="C191" s="12" t="s">
        <v>395</v>
      </c>
      <c r="D191" s="12" t="s">
        <v>862</v>
      </c>
      <c r="E191" s="13">
        <v>3.7381459051921593</v>
      </c>
      <c r="F191" s="14">
        <v>325.10121627324452</v>
      </c>
      <c r="G191" s="13">
        <v>0.32441298173984623</v>
      </c>
      <c r="H191" s="74">
        <v>244.7648154454873</v>
      </c>
      <c r="I191" s="15">
        <v>17511.166359927967</v>
      </c>
      <c r="J191" s="64">
        <v>246.32714529116956</v>
      </c>
      <c r="K191" s="16">
        <v>3.2644144978496255</v>
      </c>
      <c r="L191" s="17">
        <v>94.063479349937836</v>
      </c>
      <c r="M191" s="17">
        <v>0.7914915238294935</v>
      </c>
      <c r="N191" s="18">
        <v>0.32374185445402592</v>
      </c>
      <c r="O191" s="19">
        <v>6.7415212815642358E-3</v>
      </c>
      <c r="P191" s="51">
        <v>47.754933299999998</v>
      </c>
      <c r="Q191" s="51">
        <v>97.183300000000003</v>
      </c>
      <c r="R191" s="10">
        <v>2234</v>
      </c>
      <c r="S191" s="10" t="s">
        <v>1244</v>
      </c>
      <c r="T191" s="10" t="s">
        <v>1327</v>
      </c>
      <c r="U191" s="10" t="s">
        <v>897</v>
      </c>
    </row>
    <row r="192" spans="1:24" ht="18.75" x14ac:dyDescent="0.3">
      <c r="A192" s="93" t="s">
        <v>1328</v>
      </c>
      <c r="B192" s="11" t="s">
        <v>589</v>
      </c>
      <c r="C192" s="12" t="s">
        <v>1232</v>
      </c>
      <c r="D192" s="12" t="s">
        <v>862</v>
      </c>
      <c r="E192" s="13">
        <v>1.623617270360266</v>
      </c>
      <c r="F192" s="14">
        <v>328.71707571553674</v>
      </c>
      <c r="G192" s="13">
        <v>0.38996599916225921</v>
      </c>
      <c r="H192" s="74">
        <v>279.22085623100901</v>
      </c>
      <c r="I192" s="15">
        <v>19421.810914442343</v>
      </c>
      <c r="J192" s="64">
        <v>239.92425762462827</v>
      </c>
      <c r="K192" s="16">
        <v>3.1820906431053619</v>
      </c>
      <c r="L192" s="17">
        <v>97.586295681639626</v>
      </c>
      <c r="M192" s="17">
        <v>0.90291139509174023</v>
      </c>
      <c r="N192" s="18">
        <v>0.36525321332328653</v>
      </c>
      <c r="O192" s="19">
        <v>7.5272396557405329E-3</v>
      </c>
      <c r="P192" s="51">
        <v>47.743299999999998</v>
      </c>
      <c r="Q192" s="51">
        <v>96.913066700000002</v>
      </c>
      <c r="R192" s="10">
        <v>1796</v>
      </c>
      <c r="S192" s="10" t="s">
        <v>1329</v>
      </c>
      <c r="T192" s="10" t="s">
        <v>1330</v>
      </c>
      <c r="U192" s="10" t="s">
        <v>897</v>
      </c>
    </row>
    <row r="193" spans="1:24" ht="18.75" x14ac:dyDescent="0.3">
      <c r="A193" s="93" t="s">
        <v>1331</v>
      </c>
      <c r="B193" s="11" t="s">
        <v>592</v>
      </c>
      <c r="C193" s="12" t="s">
        <v>395</v>
      </c>
      <c r="D193" s="12" t="s">
        <v>862</v>
      </c>
      <c r="E193" s="13">
        <v>0.69702673660001113</v>
      </c>
      <c r="F193" s="14">
        <v>337.87092339949152</v>
      </c>
      <c r="G193" s="13">
        <v>0.20974037658767292</v>
      </c>
      <c r="H193" s="74">
        <v>224.68692286012009</v>
      </c>
      <c r="I193" s="15">
        <v>919.20513916319896</v>
      </c>
      <c r="J193" s="64">
        <v>15.027630957341584</v>
      </c>
      <c r="K193" s="16">
        <v>0.26648043465333154</v>
      </c>
      <c r="L193" s="17">
        <v>81.659071163625256</v>
      </c>
      <c r="M193" s="17">
        <v>0.72656600841685681</v>
      </c>
      <c r="N193" s="18">
        <v>0.28595351105610128</v>
      </c>
      <c r="O193" s="19">
        <v>5.8932333304466651E-3</v>
      </c>
      <c r="P193" s="51">
        <v>46.536799999999999</v>
      </c>
      <c r="Q193" s="51">
        <v>98.832549999999998</v>
      </c>
      <c r="R193" s="10">
        <v>2359</v>
      </c>
      <c r="S193" s="10">
        <v>11</v>
      </c>
      <c r="T193" s="10" t="s">
        <v>1332</v>
      </c>
      <c r="U193" s="10" t="s">
        <v>995</v>
      </c>
    </row>
    <row r="194" spans="1:24" ht="18.75" x14ac:dyDescent="0.3">
      <c r="A194" s="93" t="s">
        <v>1333</v>
      </c>
      <c r="B194" s="11" t="s">
        <v>595</v>
      </c>
      <c r="C194" s="12" t="s">
        <v>395</v>
      </c>
      <c r="D194" s="12" t="s">
        <v>862</v>
      </c>
      <c r="E194" s="13">
        <v>1.0113548957608214</v>
      </c>
      <c r="F194" s="14">
        <v>327.05932155081348</v>
      </c>
      <c r="G194" s="13">
        <v>0.16831985839421648</v>
      </c>
      <c r="H194" s="74">
        <v>222.91087720871391</v>
      </c>
      <c r="I194" s="15">
        <v>910.11629948411439</v>
      </c>
      <c r="J194" s="64">
        <v>14.997715217026009</v>
      </c>
      <c r="K194" s="16">
        <v>0.24574511695662174</v>
      </c>
      <c r="L194" s="17">
        <v>75.249357053946653</v>
      </c>
      <c r="M194" s="17">
        <v>0.72082284195535484</v>
      </c>
      <c r="N194" s="18">
        <v>0.2930712286237499</v>
      </c>
      <c r="O194" s="19">
        <v>6.0611387436581409E-3</v>
      </c>
      <c r="P194" s="51">
        <v>46.540649999999999</v>
      </c>
      <c r="Q194" s="51">
        <v>98.835166700000002</v>
      </c>
      <c r="R194" s="10">
        <v>2374</v>
      </c>
      <c r="S194" s="10">
        <v>2</v>
      </c>
      <c r="T194" s="10" t="s">
        <v>1332</v>
      </c>
      <c r="U194" s="10" t="s">
        <v>992</v>
      </c>
    </row>
    <row r="195" spans="1:24" ht="18.75" x14ac:dyDescent="0.3">
      <c r="A195" s="93" t="s">
        <v>1334</v>
      </c>
      <c r="B195" s="11" t="s">
        <v>598</v>
      </c>
      <c r="C195" s="12" t="s">
        <v>395</v>
      </c>
      <c r="D195" s="12" t="s">
        <v>862</v>
      </c>
      <c r="E195" s="13">
        <v>0.31797591014922688</v>
      </c>
      <c r="F195" s="14">
        <v>473.24595270864864</v>
      </c>
      <c r="G195" s="13">
        <v>0.32366472689572756</v>
      </c>
      <c r="H195" s="74">
        <v>400.65418084294458</v>
      </c>
      <c r="I195" s="15">
        <v>1595.6384996014515</v>
      </c>
      <c r="J195" s="64">
        <v>14.630811600691171</v>
      </c>
      <c r="K195" s="16">
        <v>0.25909153917475863</v>
      </c>
      <c r="L195" s="17">
        <v>94.389531972876952</v>
      </c>
      <c r="M195" s="17">
        <v>1.2955881242443756</v>
      </c>
      <c r="N195" s="18">
        <v>0.36404177738109522</v>
      </c>
      <c r="O195" s="19">
        <v>7.520182362734512E-3</v>
      </c>
      <c r="P195" s="51">
        <v>46.546950000000002</v>
      </c>
      <c r="Q195" s="51">
        <v>98.839583300000001</v>
      </c>
      <c r="R195" s="10">
        <v>2448</v>
      </c>
      <c r="S195" s="10">
        <v>15</v>
      </c>
      <c r="T195" s="10" t="s">
        <v>1332</v>
      </c>
      <c r="U195" s="10" t="s">
        <v>1026</v>
      </c>
      <c r="V195" s="10">
        <f>R195-R193</f>
        <v>89</v>
      </c>
    </row>
    <row r="196" spans="1:24" ht="18.75" x14ac:dyDescent="0.3">
      <c r="A196" s="93" t="s">
        <v>1335</v>
      </c>
      <c r="B196" s="11" t="s">
        <v>601</v>
      </c>
      <c r="C196" s="12" t="s">
        <v>395</v>
      </c>
      <c r="D196" s="12" t="s">
        <v>862</v>
      </c>
      <c r="E196" s="13">
        <v>0.56942717389043707</v>
      </c>
      <c r="F196" s="14">
        <v>461.55548882007002</v>
      </c>
      <c r="G196" s="13">
        <v>0.5352962994735383</v>
      </c>
      <c r="H196" s="74">
        <v>648.37094918354114</v>
      </c>
      <c r="I196" s="15">
        <v>179.2439391251408</v>
      </c>
      <c r="J196" s="64">
        <v>1.0194365491475672</v>
      </c>
      <c r="K196" s="16">
        <v>5.838545738698412E-2</v>
      </c>
      <c r="L196" s="17">
        <v>51.371849088222966</v>
      </c>
      <c r="M196" s="17">
        <v>2.0966253243630466</v>
      </c>
      <c r="N196" s="18">
        <v>0.60404331635542141</v>
      </c>
      <c r="O196" s="19">
        <v>1.2434968893606105E-2</v>
      </c>
      <c r="P196" s="51">
        <v>46.4187333</v>
      </c>
      <c r="Q196" s="51">
        <v>100.8518833</v>
      </c>
      <c r="R196" s="10">
        <v>2140</v>
      </c>
      <c r="S196" s="10">
        <v>36</v>
      </c>
      <c r="T196" s="10" t="s">
        <v>1336</v>
      </c>
      <c r="U196" s="10" t="s">
        <v>1337</v>
      </c>
      <c r="V196" s="10">
        <v>36</v>
      </c>
    </row>
    <row r="197" spans="1:24" ht="18.75" x14ac:dyDescent="0.3">
      <c r="A197" s="93" t="s">
        <v>1338</v>
      </c>
      <c r="B197" s="11" t="s">
        <v>601</v>
      </c>
      <c r="C197" s="12" t="s">
        <v>395</v>
      </c>
      <c r="D197" s="12" t="s">
        <v>862</v>
      </c>
      <c r="E197" s="13">
        <v>0.508473604360276</v>
      </c>
      <c r="F197" s="14">
        <v>395.62342317402545</v>
      </c>
      <c r="G197" s="13">
        <v>0.36292112696867401</v>
      </c>
      <c r="H197" s="74">
        <v>478.34267039877727</v>
      </c>
      <c r="I197" s="15">
        <v>101.95289823143672</v>
      </c>
      <c r="J197" s="64">
        <v>0.78600942468678714</v>
      </c>
      <c r="K197" s="16">
        <v>5.533068052344868E-2</v>
      </c>
      <c r="L197" s="17">
        <v>40.258851625556069</v>
      </c>
      <c r="M197" s="17">
        <v>1.5468079773537471</v>
      </c>
      <c r="N197" s="18">
        <v>0.51990690192526134</v>
      </c>
      <c r="O197" s="19">
        <v>1.073496388383071E-2</v>
      </c>
      <c r="P197" s="51">
        <v>46.4187333</v>
      </c>
      <c r="Q197" s="51">
        <v>100.8518833</v>
      </c>
      <c r="R197" s="10">
        <v>2140</v>
      </c>
      <c r="S197" s="10">
        <v>36</v>
      </c>
      <c r="T197" s="10" t="s">
        <v>1336</v>
      </c>
      <c r="U197" s="10" t="s">
        <v>1337</v>
      </c>
      <c r="V197" s="10">
        <v>36</v>
      </c>
    </row>
    <row r="198" spans="1:24" ht="18.75" x14ac:dyDescent="0.3">
      <c r="A198" s="93" t="s">
        <v>1339</v>
      </c>
      <c r="B198" s="11" t="s">
        <v>604</v>
      </c>
      <c r="C198" s="12" t="s">
        <v>395</v>
      </c>
      <c r="D198" s="12" t="s">
        <v>862</v>
      </c>
      <c r="E198" s="13">
        <v>0.38008061268997606</v>
      </c>
      <c r="F198" s="14">
        <v>430.17807400519877</v>
      </c>
      <c r="G198" s="13">
        <v>0.35136732939028337</v>
      </c>
      <c r="H198" s="74">
        <v>401.24750181903892</v>
      </c>
      <c r="I198" s="15">
        <v>235.61007394079914</v>
      </c>
      <c r="J198" s="64">
        <v>2.164627859546739</v>
      </c>
      <c r="K198" s="16">
        <v>9.7389189387763933E-2</v>
      </c>
      <c r="L198" s="17">
        <v>67.55025010087229</v>
      </c>
      <c r="M198" s="17">
        <v>1.2975067354738294</v>
      </c>
      <c r="N198" s="18">
        <v>0.40108140374467716</v>
      </c>
      <c r="O198" s="19">
        <v>8.2563976516137234E-3</v>
      </c>
      <c r="P198" s="51">
        <v>46.727116700000003</v>
      </c>
      <c r="Q198" s="51">
        <v>101.41746670000001</v>
      </c>
      <c r="R198" s="10">
        <f>2479-15</f>
        <v>2464</v>
      </c>
      <c r="S198" s="10">
        <v>15</v>
      </c>
      <c r="T198" s="10" t="s">
        <v>1340</v>
      </c>
      <c r="U198" s="10" t="s">
        <v>1341</v>
      </c>
      <c r="V198" s="10">
        <v>124</v>
      </c>
      <c r="W198" s="10">
        <f>R198-2340</f>
        <v>124</v>
      </c>
      <c r="X198" s="10">
        <f>W198/J198</f>
        <v>57.284673415394785</v>
      </c>
    </row>
    <row r="199" spans="1:24" ht="18.75" x14ac:dyDescent="0.3">
      <c r="A199" s="93" t="s">
        <v>1342</v>
      </c>
      <c r="B199" s="11" t="s">
        <v>607</v>
      </c>
      <c r="C199" s="12" t="s">
        <v>395</v>
      </c>
      <c r="D199" s="12" t="s">
        <v>862</v>
      </c>
      <c r="E199" s="13">
        <v>0.39126591186867371</v>
      </c>
      <c r="F199" s="14">
        <v>539.26189019194248</v>
      </c>
      <c r="G199" s="13">
        <v>0.41235642759411989</v>
      </c>
      <c r="H199" s="74">
        <v>559.51957619147356</v>
      </c>
      <c r="I199" s="15">
        <v>322.89534581610803</v>
      </c>
      <c r="J199" s="64">
        <v>2.1274173560418994</v>
      </c>
      <c r="K199" s="16">
        <v>5.6360885580402108E-2</v>
      </c>
      <c r="L199" s="17">
        <v>73.429201393426027</v>
      </c>
      <c r="M199" s="17">
        <v>1.8093082584855913</v>
      </c>
      <c r="N199" s="18">
        <v>0.44615319965721639</v>
      </c>
      <c r="O199" s="19">
        <v>9.2171522186800733E-3</v>
      </c>
      <c r="P199" s="51">
        <v>46.726966699999998</v>
      </c>
      <c r="Q199" s="51">
        <v>101.41755000000001</v>
      </c>
      <c r="R199" s="10">
        <f>2464-14</f>
        <v>2450</v>
      </c>
      <c r="S199" s="10">
        <v>14</v>
      </c>
      <c r="T199" s="10" t="s">
        <v>1343</v>
      </c>
      <c r="U199" s="10" t="s">
        <v>1344</v>
      </c>
    </row>
    <row r="200" spans="1:24" ht="18.75" x14ac:dyDescent="0.3">
      <c r="A200" s="93" t="s">
        <v>1345</v>
      </c>
      <c r="B200" s="11" t="s">
        <v>610</v>
      </c>
      <c r="C200" s="12" t="s">
        <v>395</v>
      </c>
      <c r="D200" s="12" t="s">
        <v>862</v>
      </c>
      <c r="E200" s="13">
        <v>2.6768236230719413</v>
      </c>
      <c r="F200" s="14">
        <v>695.55160740807128</v>
      </c>
      <c r="G200" s="13">
        <v>0.19615089067464772</v>
      </c>
      <c r="H200" s="74">
        <v>254.90148037743987</v>
      </c>
      <c r="I200" s="15">
        <v>1522.1647672353856</v>
      </c>
      <c r="J200" s="64">
        <v>21.89370580133636</v>
      </c>
      <c r="K200" s="16">
        <v>0.32902062391377906</v>
      </c>
      <c r="L200" s="17">
        <v>65.788635815999996</v>
      </c>
      <c r="M200" s="17">
        <v>0.82427027251907792</v>
      </c>
      <c r="N200" s="18">
        <v>0.15758375855207207</v>
      </c>
      <c r="O200" s="19">
        <v>3.250379198052906E-3</v>
      </c>
      <c r="P200" s="51">
        <v>46.723700000000001</v>
      </c>
      <c r="Q200" s="51">
        <v>101.4246833</v>
      </c>
      <c r="R200" s="10">
        <v>2393</v>
      </c>
      <c r="S200" s="10">
        <v>15</v>
      </c>
      <c r="T200" s="10" t="s">
        <v>1346</v>
      </c>
      <c r="U200" s="10" t="s">
        <v>1344</v>
      </c>
    </row>
    <row r="201" spans="1:24" ht="18.75" x14ac:dyDescent="0.3">
      <c r="A201" s="93" t="s">
        <v>1347</v>
      </c>
      <c r="B201" s="11" t="s">
        <v>613</v>
      </c>
      <c r="C201" s="12" t="s">
        <v>395</v>
      </c>
      <c r="D201" s="12" t="s">
        <v>862</v>
      </c>
      <c r="E201" s="13">
        <v>4.5753464940054753</v>
      </c>
      <c r="F201" s="14">
        <v>444.85824205728903</v>
      </c>
      <c r="G201" s="13">
        <v>0.15662639146545643</v>
      </c>
      <c r="H201" s="74">
        <v>187.28311374463985</v>
      </c>
      <c r="I201" s="15">
        <v>1152.6331809277006</v>
      </c>
      <c r="J201" s="64">
        <v>22.560165014764141</v>
      </c>
      <c r="K201" s="16">
        <v>0.34998523979388318</v>
      </c>
      <c r="L201" s="17">
        <v>46.012253888900851</v>
      </c>
      <c r="M201" s="17">
        <v>0.60561399241751313</v>
      </c>
      <c r="N201" s="18">
        <v>0.18102786752419936</v>
      </c>
      <c r="O201" s="19">
        <v>3.7392681590505896E-3</v>
      </c>
      <c r="P201" s="51">
        <v>46.7333833</v>
      </c>
      <c r="Q201" s="51">
        <v>101.4214333</v>
      </c>
      <c r="R201" s="10">
        <v>2620</v>
      </c>
      <c r="S201" s="10">
        <v>20</v>
      </c>
      <c r="T201" s="10" t="s">
        <v>1346</v>
      </c>
      <c r="U201" s="10" t="s">
        <v>992</v>
      </c>
    </row>
    <row r="202" spans="1:24" ht="18.75" x14ac:dyDescent="0.3">
      <c r="A202" s="93" t="s">
        <v>1348</v>
      </c>
      <c r="B202" s="11" t="s">
        <v>616</v>
      </c>
      <c r="C202" s="12" t="s">
        <v>395</v>
      </c>
      <c r="D202" s="12" t="s">
        <v>862</v>
      </c>
      <c r="E202" s="13">
        <v>1.6931396496559101</v>
      </c>
      <c r="F202" s="14">
        <v>249.20579463784543</v>
      </c>
      <c r="G202" s="13">
        <v>0.19719956678826461</v>
      </c>
      <c r="H202" s="74">
        <v>251.17681122514168</v>
      </c>
      <c r="I202" s="15">
        <v>1299.3172939086705</v>
      </c>
      <c r="J202" s="64">
        <v>18.980868856259761</v>
      </c>
      <c r="K202" s="16">
        <v>0.28906225168665584</v>
      </c>
      <c r="L202" s="17">
        <v>72.1764655610381</v>
      </c>
      <c r="M202" s="17">
        <v>0.81222587774874466</v>
      </c>
      <c r="N202" s="18">
        <v>0.43340095274979079</v>
      </c>
      <c r="O202" s="19">
        <v>8.9885461436259202E-3</v>
      </c>
      <c r="P202" s="51">
        <v>46.751533299999998</v>
      </c>
      <c r="Q202" s="51">
        <v>101.41078330000001</v>
      </c>
      <c r="R202" s="10">
        <v>2716</v>
      </c>
      <c r="S202" s="10">
        <v>13</v>
      </c>
      <c r="T202" s="10" t="s">
        <v>1346</v>
      </c>
      <c r="U202" s="10" t="s">
        <v>1349</v>
      </c>
      <c r="V202" s="10">
        <f>R202-R200+13</f>
        <v>336</v>
      </c>
      <c r="W202" s="10">
        <f>R202-2340+S202</f>
        <v>389</v>
      </c>
      <c r="X202" s="10">
        <f>W202/(J202-J198)</f>
        <v>23.132399213119967</v>
      </c>
    </row>
    <row r="203" spans="1:24" ht="18.75" x14ac:dyDescent="0.3">
      <c r="A203" s="93" t="s">
        <v>1350</v>
      </c>
      <c r="B203" s="11" t="s">
        <v>619</v>
      </c>
      <c r="C203" s="12" t="s">
        <v>395</v>
      </c>
      <c r="D203" s="12" t="s">
        <v>862</v>
      </c>
      <c r="E203" s="13">
        <v>1.08894654034197</v>
      </c>
      <c r="F203" s="14">
        <v>545.12363647950178</v>
      </c>
      <c r="G203" s="13">
        <v>0.70853863441213527</v>
      </c>
      <c r="H203" s="74">
        <v>720.68630830105292</v>
      </c>
      <c r="I203" s="15">
        <v>462.2054831158465</v>
      </c>
      <c r="J203" s="64">
        <v>2.3641040808847902</v>
      </c>
      <c r="K203" s="16">
        <v>9.4450912650493643E-2</v>
      </c>
      <c r="L203" s="17">
        <v>58.835968977885237</v>
      </c>
      <c r="M203" s="17">
        <v>2.3304701834781998</v>
      </c>
      <c r="N203" s="18">
        <v>0.56848592104867512</v>
      </c>
      <c r="O203" s="19">
        <v>1.1723108143522299E-2</v>
      </c>
      <c r="P203" s="51">
        <v>46.793149999999997</v>
      </c>
      <c r="Q203" s="51">
        <v>101.7684333</v>
      </c>
      <c r="R203" s="10">
        <v>1910</v>
      </c>
      <c r="S203" s="10">
        <v>15</v>
      </c>
      <c r="T203" s="10" t="s">
        <v>1351</v>
      </c>
      <c r="U203" s="10" t="s">
        <v>1094</v>
      </c>
    </row>
    <row r="204" spans="1:24" ht="18.75" x14ac:dyDescent="0.3">
      <c r="A204" s="93" t="s">
        <v>1352</v>
      </c>
      <c r="B204" s="11" t="s">
        <v>622</v>
      </c>
      <c r="C204" s="12" t="s">
        <v>395</v>
      </c>
      <c r="D204" s="12" t="s">
        <v>862</v>
      </c>
      <c r="E204" s="13">
        <v>0.43314287035434673</v>
      </c>
      <c r="F204" s="14">
        <v>502.35672180223366</v>
      </c>
      <c r="G204" s="13">
        <v>0.42194913443403609</v>
      </c>
      <c r="H204" s="74">
        <v>571.51350538013401</v>
      </c>
      <c r="I204" s="15">
        <v>356.57914908687809</v>
      </c>
      <c r="J204" s="64">
        <v>2.2999316259332052</v>
      </c>
      <c r="K204" s="16">
        <v>6.1304811228700309E-2</v>
      </c>
      <c r="L204" s="17">
        <v>73.397421417025214</v>
      </c>
      <c r="M204" s="17">
        <v>1.848092808760752</v>
      </c>
      <c r="N204" s="18">
        <v>0.48919581772851062</v>
      </c>
      <c r="O204" s="19">
        <v>1.0109339615590377E-2</v>
      </c>
      <c r="P204" s="51">
        <v>46.792966700000001</v>
      </c>
      <c r="Q204" s="51">
        <v>101.7681333</v>
      </c>
      <c r="R204" s="10">
        <f>R203+23</f>
        <v>1933</v>
      </c>
      <c r="S204" s="10">
        <v>8</v>
      </c>
      <c r="T204" s="10" t="s">
        <v>1351</v>
      </c>
      <c r="U204" s="10" t="s">
        <v>1091</v>
      </c>
    </row>
    <row r="205" spans="1:24" ht="18.75" x14ac:dyDescent="0.3">
      <c r="A205" s="93" t="s">
        <v>1353</v>
      </c>
      <c r="B205" s="11" t="s">
        <v>625</v>
      </c>
      <c r="C205" s="12" t="s">
        <v>395</v>
      </c>
      <c r="D205" s="12" t="s">
        <v>862</v>
      </c>
      <c r="E205" s="13">
        <v>0.20983735375445448</v>
      </c>
      <c r="F205" s="14">
        <v>472.76356168795081</v>
      </c>
      <c r="G205" s="13">
        <v>0.24144892379561575</v>
      </c>
      <c r="H205" s="74">
        <v>312.83223147699232</v>
      </c>
      <c r="I205" s="15">
        <v>202.81317803986465</v>
      </c>
      <c r="J205" s="64">
        <v>2.3897879325602451</v>
      </c>
      <c r="K205" s="16">
        <v>0.20551114889746877</v>
      </c>
      <c r="L205" s="17">
        <v>76.385132586259303</v>
      </c>
      <c r="M205" s="17">
        <v>1.0115998867894904</v>
      </c>
      <c r="N205" s="18">
        <v>0.28453516818179758</v>
      </c>
      <c r="O205" s="19">
        <v>5.8830641051695826E-3</v>
      </c>
      <c r="P205" s="51">
        <v>46.792416699999997</v>
      </c>
      <c r="Q205" s="51">
        <v>101.7678167</v>
      </c>
      <c r="R205" s="10">
        <f>R203+46</f>
        <v>1956</v>
      </c>
      <c r="S205" s="10">
        <v>6</v>
      </c>
      <c r="T205" s="10" t="s">
        <v>1351</v>
      </c>
      <c r="U205" s="10" t="s">
        <v>1097</v>
      </c>
      <c r="V205" s="10">
        <f>R205-R203+6</f>
        <v>52</v>
      </c>
      <c r="W205" s="10">
        <f>R205-1895+S205</f>
        <v>67</v>
      </c>
      <c r="X205" s="10">
        <f>W205/J205</f>
        <v>28.035960466258221</v>
      </c>
    </row>
    <row r="206" spans="1:24" ht="18.75" x14ac:dyDescent="0.3">
      <c r="A206" s="93" t="s">
        <v>1354</v>
      </c>
      <c r="B206" s="11" t="s">
        <v>628</v>
      </c>
      <c r="C206" s="12" t="s">
        <v>1232</v>
      </c>
      <c r="D206" s="12" t="s">
        <v>862</v>
      </c>
      <c r="E206" s="13">
        <v>0.50309574938630441</v>
      </c>
      <c r="F206" s="14">
        <v>429.43902963117313</v>
      </c>
      <c r="G206" s="13">
        <v>0.30655433864754134</v>
      </c>
      <c r="H206" s="74">
        <v>357.74688304206325</v>
      </c>
      <c r="I206" s="15">
        <v>-0.42611887780041513</v>
      </c>
      <c r="J206" s="64">
        <v>-4.3935657984818738E-3</v>
      </c>
      <c r="K206" s="16">
        <v>9.9672035433240283E-2</v>
      </c>
      <c r="L206" s="17">
        <v>-0.28596485113415882</v>
      </c>
      <c r="M206" s="17">
        <v>1.1568395771624975</v>
      </c>
      <c r="N206" s="18">
        <v>0.35821420293401424</v>
      </c>
      <c r="O206" s="19">
        <v>7.3748241743658363E-3</v>
      </c>
      <c r="P206" s="51">
        <v>46.777233299999999</v>
      </c>
      <c r="Q206" s="51">
        <v>101.8985667</v>
      </c>
      <c r="R206" s="10">
        <v>1855</v>
      </c>
      <c r="S206" s="10">
        <v>11</v>
      </c>
      <c r="T206" s="10" t="s">
        <v>1355</v>
      </c>
      <c r="U206" s="10" t="s">
        <v>897</v>
      </c>
      <c r="X206" s="10" t="s">
        <v>1356</v>
      </c>
    </row>
    <row r="207" spans="1:24" ht="18.75" x14ac:dyDescent="0.3">
      <c r="A207" s="94" t="s">
        <v>1357</v>
      </c>
      <c r="B207" s="21" t="s">
        <v>1358</v>
      </c>
      <c r="C207" s="21" t="s">
        <v>870</v>
      </c>
      <c r="D207" s="12" t="s">
        <v>862</v>
      </c>
      <c r="E207" s="13">
        <v>0.13190289252471762</v>
      </c>
      <c r="F207" s="14">
        <v>193.83718756723249</v>
      </c>
      <c r="G207" s="22">
        <v>0.9583259390914648</v>
      </c>
      <c r="H207" s="74">
        <v>128.84571323956095</v>
      </c>
      <c r="I207" s="14">
        <v>313.0628687586194</v>
      </c>
      <c r="J207" s="64">
        <v>5.8557416605414891</v>
      </c>
      <c r="K207" s="16">
        <v>0.34149925558135946</v>
      </c>
      <c r="L207" s="17">
        <v>87.540596850172662</v>
      </c>
      <c r="M207" s="17">
        <v>1.0370810445588661</v>
      </c>
      <c r="N207" s="18">
        <v>0.28582573544508549</v>
      </c>
      <c r="O207" s="19">
        <v>5.762188291366337E-3</v>
      </c>
      <c r="P207" s="51">
        <v>48.172080000000001</v>
      </c>
      <c r="Q207" s="51">
        <v>100.43792000000001</v>
      </c>
      <c r="T207" s="10" t="s">
        <v>1359</v>
      </c>
      <c r="X207" s="10" t="s">
        <v>1360</v>
      </c>
    </row>
    <row r="208" spans="1:24" ht="18.75" x14ac:dyDescent="0.3">
      <c r="A208" s="94" t="s">
        <v>1361</v>
      </c>
      <c r="B208" s="21" t="s">
        <v>1362</v>
      </c>
      <c r="C208" s="21" t="s">
        <v>870</v>
      </c>
      <c r="D208" s="12" t="s">
        <v>862</v>
      </c>
      <c r="E208" s="13">
        <v>0.22798073587091869</v>
      </c>
      <c r="F208" s="14">
        <v>290.55008522827143</v>
      </c>
      <c r="G208" s="22">
        <v>0.70915794644896724</v>
      </c>
      <c r="H208" s="74">
        <v>279.42311457625584</v>
      </c>
      <c r="I208" s="14">
        <v>34.490302188882168</v>
      </c>
      <c r="J208" s="64">
        <v>0.29793572446674743</v>
      </c>
      <c r="K208" s="16">
        <v>0.15803412603490527</v>
      </c>
      <c r="L208" s="17">
        <v>30.286612517519195</v>
      </c>
      <c r="M208" s="17">
        <v>2.2490807668536332</v>
      </c>
      <c r="N208" s="18">
        <v>0.41353262441273192</v>
      </c>
      <c r="O208" s="19">
        <v>8.3180787231056253E-3</v>
      </c>
      <c r="P208" s="51">
        <v>48.213009999999997</v>
      </c>
      <c r="Q208" s="51">
        <v>100.39557000000001</v>
      </c>
      <c r="T208" s="10" t="s">
        <v>1363</v>
      </c>
      <c r="X208" s="10" t="s">
        <v>1364</v>
      </c>
    </row>
    <row r="209" spans="1:45" ht="18.75" x14ac:dyDescent="0.3">
      <c r="A209" s="94" t="s">
        <v>1365</v>
      </c>
      <c r="B209" s="21" t="s">
        <v>1366</v>
      </c>
      <c r="C209" s="21" t="s">
        <v>870</v>
      </c>
      <c r="D209" s="12" t="s">
        <v>862</v>
      </c>
      <c r="E209" s="13">
        <v>0.28723600810447814</v>
      </c>
      <c r="F209" s="14">
        <v>159.40875136513836</v>
      </c>
      <c r="G209" s="22">
        <v>35.392674222771824</v>
      </c>
      <c r="H209" s="74">
        <v>288.45386610858486</v>
      </c>
      <c r="I209" s="14">
        <v>9.8153952514296758</v>
      </c>
      <c r="J209" s="64">
        <v>8.2138213645144856E-2</v>
      </c>
      <c r="K209" s="16">
        <v>5.7541883927985371E-2</v>
      </c>
      <c r="L209" s="17">
        <v>9.1598413896683457</v>
      </c>
      <c r="M209" s="17">
        <v>2.3217694190161309</v>
      </c>
      <c r="N209" s="18">
        <v>0.77809506294029696</v>
      </c>
      <c r="O209" s="19">
        <v>1.5610292942249021E-2</v>
      </c>
      <c r="P209" s="51">
        <v>48.234720000000003</v>
      </c>
      <c r="Q209" s="51">
        <v>100.23472</v>
      </c>
      <c r="T209" s="10" t="s">
        <v>1367</v>
      </c>
      <c r="X209" s="10" t="s">
        <v>1356</v>
      </c>
    </row>
    <row r="210" spans="1:45" ht="18.75" x14ac:dyDescent="0.3">
      <c r="A210" s="94" t="s">
        <v>1368</v>
      </c>
      <c r="B210" s="21" t="s">
        <v>1369</v>
      </c>
      <c r="C210" s="21" t="s">
        <v>870</v>
      </c>
      <c r="D210" s="12" t="s">
        <v>862</v>
      </c>
      <c r="E210" s="13">
        <v>0.10238382466014058</v>
      </c>
      <c r="F210" s="14">
        <v>313.36703362034967</v>
      </c>
      <c r="G210" s="22">
        <v>0.86295510221927541</v>
      </c>
      <c r="H210" s="74">
        <v>208.96499916953616</v>
      </c>
      <c r="I210" s="14">
        <v>14.03855765337304</v>
      </c>
      <c r="J210" s="64">
        <v>0.16216351727020148</v>
      </c>
      <c r="K210" s="16">
        <v>0.21887704610474423</v>
      </c>
      <c r="L210" s="17">
        <v>26.352610209167331</v>
      </c>
      <c r="M210" s="17">
        <v>1.6819623576614662</v>
      </c>
      <c r="N210" s="18">
        <v>0.28674027578715122</v>
      </c>
      <c r="O210" s="19">
        <v>5.7692906666352191E-3</v>
      </c>
      <c r="P210" s="51">
        <v>48.081829999999997</v>
      </c>
      <c r="Q210" s="51">
        <v>99.917749999999998</v>
      </c>
      <c r="T210" s="10" t="s">
        <v>1370</v>
      </c>
      <c r="X210" s="10" t="s">
        <v>1356</v>
      </c>
    </row>
    <row r="211" spans="1:45" ht="18.75" x14ac:dyDescent="0.3">
      <c r="A211" s="94" t="s">
        <v>1371</v>
      </c>
      <c r="B211" s="21" t="s">
        <v>1372</v>
      </c>
      <c r="C211" s="21" t="s">
        <v>870</v>
      </c>
      <c r="D211" s="12" t="s">
        <v>862</v>
      </c>
      <c r="E211" s="13">
        <v>0.148717777353474</v>
      </c>
      <c r="F211" s="14">
        <v>261.40995514977692</v>
      </c>
      <c r="G211" s="22">
        <v>0.4421465406265741</v>
      </c>
      <c r="H211" s="74">
        <v>201.77840054437692</v>
      </c>
      <c r="I211" s="14">
        <v>4.924415659829382</v>
      </c>
      <c r="J211" s="64">
        <v>5.8911033626073167E-2</v>
      </c>
      <c r="K211" s="16">
        <v>0.22234518610658713</v>
      </c>
      <c r="L211" s="17">
        <v>8.5598034141981287</v>
      </c>
      <c r="M211" s="17">
        <v>1.6241173194245475</v>
      </c>
      <c r="N211" s="18">
        <v>0.33191051268253935</v>
      </c>
      <c r="O211" s="19">
        <v>6.6787307514107512E-3</v>
      </c>
      <c r="P211" s="51">
        <v>48.081829999999997</v>
      </c>
      <c r="Q211" s="51">
        <v>99.917749999999998</v>
      </c>
      <c r="T211" s="10" t="s">
        <v>1373</v>
      </c>
      <c r="X211" s="10" t="s">
        <v>1374</v>
      </c>
    </row>
    <row r="212" spans="1:45" ht="18.75" x14ac:dyDescent="0.3">
      <c r="A212" s="94" t="s">
        <v>1375</v>
      </c>
      <c r="B212" s="21" t="s">
        <v>1376</v>
      </c>
      <c r="C212" s="21" t="s">
        <v>870</v>
      </c>
      <c r="D212" s="12" t="s">
        <v>862</v>
      </c>
      <c r="E212" s="13">
        <v>0.5561320511427873</v>
      </c>
      <c r="F212" s="14">
        <v>126.05318721134242</v>
      </c>
      <c r="G212" s="22">
        <v>2.9322212189466907</v>
      </c>
      <c r="H212" s="74">
        <v>176.40624822316548</v>
      </c>
      <c r="I212" s="14">
        <v>15.039500316408652</v>
      </c>
      <c r="J212" s="64">
        <v>0.20578722942974839</v>
      </c>
      <c r="K212" s="16">
        <v>0.10402109872412682</v>
      </c>
      <c r="L212" s="17">
        <v>8.0429991607175015</v>
      </c>
      <c r="M212" s="17">
        <v>1.4198964915025096</v>
      </c>
      <c r="N212" s="18">
        <v>0.60176730485031049</v>
      </c>
      <c r="O212" s="19">
        <v>1.20935689056322E-2</v>
      </c>
      <c r="P212" s="51">
        <v>48.098759999999999</v>
      </c>
      <c r="Q212" s="51">
        <v>99.922479999999993</v>
      </c>
      <c r="T212" s="10" t="s">
        <v>1377</v>
      </c>
      <c r="X212" s="10" t="s">
        <v>1378</v>
      </c>
    </row>
    <row r="213" spans="1:45" ht="18.75" x14ac:dyDescent="0.3">
      <c r="A213" s="94" t="s">
        <v>1379</v>
      </c>
      <c r="B213" s="21" t="s">
        <v>1380</v>
      </c>
      <c r="C213" s="21" t="s">
        <v>870</v>
      </c>
      <c r="D213" s="12" t="s">
        <v>862</v>
      </c>
      <c r="E213" s="13">
        <v>2.7396490581880282</v>
      </c>
      <c r="F213" s="14">
        <v>203.06491182184897</v>
      </c>
      <c r="G213" s="22">
        <v>4.3320140887914214</v>
      </c>
      <c r="H213" s="74">
        <v>249.71691684947672</v>
      </c>
      <c r="I213" s="14">
        <v>25.292062609779784</v>
      </c>
      <c r="J213" s="64">
        <v>0.24447283847643617</v>
      </c>
      <c r="K213" s="16">
        <v>6.9681085802014098E-2</v>
      </c>
      <c r="L213" s="17">
        <v>2.9908015348625838</v>
      </c>
      <c r="M213" s="17">
        <v>2.0099751435949074</v>
      </c>
      <c r="N213" s="18">
        <v>0.52878792934684404</v>
      </c>
      <c r="O213" s="19">
        <v>1.0607620547751058E-2</v>
      </c>
      <c r="P213" s="51">
        <v>48.005110000000002</v>
      </c>
      <c r="Q213" s="51">
        <v>99.747889999999998</v>
      </c>
      <c r="T213" s="10" t="s">
        <v>1381</v>
      </c>
    </row>
    <row r="214" spans="1:45" ht="18.75" x14ac:dyDescent="0.3">
      <c r="A214" s="94" t="s">
        <v>1382</v>
      </c>
      <c r="B214" s="21" t="s">
        <v>659</v>
      </c>
      <c r="C214" s="21" t="s">
        <v>870</v>
      </c>
      <c r="D214" s="12" t="s">
        <v>862</v>
      </c>
      <c r="E214" s="13">
        <v>0.1250819657635984</v>
      </c>
      <c r="F214" s="14">
        <v>223.25819192986313</v>
      </c>
      <c r="G214" s="22">
        <v>0.31553812857392766</v>
      </c>
      <c r="H214" s="74">
        <v>236.42307027828173</v>
      </c>
      <c r="I214" s="14">
        <v>1827.4920716346462</v>
      </c>
      <c r="J214" s="64">
        <v>18.563432018778219</v>
      </c>
      <c r="K214" s="16">
        <v>0.26879321242304749</v>
      </c>
      <c r="L214" s="17">
        <v>97.496844143746259</v>
      </c>
      <c r="M214" s="17">
        <v>1.9029727766428413</v>
      </c>
      <c r="N214" s="18">
        <v>0.45535583416172415</v>
      </c>
      <c r="O214" s="19">
        <v>9.1343567505665618E-3</v>
      </c>
      <c r="P214" s="51">
        <v>45.716766700000001</v>
      </c>
      <c r="Q214" s="51">
        <v>101.07185</v>
      </c>
      <c r="R214" s="10">
        <v>1933</v>
      </c>
      <c r="S214" s="10">
        <v>2.7</v>
      </c>
    </row>
    <row r="215" spans="1:45" ht="18.75" x14ac:dyDescent="0.3">
      <c r="A215" s="94" t="s">
        <v>1383</v>
      </c>
      <c r="B215" s="21" t="s">
        <v>661</v>
      </c>
      <c r="C215" s="21" t="s">
        <v>870</v>
      </c>
      <c r="D215" s="12" t="s">
        <v>862</v>
      </c>
      <c r="E215" s="13">
        <v>0.33261018130417641</v>
      </c>
      <c r="F215" s="14">
        <v>281.84550155963274</v>
      </c>
      <c r="G215" s="22">
        <v>1.3424145946651365</v>
      </c>
      <c r="H215" s="74">
        <v>291.73339633356119</v>
      </c>
      <c r="I215" s="14">
        <v>286.97806555429645</v>
      </c>
      <c r="J215" s="64">
        <v>2.3730192051771124</v>
      </c>
      <c r="K215" s="16">
        <v>0.10280891669858785</v>
      </c>
      <c r="L215" s="17">
        <v>71.944069602126888</v>
      </c>
      <c r="M215" s="17">
        <v>2.3481664061247134</v>
      </c>
      <c r="N215" s="18">
        <v>0.44508555123023541</v>
      </c>
      <c r="O215" s="19">
        <v>8.931375665890192E-3</v>
      </c>
      <c r="P215" s="51">
        <v>46.799900000000001</v>
      </c>
      <c r="Q215" s="51">
        <v>101.7607167</v>
      </c>
      <c r="R215" s="10">
        <v>1951</v>
      </c>
      <c r="S215" s="10">
        <v>3.2</v>
      </c>
    </row>
    <row r="216" spans="1:45" ht="18.75" x14ac:dyDescent="0.3">
      <c r="A216" s="94" t="s">
        <v>1384</v>
      </c>
      <c r="B216" s="21" t="s">
        <v>664</v>
      </c>
      <c r="C216" s="21" t="s">
        <v>870</v>
      </c>
      <c r="D216" s="12" t="s">
        <v>862</v>
      </c>
      <c r="E216" s="13">
        <v>0.49024195867439674</v>
      </c>
      <c r="F216" s="14">
        <v>251.55466186531041</v>
      </c>
      <c r="G216" s="22">
        <v>0.55995870220072119</v>
      </c>
      <c r="H216" s="74">
        <v>195.43688312774208</v>
      </c>
      <c r="I216" s="14">
        <v>182.04310709642414</v>
      </c>
      <c r="J216" s="64">
        <v>2.2470955177375065</v>
      </c>
      <c r="K216" s="16">
        <v>0.23210613774281369</v>
      </c>
      <c r="L216" s="17">
        <v>54.29699060261958</v>
      </c>
      <c r="M216" s="17">
        <v>1.5730743522883106</v>
      </c>
      <c r="N216" s="18">
        <v>0.33407395085337505</v>
      </c>
      <c r="O216" s="19">
        <v>6.7251931148687421E-3</v>
      </c>
      <c r="P216" s="51">
        <v>46.799900000000001</v>
      </c>
      <c r="Q216" s="51">
        <v>101.7607167</v>
      </c>
      <c r="R216" s="10">
        <v>1951</v>
      </c>
      <c r="S216" s="10">
        <v>3.3</v>
      </c>
    </row>
    <row r="217" spans="1:45" ht="18.75" x14ac:dyDescent="0.3">
      <c r="A217" s="94" t="s">
        <v>1385</v>
      </c>
      <c r="B217" s="21" t="s">
        <v>1386</v>
      </c>
      <c r="C217" s="21" t="s">
        <v>870</v>
      </c>
      <c r="D217" s="12" t="s">
        <v>862</v>
      </c>
      <c r="E217" s="13">
        <v>0.34889149094234201</v>
      </c>
      <c r="F217" s="14">
        <v>257.8350663907994</v>
      </c>
      <c r="G217" s="22">
        <v>6.1138501695113314</v>
      </c>
      <c r="H217" s="74">
        <v>207.05493232987124</v>
      </c>
      <c r="I217" s="14">
        <v>21.838681331649227</v>
      </c>
      <c r="J217" s="64">
        <v>0.25458566568820529</v>
      </c>
      <c r="K217" s="16">
        <v>0.24139041058774302</v>
      </c>
      <c r="L217" s="17">
        <v>16.323863162522901</v>
      </c>
      <c r="M217" s="17">
        <v>1.666588201521914</v>
      </c>
      <c r="N217" s="18">
        <v>0.34531230428873</v>
      </c>
      <c r="O217" s="19">
        <v>6.9493526972650614E-3</v>
      </c>
      <c r="P217" s="51">
        <v>46.788716700000002</v>
      </c>
      <c r="Q217" s="51">
        <v>101.9612667</v>
      </c>
      <c r="R217" s="10">
        <v>1804</v>
      </c>
      <c r="S217" s="10">
        <v>2</v>
      </c>
    </row>
    <row r="218" spans="1:45" ht="18.75" x14ac:dyDescent="0.3">
      <c r="A218" s="94" t="s">
        <v>1387</v>
      </c>
      <c r="B218" s="21" t="s">
        <v>670</v>
      </c>
      <c r="C218" s="21" t="s">
        <v>870</v>
      </c>
      <c r="D218" s="12" t="s">
        <v>862</v>
      </c>
      <c r="E218" s="13">
        <v>0.5486705421301864</v>
      </c>
      <c r="F218" s="14">
        <v>221.69279658288445</v>
      </c>
      <c r="G218" s="22">
        <v>0.87077132995450779</v>
      </c>
      <c r="H218" s="74">
        <v>163.03903207372684</v>
      </c>
      <c r="I218" s="14">
        <v>26.890112375612482</v>
      </c>
      <c r="J218" s="64">
        <v>0.3980860077132351</v>
      </c>
      <c r="K218" s="16">
        <v>0.10168742626687088</v>
      </c>
      <c r="L218" s="17">
        <v>13.718796113156618</v>
      </c>
      <c r="M218" s="17">
        <v>1.3123035717339731</v>
      </c>
      <c r="N218" s="18">
        <v>0.31623392763459351</v>
      </c>
      <c r="O218" s="19">
        <v>6.3435666920496426E-3</v>
      </c>
      <c r="P218" s="51">
        <v>48.096166699999998</v>
      </c>
      <c r="Q218" s="51">
        <v>100.3158667</v>
      </c>
      <c r="R218" s="10">
        <v>1833</v>
      </c>
      <c r="S218" s="10">
        <v>5.9</v>
      </c>
    </row>
    <row r="219" spans="1:45" ht="18.75" x14ac:dyDescent="0.3">
      <c r="A219" s="94" t="s">
        <v>1388</v>
      </c>
      <c r="B219" s="21" t="s">
        <v>1389</v>
      </c>
      <c r="C219" s="21" t="s">
        <v>870</v>
      </c>
      <c r="D219" s="12" t="s">
        <v>862</v>
      </c>
      <c r="E219" s="13">
        <v>0.34301379848499597</v>
      </c>
      <c r="F219" s="14">
        <v>426.03338308533478</v>
      </c>
      <c r="G219" s="22">
        <v>3.9105758225806202</v>
      </c>
      <c r="H219" s="74">
        <v>274.91886425665382</v>
      </c>
      <c r="I219" s="14">
        <v>1042.1314901933272</v>
      </c>
      <c r="J219" s="64">
        <v>9.1273596191412132</v>
      </c>
      <c r="K219" s="16">
        <v>0.20316325871446073</v>
      </c>
      <c r="L219" s="17">
        <v>90.213527607404771</v>
      </c>
      <c r="M219" s="17">
        <v>2.2128259896557125</v>
      </c>
      <c r="N219" s="18">
        <v>0.27747851770264342</v>
      </c>
      <c r="O219" s="19">
        <v>5.5803836978866508E-3</v>
      </c>
      <c r="P219" s="51">
        <v>47.448099999999997</v>
      </c>
      <c r="Q219" s="51">
        <v>100.20085</v>
      </c>
      <c r="R219" s="10">
        <v>2119</v>
      </c>
      <c r="S219" s="10">
        <v>6.7</v>
      </c>
    </row>
    <row r="220" spans="1:45" ht="18.75" x14ac:dyDescent="0.3">
      <c r="A220" s="94" t="s">
        <v>1390</v>
      </c>
      <c r="B220" s="21" t="s">
        <v>1391</v>
      </c>
      <c r="C220" s="21" t="s">
        <v>870</v>
      </c>
      <c r="D220" s="12" t="s">
        <v>862</v>
      </c>
      <c r="E220" s="13">
        <v>0.3490872435649171</v>
      </c>
      <c r="F220" s="14">
        <v>282.65663419385623</v>
      </c>
      <c r="G220" s="22">
        <v>1.1985147463943557</v>
      </c>
      <c r="H220" s="74">
        <v>285.10819368479918</v>
      </c>
      <c r="I220" s="14">
        <v>53.617953611507303</v>
      </c>
      <c r="J220" s="64">
        <v>0.45390996403672673</v>
      </c>
      <c r="K220" s="16">
        <v>0.10400646196139469</v>
      </c>
      <c r="L220" s="17">
        <v>31.524848398614768</v>
      </c>
      <c r="M220" s="17">
        <v>2.2948400523746488</v>
      </c>
      <c r="N220" s="18">
        <v>0.43372950942443639</v>
      </c>
      <c r="O220" s="19">
        <v>8.7033032346950853E-3</v>
      </c>
      <c r="P220" s="51">
        <v>48.184266700000002</v>
      </c>
      <c r="Q220" s="51">
        <v>100.2001333</v>
      </c>
      <c r="R220" s="10">
        <v>1935</v>
      </c>
      <c r="S220" s="10">
        <v>3.6</v>
      </c>
    </row>
    <row r="221" spans="1:45" ht="18.75" x14ac:dyDescent="0.3">
      <c r="A221" s="94" t="s">
        <v>1392</v>
      </c>
      <c r="B221" s="21" t="s">
        <v>1393</v>
      </c>
      <c r="C221" s="21" t="s">
        <v>870</v>
      </c>
      <c r="D221" s="12" t="s">
        <v>862</v>
      </c>
      <c r="E221" s="13">
        <v>0.3931246704225661</v>
      </c>
      <c r="F221" s="14">
        <v>302.33347434492566</v>
      </c>
      <c r="G221" s="22">
        <v>1.3777449082219724</v>
      </c>
      <c r="H221" s="74">
        <v>112.94486507388875</v>
      </c>
      <c r="I221" s="14">
        <v>438.63667414865557</v>
      </c>
      <c r="J221" s="64">
        <v>9.3505854744927213</v>
      </c>
      <c r="K221" s="16">
        <v>0.38996305832520844</v>
      </c>
      <c r="L221" s="17">
        <v>78.38061872944148</v>
      </c>
      <c r="M221" s="17">
        <v>0.90909488335560751</v>
      </c>
      <c r="N221" s="18">
        <v>0.16063815654883104</v>
      </c>
      <c r="O221" s="19">
        <v>3.2349359136322657E-3</v>
      </c>
      <c r="P221" s="51">
        <v>47.244999999999997</v>
      </c>
      <c r="Q221" s="51">
        <v>100.0316167</v>
      </c>
      <c r="R221" s="10">
        <v>2524</v>
      </c>
      <c r="S221" s="10">
        <v>3.75</v>
      </c>
    </row>
    <row r="222" spans="1:45" ht="18.75" x14ac:dyDescent="0.3">
      <c r="A222" s="94" t="s">
        <v>1394</v>
      </c>
      <c r="B222" s="21" t="s">
        <v>1395</v>
      </c>
      <c r="C222" s="21" t="s">
        <v>870</v>
      </c>
      <c r="D222" s="12" t="s">
        <v>862</v>
      </c>
      <c r="E222" s="13">
        <v>0.27071353766034068</v>
      </c>
      <c r="F222" s="14">
        <v>332.21886013247138</v>
      </c>
      <c r="G222" s="22">
        <v>0.52861173150968455</v>
      </c>
      <c r="H222" s="74">
        <v>143.8925677711359</v>
      </c>
      <c r="I222" s="14">
        <v>534.58369897453997</v>
      </c>
      <c r="J222" s="64">
        <v>8.9459473066826813</v>
      </c>
      <c r="K222" s="16">
        <v>0.31574830103211227</v>
      </c>
      <c r="L222" s="17">
        <v>86.124690447439875</v>
      </c>
      <c r="M222" s="17">
        <v>1.1581933984166717</v>
      </c>
      <c r="N222" s="18">
        <v>0.18624410461500115</v>
      </c>
      <c r="O222" s="19">
        <v>3.7486371552238533E-3</v>
      </c>
      <c r="P222" s="51">
        <v>47.265133300000002</v>
      </c>
      <c r="Q222" s="51">
        <v>99.668016699999995</v>
      </c>
      <c r="R222" s="10">
        <v>2500</v>
      </c>
      <c r="S222" s="10">
        <v>2.2999999999999998</v>
      </c>
    </row>
    <row r="223" spans="1:45" ht="18.75" x14ac:dyDescent="0.3">
      <c r="A223" s="94" t="s">
        <v>1396</v>
      </c>
      <c r="B223" s="21" t="s">
        <v>1397</v>
      </c>
      <c r="C223" s="21" t="s">
        <v>870</v>
      </c>
      <c r="D223" s="12" t="s">
        <v>862</v>
      </c>
      <c r="E223" s="13">
        <v>0.19601390694435375</v>
      </c>
      <c r="F223" s="14">
        <v>395.80554149379805</v>
      </c>
      <c r="G223" s="22">
        <v>1.793485848236829</v>
      </c>
      <c r="H223" s="74">
        <v>249.4856949436367</v>
      </c>
      <c r="I223" s="14">
        <v>950.52134762536105</v>
      </c>
      <c r="J223" s="64">
        <v>9.1735589813113361</v>
      </c>
      <c r="K223" s="16">
        <v>0.17290997970896566</v>
      </c>
      <c r="L223" s="17">
        <v>93.17979227055298</v>
      </c>
      <c r="M223" s="17">
        <v>2.0081140350674733</v>
      </c>
      <c r="N223" s="18">
        <v>0.27103927959392843</v>
      </c>
      <c r="O223" s="19">
        <v>5.4381646471608272E-3</v>
      </c>
      <c r="P223" s="51">
        <v>47.209899999999998</v>
      </c>
      <c r="Q223" s="51">
        <v>100.01049999999999</v>
      </c>
      <c r="R223" s="20">
        <v>2240</v>
      </c>
      <c r="S223" s="20">
        <v>2.2999999999999998</v>
      </c>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row>
    <row r="224" spans="1:45" s="20" customFormat="1" ht="18.75" x14ac:dyDescent="0.3">
      <c r="A224" s="94" t="s">
        <v>1286</v>
      </c>
      <c r="B224" s="21" t="s">
        <v>1398</v>
      </c>
      <c r="C224" s="21" t="s">
        <v>870</v>
      </c>
      <c r="D224" s="12" t="s">
        <v>862</v>
      </c>
      <c r="E224" s="13">
        <v>0.42492606121651538</v>
      </c>
      <c r="F224" s="14">
        <v>311.89912550892768</v>
      </c>
      <c r="G224" s="22">
        <v>1.9517070791473876</v>
      </c>
      <c r="H224" s="74">
        <v>218.59033059354186</v>
      </c>
      <c r="I224" s="14">
        <v>375.19790409645111</v>
      </c>
      <c r="J224" s="64">
        <v>4.1386249415680689</v>
      </c>
      <c r="K224" s="16">
        <v>0.131192943497111</v>
      </c>
      <c r="L224" s="17">
        <v>73.530602934226536</v>
      </c>
      <c r="M224" s="17">
        <v>1.7594367921339058</v>
      </c>
      <c r="N224" s="18">
        <v>0.30135974893117345</v>
      </c>
      <c r="O224" s="19">
        <v>6.0448665694164206E-3</v>
      </c>
      <c r="P224" s="51">
        <v>47.136569999999999</v>
      </c>
      <c r="Q224" s="51">
        <v>99.86327</v>
      </c>
      <c r="R224" s="33">
        <v>3057</v>
      </c>
      <c r="S224" s="33">
        <v>3</v>
      </c>
      <c r="T224" s="20" t="s">
        <v>1399</v>
      </c>
      <c r="U224" s="20" t="s">
        <v>1400</v>
      </c>
      <c r="V224" s="20" t="s">
        <v>1401</v>
      </c>
      <c r="W224" s="20" t="s">
        <v>1401</v>
      </c>
    </row>
    <row r="225" spans="1:45" s="20" customFormat="1" ht="18.75" x14ac:dyDescent="0.3">
      <c r="A225" s="94" t="s">
        <v>1402</v>
      </c>
      <c r="B225" s="21" t="s">
        <v>681</v>
      </c>
      <c r="C225" s="21" t="s">
        <v>870</v>
      </c>
      <c r="D225" s="12" t="s">
        <v>862</v>
      </c>
      <c r="E225" s="13">
        <v>0.5277997090885872</v>
      </c>
      <c r="F225" s="14">
        <v>241.0335531206855</v>
      </c>
      <c r="G225" s="22">
        <v>2.0047778287338174</v>
      </c>
      <c r="H225" s="74">
        <v>101.93037395582239</v>
      </c>
      <c r="I225" s="14">
        <v>177.75468248916542</v>
      </c>
      <c r="J225" s="64">
        <v>4.2047105782487337</v>
      </c>
      <c r="K225" s="16">
        <v>0.18430892624682446</v>
      </c>
      <c r="L225" s="17">
        <v>52.566736508576511</v>
      </c>
      <c r="M225" s="17">
        <v>0.82043908203476623</v>
      </c>
      <c r="N225" s="18">
        <v>0.1818421553079704</v>
      </c>
      <c r="O225" s="19">
        <v>3.6528655737500188E-3</v>
      </c>
      <c r="P225" s="51">
        <v>47.134569999999997</v>
      </c>
      <c r="Q225" s="51">
        <v>99.862660000000005</v>
      </c>
      <c r="R225" s="33">
        <v>2990</v>
      </c>
      <c r="S225" s="33">
        <v>3</v>
      </c>
      <c r="T225" s="20" t="s">
        <v>1399</v>
      </c>
      <c r="U225" s="20" t="s">
        <v>1403</v>
      </c>
      <c r="V225" s="20" t="s">
        <v>1401</v>
      </c>
      <c r="W225" s="20" t="s">
        <v>1401</v>
      </c>
    </row>
    <row r="226" spans="1:45" s="20" customFormat="1" ht="18.75" x14ac:dyDescent="0.3">
      <c r="A226" s="94" t="s">
        <v>1404</v>
      </c>
      <c r="B226" s="21" t="s">
        <v>684</v>
      </c>
      <c r="C226" s="21" t="s">
        <v>1190</v>
      </c>
      <c r="D226" s="12" t="s">
        <v>862</v>
      </c>
      <c r="E226" s="13">
        <v>0.22400602401427896</v>
      </c>
      <c r="F226" s="14">
        <v>274.29972975810659</v>
      </c>
      <c r="G226" s="22">
        <v>1.0903463078796234</v>
      </c>
      <c r="H226" s="74">
        <v>78.430442439404089</v>
      </c>
      <c r="I226" s="14">
        <v>145.94822376481423</v>
      </c>
      <c r="J226" s="64">
        <v>4.4864102381728088</v>
      </c>
      <c r="K226" s="16">
        <v>0.23825817093792709</v>
      </c>
      <c r="L226" s="17">
        <v>67.708346821453389</v>
      </c>
      <c r="M226" s="17">
        <v>0.63128778695989129</v>
      </c>
      <c r="N226" s="18">
        <v>0.1229497757022382</v>
      </c>
      <c r="O226" s="19">
        <v>2.4716231095842584E-3</v>
      </c>
      <c r="P226" s="51">
        <v>47.138039999999997</v>
      </c>
      <c r="Q226" s="51">
        <v>99.857889999999998</v>
      </c>
      <c r="R226" s="33">
        <v>2834</v>
      </c>
      <c r="S226" s="33">
        <v>3</v>
      </c>
      <c r="T226" s="20" t="s">
        <v>1399</v>
      </c>
      <c r="U226" s="20" t="s">
        <v>1405</v>
      </c>
      <c r="V226" s="20" t="s">
        <v>1401</v>
      </c>
      <c r="W226" s="20" t="s">
        <v>1401</v>
      </c>
    </row>
    <row r="227" spans="1:45" s="20" customFormat="1" ht="18.75" x14ac:dyDescent="0.3">
      <c r="A227" s="94" t="s">
        <v>1406</v>
      </c>
      <c r="B227" s="21" t="s">
        <v>1407</v>
      </c>
      <c r="C227" s="21" t="s">
        <v>870</v>
      </c>
      <c r="D227" s="12" t="s">
        <v>862</v>
      </c>
      <c r="E227" s="13">
        <v>1.5204434587280233</v>
      </c>
      <c r="F227" s="14">
        <v>163.27904405123624</v>
      </c>
      <c r="G227" s="22">
        <v>21.570035738686997</v>
      </c>
      <c r="H227" s="74">
        <v>185.40765962186867</v>
      </c>
      <c r="I227" s="14">
        <v>11.601896877952354</v>
      </c>
      <c r="J227" s="64">
        <v>0.15104518288843613</v>
      </c>
      <c r="K227" s="16">
        <v>0.14628202681724292</v>
      </c>
      <c r="L227" s="17">
        <v>2.4751015186468921</v>
      </c>
      <c r="M227" s="17">
        <v>1.4923489844970914</v>
      </c>
      <c r="N227" s="18">
        <v>0.48827633760757494</v>
      </c>
      <c r="O227" s="19">
        <v>9.7961826335855751E-3</v>
      </c>
      <c r="P227" s="51">
        <v>47.927930000000003</v>
      </c>
      <c r="Q227" s="51">
        <v>97.135109999999997</v>
      </c>
      <c r="R227" s="20">
        <v>2090</v>
      </c>
      <c r="S227" s="20" t="s">
        <v>1408</v>
      </c>
      <c r="T227" s="20" t="s">
        <v>1409</v>
      </c>
      <c r="U227" s="20" t="s">
        <v>1408</v>
      </c>
      <c r="V227" s="20" t="s">
        <v>1408</v>
      </c>
      <c r="W227" s="20" t="s">
        <v>1408</v>
      </c>
      <c r="Z227" s="20" t="s">
        <v>1530</v>
      </c>
    </row>
    <row r="228" spans="1:45" s="20" customFormat="1" ht="15.75" x14ac:dyDescent="0.25">
      <c r="A228" s="93" t="s">
        <v>1410</v>
      </c>
      <c r="B228" s="11" t="s">
        <v>691</v>
      </c>
      <c r="C228" s="12" t="s">
        <v>395</v>
      </c>
      <c r="D228" s="12" t="s">
        <v>862</v>
      </c>
      <c r="E228" s="13">
        <v>0.66758892165992156</v>
      </c>
      <c r="F228" s="14">
        <v>496.5042556525317</v>
      </c>
      <c r="G228" s="13">
        <v>0.24502510345127645</v>
      </c>
      <c r="H228" s="74">
        <v>325.35468758501264</v>
      </c>
      <c r="I228" s="15">
        <v>947.66302951205103</v>
      </c>
      <c r="J228" s="64">
        <v>10.712025325370837</v>
      </c>
      <c r="K228" s="16">
        <v>0.17799173228009421</v>
      </c>
      <c r="L228" s="17">
        <v>82.718506678406683</v>
      </c>
      <c r="M228" s="17">
        <v>1.0520935249334598</v>
      </c>
      <c r="N228" s="18">
        <v>0.28177505845884099</v>
      </c>
      <c r="O228" s="19">
        <v>5.8260470297825506E-3</v>
      </c>
      <c r="P228" s="55">
        <v>47.248289999999997</v>
      </c>
      <c r="Q228" s="55">
        <v>100.05029</v>
      </c>
      <c r="R228" s="47">
        <v>2480</v>
      </c>
      <c r="S228" s="47">
        <v>3</v>
      </c>
      <c r="T228" s="20" t="s">
        <v>1411</v>
      </c>
      <c r="U228" s="20">
        <v>1</v>
      </c>
      <c r="V228" s="20">
        <v>277</v>
      </c>
      <c r="W228" s="20">
        <v>367</v>
      </c>
    </row>
    <row r="229" spans="1:45" s="20" customFormat="1" ht="15.75" x14ac:dyDescent="0.25">
      <c r="A229" s="93" t="s">
        <v>1412</v>
      </c>
      <c r="B229" s="11" t="s">
        <v>1413</v>
      </c>
      <c r="C229" s="12" t="s">
        <v>395</v>
      </c>
      <c r="D229" s="12" t="s">
        <v>862</v>
      </c>
      <c r="E229" s="13">
        <v>0.511567170432357</v>
      </c>
      <c r="F229" s="14">
        <v>882.00729984327143</v>
      </c>
      <c r="G229" s="13">
        <v>0.35731888404125411</v>
      </c>
      <c r="H229" s="74">
        <v>359.63222914206705</v>
      </c>
      <c r="I229" s="15">
        <v>1260.2502276909304</v>
      </c>
      <c r="J229" s="64">
        <v>12.879894113118576</v>
      </c>
      <c r="K229" s="16">
        <v>0.19844068339921725</v>
      </c>
      <c r="L229" s="17">
        <v>89.240482408443881</v>
      </c>
      <c r="M229" s="17">
        <v>1.1629361864930585</v>
      </c>
      <c r="N229" s="18">
        <v>0.17532945425572777</v>
      </c>
      <c r="O229" s="19">
        <v>3.6131751666216468E-3</v>
      </c>
      <c r="P229" s="55">
        <v>47.183929999999997</v>
      </c>
      <c r="Q229" s="55">
        <v>100.10101</v>
      </c>
      <c r="R229" s="47">
        <v>2992</v>
      </c>
      <c r="S229" s="47">
        <v>3</v>
      </c>
      <c r="T229" s="20" t="s">
        <v>1414</v>
      </c>
      <c r="U229" s="20">
        <v>1</v>
      </c>
      <c r="V229" s="20">
        <v>392</v>
      </c>
      <c r="W229" s="20">
        <v>498</v>
      </c>
    </row>
    <row r="230" spans="1:45" s="20" customFormat="1" ht="15.75" x14ac:dyDescent="0.25">
      <c r="A230" s="93" t="s">
        <v>1415</v>
      </c>
      <c r="B230" s="11" t="s">
        <v>695</v>
      </c>
      <c r="C230" s="12" t="s">
        <v>395</v>
      </c>
      <c r="D230" s="12" t="s">
        <v>862</v>
      </c>
      <c r="E230" s="13">
        <v>0.87509145649313658</v>
      </c>
      <c r="F230" s="14">
        <v>597.12829530824513</v>
      </c>
      <c r="G230" s="13">
        <v>0.61031840923017333</v>
      </c>
      <c r="H230" s="74">
        <v>593.78742473069542</v>
      </c>
      <c r="I230" s="15">
        <v>1548.1681864687748</v>
      </c>
      <c r="J230" s="64">
        <v>9.5917206010900848</v>
      </c>
      <c r="K230" s="16">
        <v>0.14284140681975926</v>
      </c>
      <c r="L230" s="17">
        <v>85.626886334610163</v>
      </c>
      <c r="M230" s="17">
        <v>1.9201195759100422</v>
      </c>
      <c r="N230" s="18">
        <v>0.42759419481603228</v>
      </c>
      <c r="O230" s="19">
        <v>8.8149936984108709E-3</v>
      </c>
      <c r="P230" s="55">
        <v>47.177300000000002</v>
      </c>
      <c r="Q230" s="55">
        <v>100.11057</v>
      </c>
      <c r="R230" s="47">
        <v>3117</v>
      </c>
      <c r="S230" s="47">
        <v>3</v>
      </c>
      <c r="T230" s="20" t="s">
        <v>1416</v>
      </c>
      <c r="U230" s="20">
        <v>30</v>
      </c>
      <c r="V230" s="20">
        <v>267</v>
      </c>
      <c r="W230" s="20">
        <v>498</v>
      </c>
    </row>
    <row r="231" spans="1:45" s="35" customFormat="1" ht="15.75" x14ac:dyDescent="0.25">
      <c r="A231" s="94" t="s">
        <v>1417</v>
      </c>
      <c r="B231" s="34" t="s">
        <v>697</v>
      </c>
      <c r="C231" s="12" t="s">
        <v>395</v>
      </c>
      <c r="D231" s="12" t="s">
        <v>862</v>
      </c>
      <c r="E231" s="13">
        <v>0.97083540281028913</v>
      </c>
      <c r="F231" s="14">
        <v>612.61949192920986</v>
      </c>
      <c r="G231" s="13">
        <v>0.41779364230197519</v>
      </c>
      <c r="H231" s="74">
        <v>526.55079733232162</v>
      </c>
      <c r="I231" s="15">
        <v>1094.9274432233617</v>
      </c>
      <c r="J231" s="64">
        <v>7.6539799135680298</v>
      </c>
      <c r="K231" s="16">
        <v>0.1201703884025742</v>
      </c>
      <c r="L231" s="17">
        <v>79.173610534749997</v>
      </c>
      <c r="M231" s="17">
        <v>1.7026977190151444</v>
      </c>
      <c r="N231" s="18">
        <v>0.36958804908391896</v>
      </c>
      <c r="O231" s="19">
        <v>7.6197979619157963E-3</v>
      </c>
      <c r="P231" s="56">
        <v>47.096380000000003</v>
      </c>
      <c r="Q231" s="56">
        <v>99.935090000000002</v>
      </c>
      <c r="R231" s="57">
        <v>3328</v>
      </c>
      <c r="S231" s="57">
        <v>5</v>
      </c>
      <c r="T231" s="35" t="s">
        <v>1418</v>
      </c>
      <c r="U231" s="35">
        <v>90</v>
      </c>
      <c r="V231" s="35">
        <v>450</v>
      </c>
      <c r="W231" s="35">
        <v>535</v>
      </c>
    </row>
    <row r="232" spans="1:45" s="20" customFormat="1" ht="15.75" x14ac:dyDescent="0.25">
      <c r="A232" s="93" t="s">
        <v>1419</v>
      </c>
      <c r="B232" s="11" t="s">
        <v>699</v>
      </c>
      <c r="C232" s="12" t="s">
        <v>395</v>
      </c>
      <c r="D232" s="12" t="s">
        <v>862</v>
      </c>
      <c r="E232" s="13">
        <v>0.75661472374228533</v>
      </c>
      <c r="F232" s="14">
        <v>1027.3409071076537</v>
      </c>
      <c r="G232" s="13">
        <v>0.32276365349341279</v>
      </c>
      <c r="H232" s="74">
        <v>437.46982414881097</v>
      </c>
      <c r="I232" s="15">
        <v>1095.0500394649559</v>
      </c>
      <c r="J232" s="64">
        <v>9.2096084266121263</v>
      </c>
      <c r="K232" s="16">
        <v>0.14650259590115541</v>
      </c>
      <c r="L232" s="17">
        <v>82.983289249712357</v>
      </c>
      <c r="M232" s="17">
        <v>1.4146381991821806</v>
      </c>
      <c r="N232" s="18">
        <v>0.18310574716000935</v>
      </c>
      <c r="O232" s="19">
        <v>3.772291494760278E-3</v>
      </c>
      <c r="P232" s="55">
        <v>47.121569999999998</v>
      </c>
      <c r="Q232" s="55">
        <v>99.944680000000005</v>
      </c>
      <c r="R232" s="47">
        <v>2878</v>
      </c>
      <c r="S232" s="47">
        <v>5</v>
      </c>
      <c r="T232" s="20" t="s">
        <v>1420</v>
      </c>
      <c r="U232" s="20">
        <v>1</v>
      </c>
      <c r="V232" s="20">
        <v>450</v>
      </c>
      <c r="W232" s="20">
        <v>85</v>
      </c>
    </row>
    <row r="233" spans="1:45" ht="15.75" x14ac:dyDescent="0.25">
      <c r="A233" s="92" t="s">
        <v>830</v>
      </c>
      <c r="B233" s="92" t="s">
        <v>796</v>
      </c>
      <c r="C233" s="84" t="s">
        <v>1531</v>
      </c>
      <c r="D233" s="12" t="s">
        <v>881</v>
      </c>
      <c r="E233" s="48">
        <v>8673.2724898270662</v>
      </c>
      <c r="F233" s="90">
        <v>7299133.3090960998</v>
      </c>
      <c r="G233" s="48">
        <v>67603.86751781925</v>
      </c>
      <c r="H233" s="77">
        <v>3396856.7327590156</v>
      </c>
      <c r="I233" s="61">
        <v>7431349.3456976246</v>
      </c>
      <c r="J233" s="26">
        <v>7.9615970436304666</v>
      </c>
      <c r="K233" s="27">
        <v>0.1712381892061271</v>
      </c>
      <c r="L233" s="17" t="s">
        <v>829</v>
      </c>
      <c r="M233" s="20"/>
      <c r="N233" s="20">
        <v>4.287841466429259E-2</v>
      </c>
      <c r="O233" s="36">
        <v>3.44290345176659E-2</v>
      </c>
      <c r="P233" s="58">
        <v>47.200073695534506</v>
      </c>
      <c r="Q233" s="58">
        <v>100.11603979498878</v>
      </c>
      <c r="R233" s="59">
        <v>3191</v>
      </c>
      <c r="S233" s="20"/>
      <c r="T233" s="10" t="s">
        <v>900</v>
      </c>
      <c r="U233" s="20"/>
      <c r="V233" s="20"/>
      <c r="W233" s="20"/>
      <c r="X233" s="20"/>
      <c r="Y233" s="20"/>
      <c r="Z233" s="20" t="s">
        <v>1540</v>
      </c>
      <c r="AA233" s="20"/>
      <c r="AB233" s="20"/>
      <c r="AC233" s="20"/>
      <c r="AD233" s="20"/>
      <c r="AE233" s="20"/>
      <c r="AF233" s="20"/>
      <c r="AG233" s="20"/>
      <c r="AH233" s="20"/>
      <c r="AI233" s="20"/>
      <c r="AJ233" s="20"/>
      <c r="AK233" s="20"/>
      <c r="AL233" s="20"/>
      <c r="AM233" s="20"/>
      <c r="AN233" s="20"/>
      <c r="AO233" s="20"/>
      <c r="AP233" s="20"/>
      <c r="AQ233" s="20"/>
      <c r="AR233" s="20"/>
      <c r="AS233" s="20"/>
    </row>
    <row r="234" spans="1:45" ht="15.75" x14ac:dyDescent="0.25">
      <c r="A234" s="92" t="s">
        <v>835</v>
      </c>
      <c r="B234" s="92" t="s">
        <v>768</v>
      </c>
      <c r="C234" s="84" t="s">
        <v>1532</v>
      </c>
      <c r="D234" s="12" t="s">
        <v>881</v>
      </c>
      <c r="E234" s="46">
        <v>2833.2128410157866</v>
      </c>
      <c r="F234" s="60">
        <v>6046555.8033731226</v>
      </c>
      <c r="G234" s="46">
        <v>61639.035842258418</v>
      </c>
      <c r="H234" s="78">
        <v>2667592.7756057931</v>
      </c>
      <c r="I234" s="60">
        <v>7494580.7183124674</v>
      </c>
      <c r="J234" s="62">
        <v>9.9724351039892696</v>
      </c>
      <c r="K234" s="70">
        <v>0.21104138154436944</v>
      </c>
      <c r="L234" s="17" t="s">
        <v>829</v>
      </c>
      <c r="N234" s="10">
        <v>0.61459179531524888</v>
      </c>
      <c r="O234" s="10">
        <v>5.7172040337190762E-2</v>
      </c>
      <c r="P234" s="58">
        <v>47.200355000000002</v>
      </c>
      <c r="Q234" s="58">
        <v>100.10644820025701</v>
      </c>
      <c r="R234" s="59">
        <v>2825</v>
      </c>
      <c r="S234" s="20"/>
      <c r="T234" s="10" t="s">
        <v>900</v>
      </c>
      <c r="U234" s="20"/>
      <c r="V234" s="20"/>
      <c r="W234" s="20"/>
      <c r="X234" s="20"/>
      <c r="Y234" s="20"/>
      <c r="Z234" s="20" t="s">
        <v>1541</v>
      </c>
      <c r="AA234" s="20"/>
      <c r="AB234" s="20"/>
      <c r="AC234" s="20"/>
      <c r="AD234" s="20"/>
      <c r="AE234" s="20"/>
      <c r="AF234" s="20"/>
      <c r="AG234" s="20"/>
      <c r="AH234" s="20"/>
      <c r="AI234" s="20"/>
      <c r="AJ234" s="20"/>
      <c r="AK234" s="20"/>
      <c r="AL234" s="20"/>
      <c r="AM234" s="20"/>
      <c r="AN234" s="20"/>
      <c r="AO234" s="20"/>
      <c r="AP234" s="20"/>
      <c r="AQ234" s="20"/>
      <c r="AR234" s="20"/>
      <c r="AS234" s="20"/>
    </row>
    <row r="235" spans="1:45" ht="15.75" x14ac:dyDescent="0.25">
      <c r="A235" s="92" t="s">
        <v>828</v>
      </c>
      <c r="B235" s="92" t="s">
        <v>802</v>
      </c>
      <c r="C235" s="84" t="s">
        <v>1533</v>
      </c>
      <c r="D235" s="12" t="s">
        <v>881</v>
      </c>
      <c r="E235" s="84">
        <v>10780.0103220113</v>
      </c>
      <c r="F235" s="85">
        <v>7510902.9133656798</v>
      </c>
      <c r="G235" s="84">
        <v>21416.7706447977</v>
      </c>
      <c r="H235" s="79">
        <v>2641995.01547023</v>
      </c>
      <c r="I235" s="85">
        <v>4492076.4936029604</v>
      </c>
      <c r="J235" s="62">
        <v>6.2708478103385596</v>
      </c>
      <c r="K235" s="70">
        <v>0.15848454836510179</v>
      </c>
      <c r="L235" s="17" t="s">
        <v>829</v>
      </c>
      <c r="N235" s="10">
        <v>0.16266483547663474</v>
      </c>
      <c r="O235" s="10">
        <v>5.6456887081976631E-2</v>
      </c>
      <c r="P235" s="58">
        <v>47.200560000000003</v>
      </c>
      <c r="Q235" s="58">
        <v>100.11985</v>
      </c>
      <c r="R235" s="59">
        <v>3365</v>
      </c>
      <c r="S235" s="20"/>
      <c r="T235" s="10" t="s">
        <v>900</v>
      </c>
      <c r="U235" s="20"/>
      <c r="V235" s="20"/>
      <c r="W235" s="20"/>
      <c r="X235" s="20"/>
      <c r="Y235" s="20"/>
      <c r="Z235" s="20" t="s">
        <v>1542</v>
      </c>
      <c r="AA235" s="20"/>
      <c r="AB235" s="20"/>
      <c r="AC235" s="20"/>
      <c r="AD235" s="20"/>
      <c r="AE235" s="20"/>
      <c r="AF235" s="20"/>
      <c r="AG235" s="20"/>
      <c r="AH235" s="20"/>
      <c r="AI235" s="20"/>
      <c r="AJ235" s="20"/>
      <c r="AK235" s="20"/>
      <c r="AL235" s="20"/>
      <c r="AM235" s="20"/>
      <c r="AN235" s="20"/>
      <c r="AO235" s="20"/>
      <c r="AP235" s="20"/>
      <c r="AQ235" s="20"/>
      <c r="AR235" s="20"/>
      <c r="AS235" s="20"/>
    </row>
    <row r="236" spans="1:45" ht="15.75" x14ac:dyDescent="0.25">
      <c r="A236" s="92" t="s">
        <v>831</v>
      </c>
      <c r="B236" s="92" t="s">
        <v>791</v>
      </c>
      <c r="C236" s="84" t="s">
        <v>262</v>
      </c>
      <c r="D236" s="12" t="s">
        <v>881</v>
      </c>
      <c r="E236" s="46">
        <v>6815.6175672805593</v>
      </c>
      <c r="F236" s="60">
        <v>7236345.0226864172</v>
      </c>
      <c r="G236" s="46">
        <v>137873.87490360753</v>
      </c>
      <c r="H236" s="78">
        <v>2809500.5464588404</v>
      </c>
      <c r="I236" s="60">
        <v>5976943.4749703016</v>
      </c>
      <c r="J236" s="62">
        <v>7.97</v>
      </c>
      <c r="K236" s="70" t="s">
        <v>1535</v>
      </c>
      <c r="L236" s="17" t="s">
        <v>829</v>
      </c>
      <c r="N236" s="10">
        <v>0.36653376851320901</v>
      </c>
      <c r="O236" s="10">
        <v>9.3621511657016598E-2</v>
      </c>
      <c r="P236" s="58">
        <v>47.200207202975555</v>
      </c>
      <c r="Q236" s="58">
        <v>100.11449542818048</v>
      </c>
      <c r="R236" s="59">
        <v>3127</v>
      </c>
      <c r="S236" s="20"/>
      <c r="T236" s="10" t="s">
        <v>900</v>
      </c>
      <c r="U236" s="20"/>
      <c r="V236" s="20"/>
      <c r="W236" s="20"/>
      <c r="X236" s="20"/>
      <c r="Y236" s="20"/>
      <c r="Z236" s="20" t="s">
        <v>1543</v>
      </c>
      <c r="AA236" s="20"/>
      <c r="AB236" s="20"/>
      <c r="AC236" s="20"/>
      <c r="AD236" s="20"/>
      <c r="AE236" s="20"/>
      <c r="AF236" s="20"/>
      <c r="AG236" s="20"/>
      <c r="AH236" s="20"/>
      <c r="AI236" s="20"/>
      <c r="AJ236" s="20"/>
      <c r="AK236" s="20"/>
      <c r="AL236" s="20"/>
      <c r="AM236" s="20"/>
      <c r="AN236" s="20"/>
      <c r="AO236" s="20"/>
      <c r="AP236" s="20"/>
      <c r="AQ236" s="20"/>
      <c r="AR236" s="20"/>
      <c r="AS236" s="20"/>
    </row>
    <row r="237" spans="1:45" ht="15.75" x14ac:dyDescent="0.25">
      <c r="A237" s="92" t="s">
        <v>832</v>
      </c>
      <c r="B237" s="92" t="s">
        <v>777</v>
      </c>
      <c r="C237" s="84" t="s">
        <v>917</v>
      </c>
      <c r="D237" s="12" t="s">
        <v>881</v>
      </c>
      <c r="E237" s="46">
        <v>5267.3537143445719</v>
      </c>
      <c r="F237" s="60">
        <v>5032023.798417205</v>
      </c>
      <c r="G237" s="46">
        <v>66892.910279972857</v>
      </c>
      <c r="H237" s="78">
        <v>2461710.6327721435</v>
      </c>
      <c r="I237" s="60">
        <v>5913878.6267412612</v>
      </c>
      <c r="J237" s="65">
        <v>8.86</v>
      </c>
      <c r="K237" s="70" t="s">
        <v>1536</v>
      </c>
      <c r="L237" s="45" t="s">
        <v>833</v>
      </c>
      <c r="N237" s="10">
        <v>4.6834800557717597E-2</v>
      </c>
      <c r="O237" s="10">
        <v>4.3629207138990302E-2</v>
      </c>
      <c r="P237" s="58">
        <v>47.200457</v>
      </c>
      <c r="Q237" s="58">
        <v>100.111678762259</v>
      </c>
      <c r="R237" s="59">
        <v>3001</v>
      </c>
      <c r="S237" s="20"/>
      <c r="T237" s="10" t="s">
        <v>900</v>
      </c>
      <c r="U237" s="20"/>
      <c r="V237" s="20"/>
      <c r="W237" s="20"/>
      <c r="X237" s="20"/>
      <c r="Y237" s="20"/>
      <c r="Z237" s="20" t="s">
        <v>1544</v>
      </c>
      <c r="AA237" s="20"/>
      <c r="AB237" s="20"/>
      <c r="AC237" s="20"/>
      <c r="AD237" s="20"/>
      <c r="AE237" s="20"/>
      <c r="AF237" s="20"/>
      <c r="AG237" s="20"/>
      <c r="AH237" s="20"/>
      <c r="AI237" s="20"/>
      <c r="AJ237" s="20"/>
      <c r="AK237" s="20"/>
      <c r="AL237" s="20"/>
      <c r="AM237" s="20"/>
      <c r="AN237" s="20"/>
      <c r="AO237" s="20"/>
      <c r="AP237" s="20"/>
      <c r="AQ237" s="20"/>
      <c r="AR237" s="20"/>
      <c r="AS237" s="20"/>
    </row>
    <row r="238" spans="1:45" ht="15.75" x14ac:dyDescent="0.25">
      <c r="A238" s="92" t="s">
        <v>836</v>
      </c>
      <c r="B238" s="92" t="s">
        <v>767</v>
      </c>
      <c r="C238" s="84" t="s">
        <v>1534</v>
      </c>
      <c r="D238" s="12" t="s">
        <v>881</v>
      </c>
      <c r="E238" s="46">
        <v>7856.481425657119</v>
      </c>
      <c r="F238" s="60">
        <v>8011114.2521321168</v>
      </c>
      <c r="G238" s="46">
        <v>64742.631430817048</v>
      </c>
      <c r="H238" s="78">
        <v>2491804.5684210383</v>
      </c>
      <c r="I238" s="60">
        <v>6661858.425453255</v>
      </c>
      <c r="J238" s="62">
        <v>9.7777567460052701</v>
      </c>
      <c r="K238" s="70">
        <v>0.44390024015246998</v>
      </c>
      <c r="L238" s="45" t="s">
        <v>833</v>
      </c>
      <c r="N238" s="10">
        <v>0.37128623621539197</v>
      </c>
      <c r="O238" s="10">
        <v>0.12471106659504</v>
      </c>
      <c r="P238" s="58">
        <v>47.205210000000001</v>
      </c>
      <c r="Q238" s="58">
        <v>100.10312925291301</v>
      </c>
      <c r="R238" s="59">
        <v>2703</v>
      </c>
      <c r="S238" s="20"/>
      <c r="T238" s="10" t="s">
        <v>900</v>
      </c>
      <c r="U238" s="20"/>
      <c r="V238" s="20"/>
      <c r="W238" s="20"/>
      <c r="X238" s="20"/>
      <c r="Y238" s="20"/>
      <c r="Z238" s="20" t="s">
        <v>1545</v>
      </c>
      <c r="AA238" s="20"/>
      <c r="AB238" s="20"/>
      <c r="AC238" s="20"/>
      <c r="AD238" s="20"/>
      <c r="AE238" s="20"/>
      <c r="AF238" s="20"/>
      <c r="AG238" s="20"/>
      <c r="AH238" s="20"/>
      <c r="AI238" s="20"/>
      <c r="AJ238" s="20"/>
      <c r="AK238" s="20"/>
      <c r="AL238" s="20"/>
      <c r="AM238" s="20"/>
      <c r="AN238" s="20"/>
      <c r="AO238" s="20"/>
      <c r="AP238" s="20"/>
      <c r="AQ238" s="20"/>
      <c r="AR238" s="20"/>
      <c r="AS238" s="20"/>
    </row>
    <row r="239" spans="1:45" x14ac:dyDescent="0.2">
      <c r="F239" s="85"/>
      <c r="I239" s="85"/>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row>
    <row r="240" spans="1:45" x14ac:dyDescent="0.2">
      <c r="I240" s="85"/>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row>
    <row r="241" spans="1:45" x14ac:dyDescent="0.2">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row>
    <row r="242" spans="1:45" x14ac:dyDescent="0.2">
      <c r="A242" s="92"/>
      <c r="B242" s="92"/>
      <c r="D242" s="12"/>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row>
    <row r="243" spans="1:45" x14ac:dyDescent="0.2">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row>
    <row r="252" spans="1:45" x14ac:dyDescent="0.2">
      <c r="A252" s="95"/>
    </row>
    <row r="253" spans="1:45" x14ac:dyDescent="0.2">
      <c r="A253" s="87"/>
      <c r="B253" s="89"/>
      <c r="C253" s="89"/>
      <c r="D253" s="4"/>
      <c r="E253" s="89"/>
      <c r="F253" s="89"/>
      <c r="G253" s="86"/>
      <c r="H253" s="80"/>
      <c r="I253" s="86"/>
      <c r="J253" s="66"/>
      <c r="M253" s="6"/>
      <c r="N253" s="6"/>
      <c r="O253" s="6"/>
    </row>
    <row r="254" spans="1:45" x14ac:dyDescent="0.2">
      <c r="A254" s="87"/>
      <c r="B254" s="87"/>
      <c r="C254" s="87"/>
      <c r="D254" s="5"/>
      <c r="E254" s="87"/>
      <c r="F254" s="87"/>
      <c r="G254" s="87"/>
      <c r="H254" s="81"/>
      <c r="I254" s="87"/>
      <c r="J254" s="67"/>
      <c r="M254" s="6"/>
      <c r="N254" s="6"/>
      <c r="O254" s="6"/>
    </row>
    <row r="255" spans="1:45" x14ac:dyDescent="0.2">
      <c r="A255" s="88"/>
      <c r="B255" s="88"/>
      <c r="C255" s="89"/>
      <c r="D255" s="3"/>
      <c r="E255" s="88"/>
      <c r="F255" s="88"/>
      <c r="G255" s="88"/>
      <c r="H255" s="82"/>
      <c r="I255" s="88"/>
      <c r="J255" s="68"/>
      <c r="K255" s="72"/>
      <c r="L255" s="1"/>
      <c r="M255" s="2"/>
      <c r="N255" s="6"/>
      <c r="O255" s="6"/>
    </row>
    <row r="256" spans="1:45" x14ac:dyDescent="0.2">
      <c r="A256" s="88"/>
      <c r="B256" s="88"/>
      <c r="C256" s="89"/>
      <c r="D256" s="3"/>
      <c r="E256" s="88"/>
      <c r="F256" s="88"/>
      <c r="G256" s="88"/>
      <c r="H256" s="82"/>
      <c r="I256" s="88"/>
      <c r="J256" s="68"/>
      <c r="K256" s="72"/>
      <c r="L256" s="1"/>
      <c r="M256" s="2"/>
      <c r="N256" s="6"/>
      <c r="O256" s="6"/>
    </row>
    <row r="257" spans="1:15" x14ac:dyDescent="0.2">
      <c r="A257" s="88"/>
      <c r="B257" s="88"/>
      <c r="C257" s="89"/>
      <c r="D257" s="3"/>
      <c r="E257" s="88"/>
      <c r="F257" s="88"/>
      <c r="G257" s="88"/>
      <c r="H257" s="82"/>
      <c r="I257" s="88"/>
      <c r="J257" s="68"/>
      <c r="K257" s="72"/>
      <c r="L257" s="1"/>
      <c r="M257" s="2"/>
      <c r="N257" s="6"/>
      <c r="O257" s="6"/>
    </row>
    <row r="258" spans="1:15" x14ac:dyDescent="0.2">
      <c r="A258" s="88"/>
      <c r="B258" s="88"/>
      <c r="C258" s="89"/>
      <c r="D258" s="3"/>
      <c r="E258" s="88"/>
      <c r="F258" s="88"/>
      <c r="G258" s="88"/>
      <c r="H258" s="82"/>
      <c r="I258" s="88"/>
      <c r="J258" s="68"/>
      <c r="K258" s="72"/>
      <c r="L258" s="1"/>
      <c r="M258" s="2"/>
      <c r="N258" s="6"/>
      <c r="O258" s="6"/>
    </row>
    <row r="259" spans="1:15" x14ac:dyDescent="0.2">
      <c r="A259" s="88"/>
      <c r="B259" s="88"/>
      <c r="C259" s="89"/>
      <c r="D259" s="3"/>
      <c r="E259" s="88"/>
      <c r="F259" s="88"/>
      <c r="G259" s="88"/>
      <c r="H259" s="82"/>
      <c r="I259" s="88"/>
      <c r="J259" s="68"/>
      <c r="K259" s="72"/>
      <c r="L259" s="1"/>
      <c r="M259" s="2"/>
      <c r="N259" s="6"/>
      <c r="O259" s="6"/>
    </row>
    <row r="260" spans="1:15" x14ac:dyDescent="0.2">
      <c r="A260" s="88"/>
      <c r="B260" s="88"/>
      <c r="C260" s="89"/>
      <c r="D260" s="3"/>
      <c r="E260" s="88"/>
      <c r="F260" s="88"/>
      <c r="G260" s="88"/>
      <c r="H260" s="82"/>
      <c r="I260" s="88"/>
      <c r="J260" s="68"/>
      <c r="K260" s="72"/>
      <c r="L260" s="1"/>
      <c r="M260" s="2"/>
      <c r="N260" s="6"/>
      <c r="O260" s="6"/>
    </row>
    <row r="261" spans="1:15" x14ac:dyDescent="0.2">
      <c r="A261" s="89"/>
      <c r="B261" s="89"/>
      <c r="C261" s="89"/>
      <c r="D261" s="4"/>
      <c r="E261" s="89"/>
      <c r="F261" s="89"/>
      <c r="G261" s="89"/>
      <c r="H261" s="83"/>
      <c r="I261" s="89"/>
      <c r="J261" s="69"/>
      <c r="M261" s="6"/>
      <c r="N261" s="6"/>
      <c r="O261" s="6"/>
    </row>
    <row r="262" spans="1:15" x14ac:dyDescent="0.2">
      <c r="A262" s="89"/>
      <c r="B262" s="89"/>
      <c r="C262" s="89"/>
      <c r="D262" s="4"/>
      <c r="E262" s="89"/>
      <c r="F262" s="89"/>
      <c r="G262" s="89"/>
      <c r="H262" s="83"/>
      <c r="I262" s="89"/>
      <c r="J262" s="69"/>
      <c r="M262" s="6"/>
      <c r="N262" s="6"/>
      <c r="O262" s="6"/>
    </row>
  </sheetData>
  <mergeCells count="33">
    <mergeCell ref="AI2:AI3"/>
    <mergeCell ref="J3:K3"/>
    <mergeCell ref="AC2:AC3"/>
    <mergeCell ref="AD2:AD3"/>
    <mergeCell ref="AE2:AE3"/>
    <mergeCell ref="AF2:AF3"/>
    <mergeCell ref="AG2:AG3"/>
    <mergeCell ref="AH2:AH3"/>
    <mergeCell ref="W2:W3"/>
    <mergeCell ref="X2:X3"/>
    <mergeCell ref="Y2:Y3"/>
    <mergeCell ref="Z2:Z3"/>
    <mergeCell ref="AA2:AA3"/>
    <mergeCell ref="AB2:AB3"/>
    <mergeCell ref="Q2:Q3"/>
    <mergeCell ref="R2:R3"/>
    <mergeCell ref="S2:S3"/>
    <mergeCell ref="T2:T3"/>
    <mergeCell ref="U2:U3"/>
    <mergeCell ref="V2:V3"/>
    <mergeCell ref="G2:G3"/>
    <mergeCell ref="H2:H3"/>
    <mergeCell ref="I2:I3"/>
    <mergeCell ref="N2:N3"/>
    <mergeCell ref="O2:O3"/>
    <mergeCell ref="P2:P3"/>
    <mergeCell ref="F2:F3"/>
    <mergeCell ref="A1:D1"/>
    <mergeCell ref="A2:A3"/>
    <mergeCell ref="B2:B3"/>
    <mergeCell ref="C2:C3"/>
    <mergeCell ref="D2:D3"/>
    <mergeCell ref="E2:E3"/>
  </mergeCells>
  <pageMargins left="0.75" right="0.75" top="1" bottom="1" header="0.5" footer="0.5"/>
  <pageSetup scale="24" orientation="portrait" horizontalDpi="4294967292" verticalDpi="4294967292"/>
  <rowBreaks count="1" manualBreakCount="1">
    <brk id="47" max="16383" man="1"/>
  </rowBreaks>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workbookViewId="0">
      <selection sqref="A1:XFD1048576"/>
    </sheetView>
  </sheetViews>
  <sheetFormatPr defaultColWidth="8.875" defaultRowHeight="15" x14ac:dyDescent="0.2"/>
  <cols>
    <col min="1" max="1" width="7.5" style="37" bestFit="1" customWidth="1"/>
    <col min="2" max="2" width="51.625" style="37" bestFit="1" customWidth="1"/>
    <col min="3" max="4" width="12" style="43" bestFit="1" customWidth="1"/>
    <col min="5" max="5" width="14.625" style="39" customWidth="1"/>
    <col min="6" max="6" width="25.625" style="37" customWidth="1"/>
    <col min="7" max="16384" width="8.875" style="37"/>
  </cols>
  <sheetData>
    <row r="1" spans="1:6" ht="15.75" x14ac:dyDescent="0.2">
      <c r="A1" s="135" t="s">
        <v>1527</v>
      </c>
      <c r="B1" s="135"/>
      <c r="C1" s="135"/>
      <c r="D1" s="135"/>
    </row>
    <row r="2" spans="1:6" x14ac:dyDescent="0.2">
      <c r="A2" s="40" t="s">
        <v>1421</v>
      </c>
      <c r="B2" s="41" t="s">
        <v>1422</v>
      </c>
      <c r="C2" s="40" t="s">
        <v>1</v>
      </c>
      <c r="D2" s="40" t="s">
        <v>2</v>
      </c>
      <c r="E2" s="42" t="s">
        <v>1423</v>
      </c>
      <c r="F2" s="41" t="s">
        <v>1424</v>
      </c>
    </row>
    <row r="3" spans="1:6" x14ac:dyDescent="0.2">
      <c r="A3" s="43">
        <v>1</v>
      </c>
      <c r="B3" s="37" t="s">
        <v>1425</v>
      </c>
      <c r="C3" s="53">
        <v>48.18</v>
      </c>
      <c r="D3" s="53">
        <v>99.88</v>
      </c>
      <c r="E3" s="39">
        <v>5.0000000000000001E-3</v>
      </c>
      <c r="F3" s="37" t="s">
        <v>1426</v>
      </c>
    </row>
    <row r="4" spans="1:6" x14ac:dyDescent="0.2">
      <c r="A4" s="43">
        <f>1+A3</f>
        <v>2</v>
      </c>
      <c r="B4" s="37" t="s">
        <v>1427</v>
      </c>
      <c r="C4" s="53">
        <v>48.23</v>
      </c>
      <c r="D4" s="53">
        <v>100.43</v>
      </c>
      <c r="E4" s="39" t="s">
        <v>1428</v>
      </c>
      <c r="F4" s="37" t="s">
        <v>1429</v>
      </c>
    </row>
    <row r="5" spans="1:6" x14ac:dyDescent="0.2">
      <c r="A5" s="43">
        <f t="shared" ref="A5:A68" si="0">1+A4</f>
        <v>3</v>
      </c>
      <c r="B5" s="37" t="s">
        <v>1430</v>
      </c>
      <c r="C5" s="54">
        <v>46.79</v>
      </c>
      <c r="D5" s="54">
        <v>101.96</v>
      </c>
      <c r="E5" s="39" t="s">
        <v>1431</v>
      </c>
      <c r="F5" s="37" t="s">
        <v>1426</v>
      </c>
    </row>
    <row r="6" spans="1:6" x14ac:dyDescent="0.2">
      <c r="A6" s="43">
        <f t="shared" si="0"/>
        <v>4</v>
      </c>
      <c r="B6" s="37" t="s">
        <v>1427</v>
      </c>
      <c r="C6" s="53">
        <v>48.23</v>
      </c>
      <c r="D6" s="53">
        <v>100.43</v>
      </c>
      <c r="E6" s="39" t="s">
        <v>1432</v>
      </c>
      <c r="F6" s="37" t="s">
        <v>1426</v>
      </c>
    </row>
    <row r="7" spans="1:6" x14ac:dyDescent="0.2">
      <c r="A7" s="43">
        <f t="shared" si="0"/>
        <v>5</v>
      </c>
      <c r="B7" s="37" t="s">
        <v>1427</v>
      </c>
      <c r="C7" s="53">
        <v>48.23</v>
      </c>
      <c r="D7" s="53">
        <v>100.43</v>
      </c>
      <c r="E7" s="39" t="s">
        <v>1433</v>
      </c>
      <c r="F7" s="37" t="s">
        <v>1429</v>
      </c>
    </row>
    <row r="8" spans="1:6" x14ac:dyDescent="0.2">
      <c r="A8" s="43">
        <f t="shared" si="0"/>
        <v>6</v>
      </c>
      <c r="B8" s="37" t="s">
        <v>1434</v>
      </c>
      <c r="C8" s="54">
        <v>48.3</v>
      </c>
      <c r="D8" s="54">
        <v>100.47</v>
      </c>
      <c r="E8" s="39" t="s">
        <v>1435</v>
      </c>
      <c r="F8" s="37" t="s">
        <v>1426</v>
      </c>
    </row>
    <row r="9" spans="1:6" x14ac:dyDescent="0.2">
      <c r="A9" s="43">
        <f t="shared" si="0"/>
        <v>7</v>
      </c>
      <c r="B9" s="37" t="s">
        <v>1436</v>
      </c>
      <c r="C9" s="54">
        <v>47.28</v>
      </c>
      <c r="D9" s="54">
        <v>100.03</v>
      </c>
      <c r="E9" s="39" t="s">
        <v>1437</v>
      </c>
      <c r="F9" s="37" t="s">
        <v>1426</v>
      </c>
    </row>
    <row r="10" spans="1:6" x14ac:dyDescent="0.2">
      <c r="A10" s="43">
        <f t="shared" si="0"/>
        <v>8</v>
      </c>
      <c r="B10" s="37" t="s">
        <v>1438</v>
      </c>
      <c r="C10" s="54">
        <v>47.43</v>
      </c>
      <c r="D10" s="54">
        <v>101.51</v>
      </c>
      <c r="E10" s="39" t="s">
        <v>1439</v>
      </c>
      <c r="F10" s="37" t="s">
        <v>1426</v>
      </c>
    </row>
    <row r="11" spans="1:6" x14ac:dyDescent="0.2">
      <c r="A11" s="43">
        <f t="shared" si="0"/>
        <v>9</v>
      </c>
      <c r="B11" s="37" t="s">
        <v>1440</v>
      </c>
      <c r="C11" s="54">
        <v>46.21</v>
      </c>
      <c r="D11" s="54">
        <v>100.64</v>
      </c>
      <c r="E11" s="39" t="s">
        <v>1441</v>
      </c>
      <c r="F11" s="37" t="s">
        <v>1426</v>
      </c>
    </row>
    <row r="12" spans="1:6" x14ac:dyDescent="0.2">
      <c r="A12" s="43">
        <f t="shared" si="0"/>
        <v>10</v>
      </c>
      <c r="B12" s="37" t="s">
        <v>1442</v>
      </c>
      <c r="C12" s="54">
        <v>44.85</v>
      </c>
      <c r="D12" s="54">
        <v>100.69</v>
      </c>
      <c r="E12" s="39" t="s">
        <v>1443</v>
      </c>
      <c r="F12" s="37" t="s">
        <v>1426</v>
      </c>
    </row>
    <row r="13" spans="1:6" ht="18" x14ac:dyDescent="0.2">
      <c r="A13" s="43">
        <f t="shared" si="0"/>
        <v>11</v>
      </c>
      <c r="B13" s="37" t="s">
        <v>1444</v>
      </c>
      <c r="C13" s="54">
        <v>47.18</v>
      </c>
      <c r="D13" s="54">
        <v>99.89</v>
      </c>
      <c r="E13" s="39" t="s">
        <v>1520</v>
      </c>
      <c r="F13" s="37" t="s">
        <v>1529</v>
      </c>
    </row>
    <row r="14" spans="1:6" x14ac:dyDescent="0.2">
      <c r="A14" s="43">
        <f t="shared" si="0"/>
        <v>12</v>
      </c>
      <c r="B14" s="37" t="s">
        <v>1445</v>
      </c>
      <c r="C14" s="54">
        <v>44.68</v>
      </c>
      <c r="D14" s="54">
        <v>102.22</v>
      </c>
      <c r="E14" s="39" t="s">
        <v>1446</v>
      </c>
      <c r="F14" s="37" t="s">
        <v>1429</v>
      </c>
    </row>
    <row r="15" spans="1:6" x14ac:dyDescent="0.2">
      <c r="A15" s="43">
        <f t="shared" si="0"/>
        <v>13</v>
      </c>
      <c r="B15" s="37" t="s">
        <v>1447</v>
      </c>
      <c r="C15" s="54">
        <v>43.5</v>
      </c>
      <c r="D15" s="54">
        <v>102.17</v>
      </c>
      <c r="E15" s="39" t="s">
        <v>1448</v>
      </c>
      <c r="F15" s="37" t="s">
        <v>1429</v>
      </c>
    </row>
    <row r="16" spans="1:6" x14ac:dyDescent="0.2">
      <c r="A16" s="43">
        <f t="shared" si="0"/>
        <v>14</v>
      </c>
      <c r="B16" s="37" t="s">
        <v>1447</v>
      </c>
      <c r="C16" s="54">
        <v>43.49</v>
      </c>
      <c r="D16" s="54">
        <v>102.16</v>
      </c>
      <c r="E16" s="39" t="s">
        <v>1449</v>
      </c>
      <c r="F16" s="37" t="s">
        <v>1429</v>
      </c>
    </row>
    <row r="17" spans="1:6" x14ac:dyDescent="0.2">
      <c r="A17" s="43">
        <f t="shared" si="0"/>
        <v>15</v>
      </c>
      <c r="B17" s="37" t="s">
        <v>1450</v>
      </c>
      <c r="C17" s="54">
        <v>46.930216666666702</v>
      </c>
      <c r="D17" s="54">
        <v>102.49871666666667</v>
      </c>
      <c r="E17" s="37" t="s">
        <v>1451</v>
      </c>
      <c r="F17" s="37" t="s">
        <v>1452</v>
      </c>
    </row>
    <row r="18" spans="1:6" x14ac:dyDescent="0.2">
      <c r="A18" s="43">
        <f t="shared" si="0"/>
        <v>16</v>
      </c>
      <c r="B18" s="37" t="s">
        <v>1450</v>
      </c>
      <c r="C18" s="54">
        <f>46+(30.419/60)</f>
        <v>46.506983333333331</v>
      </c>
      <c r="D18" s="54">
        <f>102+(8.063/60)</f>
        <v>102.13438333333333</v>
      </c>
      <c r="E18" s="37" t="s">
        <v>1453</v>
      </c>
      <c r="F18" s="37" t="s">
        <v>1452</v>
      </c>
    </row>
    <row r="19" spans="1:6" x14ac:dyDescent="0.2">
      <c r="A19" s="43">
        <f t="shared" si="0"/>
        <v>17</v>
      </c>
      <c r="B19" s="37" t="s">
        <v>1450</v>
      </c>
      <c r="C19" s="54">
        <f>46+(25.341/60)</f>
        <v>46.422350000000002</v>
      </c>
      <c r="D19" s="54">
        <f>100+(49.112/60)</f>
        <v>100.81853333333333</v>
      </c>
      <c r="E19" s="37" t="s">
        <v>1454</v>
      </c>
      <c r="F19" s="37" t="s">
        <v>1452</v>
      </c>
    </row>
    <row r="20" spans="1:6" x14ac:dyDescent="0.2">
      <c r="A20" s="43">
        <f t="shared" si="0"/>
        <v>18</v>
      </c>
      <c r="B20" s="37" t="s">
        <v>1455</v>
      </c>
      <c r="C20" s="54">
        <f>48+(12.005/60)</f>
        <v>48.200083333333332</v>
      </c>
      <c r="D20" s="54">
        <f>100+(25.45/60)</f>
        <v>100.42416666666666</v>
      </c>
      <c r="E20" s="37" t="s">
        <v>1456</v>
      </c>
      <c r="F20" s="37" t="s">
        <v>1452</v>
      </c>
    </row>
    <row r="21" spans="1:6" x14ac:dyDescent="0.2">
      <c r="A21" s="43">
        <f t="shared" si="0"/>
        <v>19</v>
      </c>
      <c r="B21" s="37" t="s">
        <v>1455</v>
      </c>
      <c r="C21" s="54">
        <f>48+(18.893/60)</f>
        <v>48.314883333333334</v>
      </c>
      <c r="D21" s="54">
        <f>100+(27.675/60)</f>
        <v>100.46125000000001</v>
      </c>
      <c r="E21" s="37" t="s">
        <v>1457</v>
      </c>
      <c r="F21" s="37" t="s">
        <v>1452</v>
      </c>
    </row>
    <row r="22" spans="1:6" x14ac:dyDescent="0.2">
      <c r="A22" s="43">
        <f t="shared" si="0"/>
        <v>20</v>
      </c>
      <c r="B22" s="37" t="s">
        <v>1455</v>
      </c>
      <c r="C22" s="54">
        <f>48+(7.107/60)</f>
        <v>48.118450000000003</v>
      </c>
      <c r="D22" s="54">
        <f>99+(56.421/60)</f>
        <v>99.940349999999995</v>
      </c>
      <c r="E22" s="37" t="s">
        <v>1458</v>
      </c>
      <c r="F22" s="37" t="s">
        <v>1452</v>
      </c>
    </row>
    <row r="23" spans="1:6" x14ac:dyDescent="0.2">
      <c r="A23" s="43">
        <f t="shared" si="0"/>
        <v>21</v>
      </c>
      <c r="B23" s="37" t="s">
        <v>1455</v>
      </c>
      <c r="C23" s="54">
        <f>48+(6.628/60)</f>
        <v>48.110466666666667</v>
      </c>
      <c r="D23" s="54">
        <f>99+(57.018/60)</f>
        <v>99.950299999999999</v>
      </c>
      <c r="E23" s="37" t="s">
        <v>1459</v>
      </c>
      <c r="F23" s="37" t="s">
        <v>1452</v>
      </c>
    </row>
    <row r="24" spans="1:6" x14ac:dyDescent="0.2">
      <c r="A24" s="43">
        <f t="shared" si="0"/>
        <v>22</v>
      </c>
      <c r="B24" s="37" t="s">
        <v>1455</v>
      </c>
      <c r="C24" s="54">
        <f>48+(8.427/60)</f>
        <v>48.140450000000001</v>
      </c>
      <c r="D24" s="54">
        <f>100+(7.96/60)</f>
        <v>100.13266666666667</v>
      </c>
      <c r="E24" s="37" t="s">
        <v>1460</v>
      </c>
      <c r="F24" s="37" t="s">
        <v>1452</v>
      </c>
    </row>
    <row r="25" spans="1:6" x14ac:dyDescent="0.2">
      <c r="A25" s="43">
        <f t="shared" si="0"/>
        <v>23</v>
      </c>
      <c r="B25" s="37" t="s">
        <v>1455</v>
      </c>
      <c r="C25" s="54">
        <f>48+(2.833/60)</f>
        <v>48.047216666666664</v>
      </c>
      <c r="D25" s="54">
        <f>100+(3.485/60)</f>
        <v>100.05808333333333</v>
      </c>
      <c r="E25" s="37" t="s">
        <v>1461</v>
      </c>
      <c r="F25" s="37" t="s">
        <v>1452</v>
      </c>
    </row>
    <row r="26" spans="1:6" x14ac:dyDescent="0.2">
      <c r="A26" s="43">
        <f t="shared" si="0"/>
        <v>24</v>
      </c>
      <c r="B26" s="37" t="s">
        <v>1455</v>
      </c>
      <c r="C26" s="54">
        <f>48+(8.366/60)</f>
        <v>48.139433333333336</v>
      </c>
      <c r="D26" s="54">
        <f>100+(16.484/60)</f>
        <v>100.27473333333333</v>
      </c>
      <c r="E26" s="37" t="s">
        <v>1462</v>
      </c>
      <c r="F26" s="37" t="s">
        <v>1452</v>
      </c>
    </row>
    <row r="27" spans="1:6" x14ac:dyDescent="0.2">
      <c r="A27" s="43">
        <f t="shared" si="0"/>
        <v>25</v>
      </c>
      <c r="B27" s="37" t="s">
        <v>1455</v>
      </c>
      <c r="C27" s="54">
        <f>48+(2.312/60)</f>
        <v>48.038533333333334</v>
      </c>
      <c r="D27" s="54">
        <f>99+(59.43/60)</f>
        <v>99.990499999999997</v>
      </c>
      <c r="E27" s="37" t="s">
        <v>1463</v>
      </c>
      <c r="F27" s="37" t="s">
        <v>1452</v>
      </c>
    </row>
    <row r="28" spans="1:6" x14ac:dyDescent="0.2">
      <c r="A28" s="43">
        <f t="shared" si="0"/>
        <v>26</v>
      </c>
      <c r="B28" s="37" t="s">
        <v>1455</v>
      </c>
      <c r="C28" s="54">
        <f>48+(6.802/60)</f>
        <v>48.113366666666664</v>
      </c>
      <c r="D28" s="54">
        <f>100+(1.696/60)</f>
        <v>100.02826666666667</v>
      </c>
      <c r="E28" s="37" t="s">
        <v>1464</v>
      </c>
      <c r="F28" s="37" t="s">
        <v>1452</v>
      </c>
    </row>
    <row r="29" spans="1:6" x14ac:dyDescent="0.2">
      <c r="A29" s="43">
        <f t="shared" si="0"/>
        <v>27</v>
      </c>
      <c r="B29" s="37" t="s">
        <v>1455</v>
      </c>
      <c r="C29" s="54">
        <f>48+(7.111/60)</f>
        <v>48.118516666666665</v>
      </c>
      <c r="D29" s="54">
        <f>100+(1.519/60)</f>
        <v>100.02531666666667</v>
      </c>
      <c r="E29" s="37" t="s">
        <v>1465</v>
      </c>
      <c r="F29" s="37" t="s">
        <v>1452</v>
      </c>
    </row>
    <row r="30" spans="1:6" x14ac:dyDescent="0.2">
      <c r="A30" s="43">
        <f t="shared" si="0"/>
        <v>28</v>
      </c>
      <c r="B30" s="37" t="s">
        <v>1455</v>
      </c>
      <c r="C30" s="54">
        <f>48+(6.395/60)</f>
        <v>48.106583333333333</v>
      </c>
      <c r="D30" s="54">
        <f>100+(3.978/60)</f>
        <v>100.0663</v>
      </c>
      <c r="E30" s="37" t="s">
        <v>1466</v>
      </c>
      <c r="F30" s="37" t="s">
        <v>1452</v>
      </c>
    </row>
    <row r="31" spans="1:6" x14ac:dyDescent="0.2">
      <c r="A31" s="43">
        <f t="shared" si="0"/>
        <v>29</v>
      </c>
      <c r="B31" s="37" t="s">
        <v>1455</v>
      </c>
      <c r="C31" s="54">
        <f>48+(24.174/60)</f>
        <v>48.402900000000002</v>
      </c>
      <c r="D31" s="54">
        <f>100+(31.153/60)</f>
        <v>100.51921666666667</v>
      </c>
      <c r="E31" s="37" t="s">
        <v>1467</v>
      </c>
      <c r="F31" s="37" t="s">
        <v>1452</v>
      </c>
    </row>
    <row r="32" spans="1:6" x14ac:dyDescent="0.2">
      <c r="A32" s="43">
        <f t="shared" si="0"/>
        <v>30</v>
      </c>
      <c r="B32" s="37" t="s">
        <v>1468</v>
      </c>
      <c r="C32" s="54">
        <f>48+(10.453/60)</f>
        <v>48.174216666666666</v>
      </c>
      <c r="D32" s="54">
        <f>100+(23.058/60)</f>
        <v>100.3843</v>
      </c>
      <c r="E32" s="37" t="s">
        <v>1469</v>
      </c>
      <c r="F32" s="37" t="s">
        <v>1452</v>
      </c>
    </row>
    <row r="33" spans="1:6" x14ac:dyDescent="0.2">
      <c r="A33" s="43">
        <f t="shared" si="0"/>
        <v>31</v>
      </c>
      <c r="B33" s="37" t="s">
        <v>1468</v>
      </c>
      <c r="C33" s="54">
        <f>48+(19.392/60)</f>
        <v>48.3232</v>
      </c>
      <c r="D33" s="54">
        <f>100+(27.89/60)</f>
        <v>100.46483333333333</v>
      </c>
      <c r="E33" s="37" t="s">
        <v>1470</v>
      </c>
      <c r="F33" s="37" t="s">
        <v>1452</v>
      </c>
    </row>
    <row r="34" spans="1:6" x14ac:dyDescent="0.2">
      <c r="A34" s="43">
        <f t="shared" si="0"/>
        <v>32</v>
      </c>
      <c r="B34" s="37" t="s">
        <v>1468</v>
      </c>
      <c r="C34" s="54">
        <f>48+(24.42/60)</f>
        <v>48.406999999999996</v>
      </c>
      <c r="D34" s="54">
        <f>100+(31.678/60)</f>
        <v>100.52796666666667</v>
      </c>
      <c r="E34" s="37" t="s">
        <v>1471</v>
      </c>
      <c r="F34" s="37" t="s">
        <v>1452</v>
      </c>
    </row>
    <row r="35" spans="1:6" x14ac:dyDescent="0.2">
      <c r="A35" s="43">
        <f t="shared" si="0"/>
        <v>33</v>
      </c>
      <c r="B35" s="37" t="s">
        <v>1468</v>
      </c>
      <c r="C35" s="54">
        <f>48+(19.334/60)</f>
        <v>48.322233333333337</v>
      </c>
      <c r="D35" s="54">
        <f>100+(28.06/60)</f>
        <v>100.46766666666667</v>
      </c>
      <c r="E35" s="37" t="s">
        <v>1472</v>
      </c>
      <c r="F35" s="37" t="s">
        <v>1452</v>
      </c>
    </row>
    <row r="36" spans="1:6" x14ac:dyDescent="0.2">
      <c r="A36" s="43">
        <f t="shared" si="0"/>
        <v>34</v>
      </c>
      <c r="B36" s="37" t="s">
        <v>1468</v>
      </c>
      <c r="C36" s="54">
        <f>48+(19.916/60)</f>
        <v>48.331933333333332</v>
      </c>
      <c r="D36" s="54">
        <f>100+(31.28/60)</f>
        <v>100.52133333333333</v>
      </c>
      <c r="E36" s="37" t="s">
        <v>1473</v>
      </c>
      <c r="F36" s="37" t="s">
        <v>1452</v>
      </c>
    </row>
    <row r="37" spans="1:6" x14ac:dyDescent="0.2">
      <c r="A37" s="43">
        <f t="shared" si="0"/>
        <v>35</v>
      </c>
      <c r="B37" s="37" t="s">
        <v>1474</v>
      </c>
      <c r="C37" s="54">
        <f>47+(8.072/60)</f>
        <v>47.13453333333333</v>
      </c>
      <c r="D37" s="54">
        <f>99+(41.976/60)</f>
        <v>99.699600000000004</v>
      </c>
      <c r="E37" s="37" t="s">
        <v>1475</v>
      </c>
      <c r="F37" s="37" t="s">
        <v>1452</v>
      </c>
    </row>
    <row r="38" spans="1:6" x14ac:dyDescent="0.2">
      <c r="A38" s="43">
        <f t="shared" si="0"/>
        <v>36</v>
      </c>
      <c r="B38" s="37" t="s">
        <v>1474</v>
      </c>
      <c r="C38" s="54">
        <f>47+(8.325/60)</f>
        <v>47.138750000000002</v>
      </c>
      <c r="D38" s="54">
        <f>99+(44.542/60)</f>
        <v>99.742366666666669</v>
      </c>
      <c r="E38" s="37" t="s">
        <v>1476</v>
      </c>
      <c r="F38" s="37" t="s">
        <v>1452</v>
      </c>
    </row>
    <row r="39" spans="1:6" x14ac:dyDescent="0.2">
      <c r="A39" s="43">
        <f t="shared" si="0"/>
        <v>37</v>
      </c>
      <c r="B39" s="37" t="s">
        <v>1474</v>
      </c>
      <c r="C39" s="54">
        <f>47+(6.481/60)</f>
        <v>47.108016666666664</v>
      </c>
      <c r="D39" s="54">
        <f>99+(41.081/60)</f>
        <v>99.684683333333339</v>
      </c>
      <c r="E39" s="37" t="s">
        <v>1477</v>
      </c>
      <c r="F39" s="37" t="s">
        <v>1452</v>
      </c>
    </row>
    <row r="40" spans="1:6" x14ac:dyDescent="0.2">
      <c r="A40" s="43">
        <f t="shared" si="0"/>
        <v>38</v>
      </c>
      <c r="B40" s="37" t="s">
        <v>1474</v>
      </c>
      <c r="C40" s="54">
        <f>47+(4.179/60)</f>
        <v>47.069650000000003</v>
      </c>
      <c r="D40" s="54">
        <f>99+(42.64/60)</f>
        <v>99.710666666666668</v>
      </c>
      <c r="E40" s="37" t="s">
        <v>1478</v>
      </c>
      <c r="F40" s="37" t="s">
        <v>1452</v>
      </c>
    </row>
    <row r="41" spans="1:6" x14ac:dyDescent="0.2">
      <c r="A41" s="43">
        <f t="shared" si="0"/>
        <v>39</v>
      </c>
      <c r="B41" s="37" t="s">
        <v>1474</v>
      </c>
      <c r="C41" s="54">
        <f>47+(3.651/60)</f>
        <v>47.060850000000002</v>
      </c>
      <c r="D41" s="54">
        <f>99+(42.793/60)</f>
        <v>99.713216666666668</v>
      </c>
      <c r="E41" s="37" t="s">
        <v>1479</v>
      </c>
      <c r="F41" s="37" t="s">
        <v>1452</v>
      </c>
    </row>
    <row r="42" spans="1:6" x14ac:dyDescent="0.2">
      <c r="A42" s="43">
        <f t="shared" si="0"/>
        <v>40</v>
      </c>
      <c r="B42" s="37" t="s">
        <v>1474</v>
      </c>
      <c r="C42" s="44">
        <f>47+(17.127/60)</f>
        <v>47.285449999999997</v>
      </c>
      <c r="D42" s="44">
        <f>99+(59.016/60)</f>
        <v>99.983599999999996</v>
      </c>
      <c r="E42" s="44" t="s">
        <v>1480</v>
      </c>
      <c r="F42" s="37" t="s">
        <v>1452</v>
      </c>
    </row>
    <row r="43" spans="1:6" x14ac:dyDescent="0.2">
      <c r="A43" s="43">
        <f t="shared" si="0"/>
        <v>41</v>
      </c>
      <c r="B43" s="37" t="s">
        <v>1474</v>
      </c>
      <c r="C43" s="54">
        <f>47+(12.418/60)</f>
        <v>47.206966666666666</v>
      </c>
      <c r="D43" s="54">
        <f>(99+(52.921/60))</f>
        <v>99.882016666666672</v>
      </c>
      <c r="E43" s="37" t="s">
        <v>1481</v>
      </c>
      <c r="F43" s="37" t="s">
        <v>1452</v>
      </c>
    </row>
    <row r="44" spans="1:6" x14ac:dyDescent="0.2">
      <c r="A44" s="43">
        <f t="shared" si="0"/>
        <v>42</v>
      </c>
      <c r="B44" s="37" t="s">
        <v>1474</v>
      </c>
      <c r="C44" s="54">
        <f>47+(18.517/60)</f>
        <v>47.308616666666666</v>
      </c>
      <c r="D44" s="54">
        <f>100+(13.068/60)</f>
        <v>100.2178</v>
      </c>
      <c r="E44" s="37" t="s">
        <v>1482</v>
      </c>
      <c r="F44" s="37" t="s">
        <v>1452</v>
      </c>
    </row>
    <row r="45" spans="1:6" x14ac:dyDescent="0.2">
      <c r="A45" s="43">
        <f t="shared" si="0"/>
        <v>43</v>
      </c>
      <c r="B45" s="37" t="s">
        <v>1474</v>
      </c>
      <c r="C45" s="54">
        <f>47+(21.1/60)</f>
        <v>47.351666666666667</v>
      </c>
      <c r="D45" s="54">
        <f>100+(13.99/60)</f>
        <v>100.23316666666666</v>
      </c>
      <c r="E45" s="37" t="s">
        <v>1483</v>
      </c>
      <c r="F45" s="37" t="s">
        <v>1452</v>
      </c>
    </row>
    <row r="46" spans="1:6" x14ac:dyDescent="0.2">
      <c r="A46" s="43">
        <f t="shared" si="0"/>
        <v>44</v>
      </c>
      <c r="B46" s="37" t="s">
        <v>1474</v>
      </c>
      <c r="C46" s="54">
        <f>47+(19.523/60)</f>
        <v>47.325383333333335</v>
      </c>
      <c r="D46" s="54">
        <f>102+(40.319/60)</f>
        <v>102.67198333333333</v>
      </c>
      <c r="E46" s="37" t="s">
        <v>1484</v>
      </c>
      <c r="F46" s="37" t="s">
        <v>1452</v>
      </c>
    </row>
    <row r="47" spans="1:6" x14ac:dyDescent="0.2">
      <c r="A47" s="43">
        <f t="shared" si="0"/>
        <v>45</v>
      </c>
      <c r="B47" s="37" t="s">
        <v>1474</v>
      </c>
      <c r="C47" s="54">
        <f>47+(29.03/60)</f>
        <v>47.483833333333337</v>
      </c>
      <c r="D47" s="54">
        <f>100+(14.394/60)</f>
        <v>100.23990000000001</v>
      </c>
      <c r="E47" s="37" t="s">
        <v>1485</v>
      </c>
      <c r="F47" s="37" t="s">
        <v>1452</v>
      </c>
    </row>
    <row r="48" spans="1:6" x14ac:dyDescent="0.2">
      <c r="A48" s="43">
        <f t="shared" si="0"/>
        <v>46</v>
      </c>
      <c r="B48" s="37" t="s">
        <v>1474</v>
      </c>
      <c r="C48" s="54">
        <f>47+(11.464/60)</f>
        <v>47.191066666666664</v>
      </c>
      <c r="D48" s="54">
        <f>99+(38.861/60)</f>
        <v>99.647683333333333</v>
      </c>
      <c r="E48" s="37" t="s">
        <v>1486</v>
      </c>
      <c r="F48" s="37" t="s">
        <v>1452</v>
      </c>
    </row>
    <row r="49" spans="1:6" x14ac:dyDescent="0.2">
      <c r="A49" s="43">
        <f t="shared" si="0"/>
        <v>47</v>
      </c>
      <c r="B49" s="37" t="s">
        <v>1474</v>
      </c>
      <c r="C49" s="54">
        <f>47+(11.457/60)</f>
        <v>47.190950000000001</v>
      </c>
      <c r="D49" s="54">
        <f>99+(38.849/60)</f>
        <v>99.647483333333327</v>
      </c>
      <c r="E49" s="37" t="s">
        <v>1487</v>
      </c>
      <c r="F49" s="37" t="s">
        <v>1452</v>
      </c>
    </row>
    <row r="50" spans="1:6" x14ac:dyDescent="0.2">
      <c r="A50" s="43">
        <f t="shared" si="0"/>
        <v>48</v>
      </c>
      <c r="B50" s="37" t="s">
        <v>1474</v>
      </c>
      <c r="C50" s="54">
        <f>47+(26.242/60)</f>
        <v>47.437366666666669</v>
      </c>
      <c r="D50" s="54">
        <f>100+(12.596/60)</f>
        <v>100.20993333333334</v>
      </c>
      <c r="E50" s="37" t="s">
        <v>1488</v>
      </c>
      <c r="F50" s="37" t="s">
        <v>1452</v>
      </c>
    </row>
    <row r="51" spans="1:6" x14ac:dyDescent="0.2">
      <c r="A51" s="43">
        <f t="shared" si="0"/>
        <v>49</v>
      </c>
      <c r="B51" s="37" t="s">
        <v>1474</v>
      </c>
      <c r="C51" s="54">
        <f>47+(20.017/60)</f>
        <v>47.333616666666664</v>
      </c>
      <c r="D51" s="54">
        <f>100+(6.442/60)</f>
        <v>100.10736666666666</v>
      </c>
      <c r="E51" s="37" t="s">
        <v>1489</v>
      </c>
      <c r="F51" s="37" t="s">
        <v>1452</v>
      </c>
    </row>
    <row r="52" spans="1:6" x14ac:dyDescent="0.2">
      <c r="A52" s="43">
        <f t="shared" si="0"/>
        <v>50</v>
      </c>
      <c r="B52" s="37" t="s">
        <v>1474</v>
      </c>
      <c r="C52" s="54">
        <f>47+(18.122/60)</f>
        <v>47.302033333333334</v>
      </c>
      <c r="D52" s="54">
        <f>100+(13.139/60)</f>
        <v>100.21898333333333</v>
      </c>
      <c r="E52" s="37" t="s">
        <v>1490</v>
      </c>
      <c r="F52" s="37" t="s">
        <v>1452</v>
      </c>
    </row>
    <row r="53" spans="1:6" x14ac:dyDescent="0.2">
      <c r="A53" s="43">
        <f t="shared" si="0"/>
        <v>51</v>
      </c>
      <c r="B53" s="37" t="s">
        <v>1474</v>
      </c>
      <c r="C53" s="54">
        <f>47+(20.661/60)</f>
        <v>47.344349999999999</v>
      </c>
      <c r="D53" s="54">
        <f>100+(13.978/60)</f>
        <v>100.23296666666667</v>
      </c>
      <c r="E53" s="37" t="s">
        <v>1491</v>
      </c>
      <c r="F53" s="37" t="s">
        <v>1452</v>
      </c>
    </row>
    <row r="54" spans="1:6" x14ac:dyDescent="0.2">
      <c r="A54" s="43">
        <f t="shared" si="0"/>
        <v>52</v>
      </c>
      <c r="B54" s="37" t="s">
        <v>1474</v>
      </c>
      <c r="C54" s="54">
        <f>47+(27.541/60)</f>
        <v>47.459016666666663</v>
      </c>
      <c r="D54" s="54">
        <f>100+(51.757/60)</f>
        <v>100.86261666666667</v>
      </c>
      <c r="E54" s="37" t="s">
        <v>1492</v>
      </c>
      <c r="F54" s="37" t="s">
        <v>1452</v>
      </c>
    </row>
    <row r="55" spans="1:6" x14ac:dyDescent="0.2">
      <c r="A55" s="43">
        <f t="shared" si="0"/>
        <v>53</v>
      </c>
      <c r="B55" s="37" t="s">
        <v>1474</v>
      </c>
      <c r="C55" s="54">
        <f>47+(35.035/60)</f>
        <v>47.583916666666667</v>
      </c>
      <c r="D55" s="54">
        <f>101+(11.851/60)</f>
        <v>101.19751666666667</v>
      </c>
      <c r="E55" s="37" t="s">
        <v>1493</v>
      </c>
      <c r="F55" s="37" t="s">
        <v>1452</v>
      </c>
    </row>
    <row r="56" spans="1:6" x14ac:dyDescent="0.2">
      <c r="A56" s="43">
        <f t="shared" si="0"/>
        <v>54</v>
      </c>
      <c r="B56" s="37" t="s">
        <v>1474</v>
      </c>
      <c r="C56" s="54">
        <f>47+(7.317/60)</f>
        <v>47.121949999999998</v>
      </c>
      <c r="D56" s="54">
        <f>100+(56.537/60)</f>
        <v>100.94228333333334</v>
      </c>
      <c r="E56" s="37" t="s">
        <v>1494</v>
      </c>
      <c r="F56" s="37" t="s">
        <v>1452</v>
      </c>
    </row>
    <row r="57" spans="1:6" x14ac:dyDescent="0.2">
      <c r="A57" s="43">
        <f t="shared" si="0"/>
        <v>55</v>
      </c>
      <c r="B57" s="37" t="s">
        <v>1495</v>
      </c>
      <c r="C57" s="54">
        <v>44.502769000000001</v>
      </c>
      <c r="D57" s="54">
        <v>101.34103899999999</v>
      </c>
      <c r="E57" s="39">
        <v>39.4</v>
      </c>
      <c r="F57" s="37" t="s">
        <v>1528</v>
      </c>
    </row>
    <row r="58" spans="1:6" x14ac:dyDescent="0.2">
      <c r="A58" s="43">
        <f t="shared" si="0"/>
        <v>56</v>
      </c>
      <c r="B58" s="37" t="s">
        <v>1496</v>
      </c>
      <c r="C58" s="54">
        <v>45.4</v>
      </c>
      <c r="D58" s="54">
        <v>101.3</v>
      </c>
      <c r="E58" s="39">
        <v>31.5</v>
      </c>
      <c r="F58" s="37" t="s">
        <v>1528</v>
      </c>
    </row>
    <row r="59" spans="1:6" x14ac:dyDescent="0.2">
      <c r="A59" s="43">
        <f t="shared" si="0"/>
        <v>57</v>
      </c>
      <c r="B59" s="37" t="s">
        <v>1497</v>
      </c>
      <c r="C59" s="54">
        <v>45.5</v>
      </c>
      <c r="D59" s="54">
        <v>101.1</v>
      </c>
      <c r="E59" s="39">
        <v>28</v>
      </c>
      <c r="F59" s="37" t="s">
        <v>1528</v>
      </c>
    </row>
    <row r="60" spans="1:6" x14ac:dyDescent="0.2">
      <c r="A60" s="43">
        <f t="shared" si="0"/>
        <v>58</v>
      </c>
      <c r="B60" s="37" t="s">
        <v>1498</v>
      </c>
      <c r="C60" s="54">
        <v>52.1</v>
      </c>
      <c r="D60" s="54">
        <v>100.3</v>
      </c>
      <c r="E60" s="39">
        <v>19.899999999999999</v>
      </c>
      <c r="F60" s="37" t="s">
        <v>1528</v>
      </c>
    </row>
    <row r="61" spans="1:6" x14ac:dyDescent="0.2">
      <c r="A61" s="43">
        <f t="shared" si="0"/>
        <v>59</v>
      </c>
      <c r="B61" s="37" t="s">
        <v>1496</v>
      </c>
      <c r="C61" s="54">
        <v>45.5</v>
      </c>
      <c r="D61" s="54">
        <v>101</v>
      </c>
      <c r="E61" s="39">
        <v>12.7</v>
      </c>
      <c r="F61" s="37" t="s">
        <v>1528</v>
      </c>
    </row>
    <row r="62" spans="1:6" x14ac:dyDescent="0.2">
      <c r="A62" s="43">
        <f t="shared" si="0"/>
        <v>60</v>
      </c>
      <c r="B62" s="37" t="s">
        <v>1499</v>
      </c>
      <c r="C62" s="54">
        <v>47.199874000000001</v>
      </c>
      <c r="D62" s="54">
        <v>100.11878299999999</v>
      </c>
      <c r="E62" s="39" t="s">
        <v>1500</v>
      </c>
      <c r="F62" s="43" t="s">
        <v>1501</v>
      </c>
    </row>
    <row r="63" spans="1:6" x14ac:dyDescent="0.2">
      <c r="A63" s="43">
        <f t="shared" si="0"/>
        <v>61</v>
      </c>
      <c r="B63" s="37" t="s">
        <v>1499</v>
      </c>
      <c r="C63" s="54">
        <v>47.200082000000002</v>
      </c>
      <c r="D63" s="54">
        <v>100.11589600000001</v>
      </c>
      <c r="E63" s="39" t="s">
        <v>1502</v>
      </c>
      <c r="F63" s="43" t="s">
        <v>1501</v>
      </c>
    </row>
    <row r="64" spans="1:6" x14ac:dyDescent="0.2">
      <c r="A64" s="43">
        <f t="shared" si="0"/>
        <v>62</v>
      </c>
      <c r="B64" s="37" t="s">
        <v>1499</v>
      </c>
      <c r="C64" s="54">
        <v>47.200172000000002</v>
      </c>
      <c r="D64" s="54">
        <v>100.11496</v>
      </c>
      <c r="E64" s="39" t="s">
        <v>1503</v>
      </c>
      <c r="F64" s="43" t="s">
        <v>1501</v>
      </c>
    </row>
    <row r="65" spans="1:6" x14ac:dyDescent="0.2">
      <c r="A65" s="43">
        <f t="shared" si="0"/>
        <v>63</v>
      </c>
      <c r="B65" s="37" t="s">
        <v>1499</v>
      </c>
      <c r="C65" s="54">
        <v>47.200456000000003</v>
      </c>
      <c r="D65" s="54">
        <v>100.111679</v>
      </c>
      <c r="E65" s="39" t="s">
        <v>834</v>
      </c>
      <c r="F65" s="43" t="s">
        <v>1501</v>
      </c>
    </row>
    <row r="66" spans="1:6" x14ac:dyDescent="0.2">
      <c r="A66" s="43">
        <f t="shared" si="0"/>
        <v>64</v>
      </c>
      <c r="B66" s="37" t="s">
        <v>1499</v>
      </c>
      <c r="C66" s="54">
        <v>47.200353999999997</v>
      </c>
      <c r="D66" s="54">
        <v>100.106448</v>
      </c>
      <c r="E66" s="39" t="s">
        <v>1504</v>
      </c>
      <c r="F66" s="43" t="s">
        <v>1501</v>
      </c>
    </row>
    <row r="67" spans="1:6" x14ac:dyDescent="0.2">
      <c r="A67" s="43">
        <f t="shared" si="0"/>
        <v>65</v>
      </c>
      <c r="B67" s="37" t="s">
        <v>1499</v>
      </c>
      <c r="C67" s="54">
        <v>47.205209000000004</v>
      </c>
      <c r="D67" s="54">
        <v>100.103129</v>
      </c>
      <c r="E67" s="39" t="s">
        <v>1505</v>
      </c>
      <c r="F67" s="43" t="s">
        <v>1501</v>
      </c>
    </row>
    <row r="68" spans="1:6" x14ac:dyDescent="0.2">
      <c r="A68" s="43">
        <f t="shared" si="0"/>
        <v>66</v>
      </c>
      <c r="B68" s="37" t="s">
        <v>1427</v>
      </c>
      <c r="C68" s="54">
        <v>48.23</v>
      </c>
      <c r="D68" s="54">
        <v>100.43</v>
      </c>
      <c r="E68" s="39" t="s">
        <v>1428</v>
      </c>
      <c r="F68" s="43" t="s">
        <v>1429</v>
      </c>
    </row>
    <row r="69" spans="1:6" x14ac:dyDescent="0.2">
      <c r="A69" s="43">
        <f>1+A68</f>
        <v>67</v>
      </c>
      <c r="B69" s="37" t="s">
        <v>1427</v>
      </c>
      <c r="C69" s="54">
        <v>48.23</v>
      </c>
      <c r="D69" s="54">
        <v>100.43</v>
      </c>
      <c r="E69" s="39" t="s">
        <v>1432</v>
      </c>
      <c r="F69" s="43" t="s">
        <v>1429</v>
      </c>
    </row>
    <row r="70" spans="1:6" x14ac:dyDescent="0.2">
      <c r="A70" s="43">
        <f>1+A69</f>
        <v>68</v>
      </c>
      <c r="B70" s="37" t="s">
        <v>1427</v>
      </c>
      <c r="C70" s="54">
        <v>48.23</v>
      </c>
      <c r="D70" s="54">
        <v>100.43</v>
      </c>
      <c r="E70" s="39" t="s">
        <v>1433</v>
      </c>
      <c r="F70" s="43" t="s">
        <v>1429</v>
      </c>
    </row>
    <row r="71" spans="1:6" x14ac:dyDescent="0.2">
      <c r="A71" s="43">
        <f t="shared" ref="A71:A82" si="1">1+A70</f>
        <v>69</v>
      </c>
      <c r="B71" s="37" t="s">
        <v>1506</v>
      </c>
      <c r="C71" s="52">
        <v>50.851666700000003</v>
      </c>
      <c r="D71" s="52">
        <v>100.1686667</v>
      </c>
      <c r="E71" s="37" t="s">
        <v>1507</v>
      </c>
      <c r="F71" s="37" t="s">
        <v>1508</v>
      </c>
    </row>
    <row r="72" spans="1:6" x14ac:dyDescent="0.2">
      <c r="A72" s="43">
        <f t="shared" si="1"/>
        <v>70</v>
      </c>
      <c r="B72" s="37" t="s">
        <v>1506</v>
      </c>
      <c r="C72" s="52">
        <v>51.186666700000004</v>
      </c>
      <c r="D72" s="52">
        <v>100.3191667</v>
      </c>
      <c r="E72" s="37" t="s">
        <v>1509</v>
      </c>
      <c r="F72" s="37" t="s">
        <v>1508</v>
      </c>
    </row>
    <row r="73" spans="1:6" x14ac:dyDescent="0.2">
      <c r="A73" s="43">
        <f t="shared" si="1"/>
        <v>71</v>
      </c>
      <c r="B73" s="37" t="s">
        <v>1506</v>
      </c>
      <c r="C73" s="52">
        <v>51.183333300000001</v>
      </c>
      <c r="D73" s="52">
        <v>100.319</v>
      </c>
      <c r="E73" s="37" t="s">
        <v>1510</v>
      </c>
      <c r="F73" s="37" t="s">
        <v>1508</v>
      </c>
    </row>
    <row r="74" spans="1:6" x14ac:dyDescent="0.2">
      <c r="A74" s="43">
        <f t="shared" si="1"/>
        <v>72</v>
      </c>
      <c r="B74" s="37" t="s">
        <v>1506</v>
      </c>
      <c r="C74" s="52">
        <v>51.6875</v>
      </c>
      <c r="D74" s="52">
        <v>100.6888333</v>
      </c>
      <c r="E74" s="37" t="s">
        <v>1511</v>
      </c>
      <c r="F74" s="37" t="s">
        <v>1508</v>
      </c>
    </row>
    <row r="75" spans="1:6" x14ac:dyDescent="0.2">
      <c r="A75" s="43">
        <f t="shared" si="1"/>
        <v>73</v>
      </c>
      <c r="B75" s="37" t="s">
        <v>1506</v>
      </c>
      <c r="C75" s="52">
        <v>51.606499999999997</v>
      </c>
      <c r="D75" s="52">
        <v>100.62166670000001</v>
      </c>
      <c r="E75" s="37" t="s">
        <v>1512</v>
      </c>
      <c r="F75" s="37" t="s">
        <v>1508</v>
      </c>
    </row>
    <row r="76" spans="1:6" x14ac:dyDescent="0.2">
      <c r="A76" s="43">
        <f t="shared" si="1"/>
        <v>74</v>
      </c>
      <c r="B76" s="37" t="s">
        <v>1506</v>
      </c>
      <c r="C76" s="52">
        <v>51.3941667</v>
      </c>
      <c r="D76" s="52">
        <v>100.43166669999999</v>
      </c>
      <c r="E76" s="37" t="s">
        <v>1513</v>
      </c>
      <c r="F76" s="37" t="s">
        <v>1508</v>
      </c>
    </row>
    <row r="77" spans="1:6" x14ac:dyDescent="0.2">
      <c r="A77" s="43">
        <f t="shared" si="1"/>
        <v>75</v>
      </c>
      <c r="B77" s="37" t="s">
        <v>1506</v>
      </c>
      <c r="C77" s="52">
        <v>51.006500000000003</v>
      </c>
      <c r="D77" s="52">
        <v>100.7045</v>
      </c>
      <c r="E77" s="37" t="s">
        <v>1514</v>
      </c>
      <c r="F77" s="37" t="s">
        <v>1508</v>
      </c>
    </row>
    <row r="78" spans="1:6" x14ac:dyDescent="0.2">
      <c r="A78" s="43">
        <f t="shared" si="1"/>
        <v>76</v>
      </c>
      <c r="B78" s="37" t="s">
        <v>1506</v>
      </c>
      <c r="C78" s="52">
        <v>51.074833300000002</v>
      </c>
      <c r="D78" s="52">
        <v>100.7205</v>
      </c>
      <c r="E78" s="37" t="s">
        <v>1515</v>
      </c>
      <c r="F78" s="37" t="s">
        <v>1508</v>
      </c>
    </row>
    <row r="79" spans="1:6" x14ac:dyDescent="0.2">
      <c r="A79" s="43">
        <f t="shared" si="1"/>
        <v>77</v>
      </c>
      <c r="B79" s="37" t="s">
        <v>1506</v>
      </c>
      <c r="C79" s="52">
        <v>51.056333299999999</v>
      </c>
      <c r="D79" s="52">
        <v>100.771</v>
      </c>
      <c r="E79" s="37" t="s">
        <v>1484</v>
      </c>
      <c r="F79" s="37" t="s">
        <v>1508</v>
      </c>
    </row>
    <row r="80" spans="1:6" x14ac:dyDescent="0.2">
      <c r="A80" s="43">
        <f t="shared" si="1"/>
        <v>78</v>
      </c>
      <c r="B80" s="37" t="s">
        <v>1506</v>
      </c>
      <c r="C80" s="52">
        <v>50.662500000000001</v>
      </c>
      <c r="D80" s="52">
        <v>100.2893333</v>
      </c>
      <c r="E80" s="37" t="s">
        <v>1521</v>
      </c>
      <c r="F80" s="37" t="s">
        <v>1508</v>
      </c>
    </row>
    <row r="81" spans="1:6" x14ac:dyDescent="0.2">
      <c r="A81" s="43">
        <f t="shared" si="1"/>
        <v>79</v>
      </c>
      <c r="B81" s="37" t="s">
        <v>1506</v>
      </c>
      <c r="C81" s="52">
        <v>50.764499999999998</v>
      </c>
      <c r="D81" s="52">
        <v>100.1561667</v>
      </c>
      <c r="E81" s="37" t="s">
        <v>1522</v>
      </c>
      <c r="F81" s="37" t="s">
        <v>1516</v>
      </c>
    </row>
    <row r="82" spans="1:6" x14ac:dyDescent="0.2">
      <c r="A82" s="43">
        <f t="shared" si="1"/>
        <v>80</v>
      </c>
      <c r="B82" s="37" t="s">
        <v>1506</v>
      </c>
      <c r="C82" s="52">
        <v>50.764499999999998</v>
      </c>
      <c r="D82" s="52">
        <v>100.1561667</v>
      </c>
      <c r="E82" s="37" t="s">
        <v>1517</v>
      </c>
      <c r="F82" s="37" t="s">
        <v>1516</v>
      </c>
    </row>
  </sheetData>
  <mergeCells count="1">
    <mergeCell ref="A1:D1"/>
  </mergeCells>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DR1</vt:lpstr>
      <vt:lpstr>DD2</vt:lpstr>
      <vt:lpstr>DR3</vt:lpstr>
      <vt:lpstr>DR4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eXtyles Reference Paragraph Styling</cp:lastModifiedBy>
  <dcterms:created xsi:type="dcterms:W3CDTF">2017-01-12T17:53:45Z</dcterms:created>
  <dcterms:modified xsi:type="dcterms:W3CDTF">2018-02-05T23:49:00Z</dcterms:modified>
</cp:coreProperties>
</file>